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drawings/drawing2.xml" ContentType="application/vnd.openxmlformats-officedocument.drawing+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2475" yWindow="435" windowWidth="21600" windowHeight="11385" tabRatio="676"/>
  </bookViews>
  <sheets>
    <sheet name="Roster" sheetId="3" r:id="rId1"/>
    <sheet name="All Docks" sheetId="13" r:id="rId2"/>
    <sheet name="Pre-Set Crews" sheetId="16" r:id="rId3"/>
    <sheet name="Ships" sheetId="23" r:id="rId4"/>
    <sheet name="ATA Overview" sheetId="26" r:id="rId5"/>
    <sheet name="ATA Analysis" sheetId="28" r:id="rId6"/>
    <sheet name="ATA Planning" sheetId="29" r:id="rId7"/>
    <sheet name="Instructions" sheetId="8" r:id="rId8"/>
    <sheet name="Migration" sheetId="1" r:id="rId9"/>
    <sheet name="Change Log" sheetId="4" r:id="rId10"/>
    <sheet name="AM Lookup" sheetId="24" state="hidden" r:id="rId11"/>
    <sheet name="Pre-Set Lookup" sheetId="15" state="hidden" r:id="rId12"/>
    <sheet name="References" sheetId="11" state="hidden" r:id="rId13"/>
    <sheet name="LoadoutTracking" sheetId="12" state="hidden" r:id="rId14"/>
    <sheet name="RosterIndirect" sheetId="10" state="hidden" r:id="rId15"/>
    <sheet name="Officer Skills" sheetId="9" state="hidden" r:id="rId16"/>
    <sheet name="Officer Stats" sheetId="2" state="hidden" r:id="rId17"/>
    <sheet name="Officer Scores" sheetId="6" state="hidden" r:id="rId18"/>
    <sheet name="Ship Stats" sheetId="18" state="hidden" r:id="rId19"/>
    <sheet name="Ship Weapons" sheetId="19" state="hidden" r:id="rId20"/>
    <sheet name="StatCalc" sheetId="17" state="hidden" r:id="rId21"/>
    <sheet name="New Release Steps" sheetId="14" state="hidden" r:id="rId22"/>
    <sheet name="Page Template" sheetId="27" state="hidden" r:id="rId23"/>
    <sheet name="LCARS Import" sheetId="7" state="hidden" r:id="rId24"/>
  </sheets>
  <definedNames>
    <definedName name="_xlnm._FilterDatabase" localSheetId="1" hidden="1">'All Docks'!$Y$1:$AE$1</definedName>
    <definedName name="_xlnm._FilterDatabase" localSheetId="4" hidden="1">'ATA Overview'!$A$25:$X$25</definedName>
    <definedName name="_xlnm._FilterDatabase" localSheetId="17" hidden="1">'Officer Scores'!$A$1:$T$1</definedName>
    <definedName name="_xlnm._FilterDatabase" localSheetId="15" hidden="1">'Officer Skills'!$A$1:$AF$1</definedName>
    <definedName name="_xlnm._FilterDatabase" localSheetId="11" hidden="1">'Pre-Set Lookup'!$A$1:$AD$1</definedName>
    <definedName name="_xlnm._FilterDatabase" localSheetId="0" hidden="1">Roster!$A$21:$Y$153</definedName>
    <definedName name="_xlnm._FilterDatabase" localSheetId="14" hidden="1">RosterIndirect!$A$1:$M$1</definedName>
    <definedName name="_xlnm._FilterDatabase" localSheetId="18" hidden="1">'Ship Stats'!$A$1:$BM$1</definedName>
    <definedName name="Abilities">RosterIndirect!$F$1:$L$159</definedName>
    <definedName name="AcademyBonus">References!$A$47:$B$66</definedName>
    <definedName name="AOEApply">Roster!$G$11</definedName>
    <definedName name="AOEValue">Roster!$H$11</definedName>
    <definedName name="ApplyBonus">Roster!$D$6</definedName>
    <definedName name="AwayMissionOfficerMatch">'AM Lookup'!$V$2:$V$40</definedName>
    <definedName name="AwayMissionRewards">'AM Lookup'!$Q$2:$Q$65</definedName>
    <definedName name="AwayMissionRewardsAll">'AM Lookup'!$D$2:$G$93</definedName>
    <definedName name="AwayMissionsFull">'AM Lookup'!$A$2:$P$93</definedName>
    <definedName name="AwayMissionsNames">'AM Lookup'!$A$2:$A$93</definedName>
    <definedName name="AwayMissionTraits">'AM Lookup'!$T$2:$T$59</definedName>
    <definedName name="AwayMissionTraitsAll">'AM Lookup'!$H$2:$K$93</definedName>
    <definedName name="AwayMissionTraitsTotals">'AM Lookup'!$U$2:$U$59</definedName>
    <definedName name="EasterEggs">References!$A$39:$B$45</definedName>
    <definedName name="ImportBonusLevel">Migration!$S$4:$S$18</definedName>
    <definedName name="ImportBonusList">Migration!$R$4:$R$18</definedName>
    <definedName name="ImportLevel">OFFSET(Migration!$D$4,0,0,COUNTA(Migration!$D:$D),1)</definedName>
    <definedName name="ImportOfficerList">OFFSET(Migration!$C$4,0,0,COUNTA(Migration!$C:$C),1)</definedName>
    <definedName name="ImportRank">OFFSET(Migration!$E$4,0,0,COUNTA(Migration!$E:$E),1)</definedName>
    <definedName name="ImportShipLevel">Migration!$S$24:$S$90</definedName>
    <definedName name="ImportShipList">Migration!$R$24:$R$90</definedName>
    <definedName name="ImportTraits1">Migration!$F$4:$F$161</definedName>
    <definedName name="ImportTraits2">Migration!$G$4:$G$161</definedName>
    <definedName name="ImportTraits3">Migration!$H$4:$H$161</definedName>
    <definedName name="MaxLevel">Roster!$C$17</definedName>
    <definedName name="OAEApply">Roster!$G$8</definedName>
    <definedName name="ODEApply">Roster!$G$9</definedName>
    <definedName name="OEApply">Roster!$G$10</definedName>
    <definedName name="OfficerBonusA">References!$G$2</definedName>
    <definedName name="OfficerBonusAB">References!$H$2</definedName>
    <definedName name="OfficerBonusAC">References!$I$2</definedName>
    <definedName name="OfficerBonusD">References!$G$3</definedName>
    <definedName name="OfficerBonusDB">References!$H$3</definedName>
    <definedName name="OfficerBonusDC">References!$I$3</definedName>
    <definedName name="OfficerBonusH">References!$G$4</definedName>
    <definedName name="OfficerBonusHB">References!$H$4</definedName>
    <definedName name="OfficerBonusHC">References!$I$4</definedName>
    <definedName name="OfficerList">'Officer Stats'!$A$1:$A$158</definedName>
    <definedName name="OfficersAvailable">OFFSET(LoadoutTracking!$I$2,0,0,COUNTIF(LoadoutTracking!$I$2:$I$159,"&lt;&gt;"&amp;" "),1)</definedName>
    <definedName name="OfficersAvailableAll">OFFSET(LoadoutTracking!$J$2,0,0,COUNTIF(LoadoutTracking!$J$2:$J$159,"&lt;&gt;"&amp;" "),1)</definedName>
    <definedName name="OfficerScores">'Officer Scores'!$A$1:$T$158</definedName>
    <definedName name="OfficerSkillsFull">'Officer Skills'!$A$2:$AM$159</definedName>
    <definedName name="OfficerSkillsOfficers">'Officer Skills'!$A$2:$A$159</definedName>
    <definedName name="OfficerStats">'Officer Stats'!$A$1:$CM$158</definedName>
    <definedName name="OpsLevel">Roster!$E$5</definedName>
    <definedName name="OrionAttack">Roster!$J$6</definedName>
    <definedName name="OrionDefence">Roster!$J$7</definedName>
    <definedName name="OrionHealth">Roster!$J$8</definedName>
    <definedName name="OrionLevel">Roster!$J$5</definedName>
    <definedName name="Planning10List">OFFSET('AM Lookup'!$BN$2,0,0,COUNTIF('AM Lookup'!$BN$2:$BN$40,"&lt;&gt;"&amp;" ")-1,1)</definedName>
    <definedName name="Planning10Match">'AM Lookup'!$BM$2:$BM$40</definedName>
    <definedName name="Planning1List">OFFSET('AM Lookup'!$AM$2,0,0,COUNTIF('AM Lookup'!$AM$2:$AM$40,"&lt;&gt;"&amp;" ")-1,1)</definedName>
    <definedName name="Planning1Match">'AM Lookup'!$AL$2:$AL$40</definedName>
    <definedName name="Planning2List">OFFSET('AM Lookup'!$AP$2,0,0,COUNTIF('AM Lookup'!$AP$2:$AP$40,"&lt;&gt;"&amp;" ")-1,1)</definedName>
    <definedName name="Planning2Match">'AM Lookup'!$AO$2:$AO$40</definedName>
    <definedName name="Planning3List">OFFSET('AM Lookup'!$AS$2,0,0,COUNTIF('AM Lookup'!$AS$2:$AS$40,"&lt;&gt;"&amp;" ")-1,1)</definedName>
    <definedName name="Planning3Match">'AM Lookup'!$AR$2:$AR$40</definedName>
    <definedName name="Planning4List">OFFSET('AM Lookup'!$AV$2,0,0,COUNTIF('AM Lookup'!$AV$2:$AV$40,"&lt;&gt;"&amp;" ")-1,1)</definedName>
    <definedName name="Planning4Match">'AM Lookup'!$AU$2:$AU$40</definedName>
    <definedName name="Planning5List">OFFSET('AM Lookup'!$AY$2,0,0,COUNTIF('AM Lookup'!$AY$2:$AY$40,"&lt;&gt;"&amp;" ")-1,1)</definedName>
    <definedName name="Planning5Match">'AM Lookup'!$AX$2:$AX$40</definedName>
    <definedName name="Planning6List">OFFSET('AM Lookup'!$BB$2,0,0,COUNTIF('AM Lookup'!$BB$2:$BB$40,"&lt;&gt;"&amp;" ")-1,1)</definedName>
    <definedName name="Planning6Match">'AM Lookup'!$BA$2:$BA$40</definedName>
    <definedName name="Planning7List">OFFSET('AM Lookup'!$BE$2,0,0,COUNTIF('AM Lookup'!$BE$2:$BE$40,"&lt;&gt;"&amp;" ")-1,1)</definedName>
    <definedName name="Planning7Match">'AM Lookup'!$BD$2:$BD$40</definedName>
    <definedName name="Planning8List">OFFSET('AM Lookup'!$BH$2,0,0,COUNTIF('AM Lookup'!$BH$2:$BH$40,"&lt;&gt;"&amp;" ")-1,1)</definedName>
    <definedName name="Planning8Match">'AM Lookup'!$BG$2:$BG$40</definedName>
    <definedName name="Planning9List">OFFSET('AM Lookup'!$BK$2,0,0,COUNTIF('AM Lookup'!$BK$2:$BK$40,"&lt;&gt;"&amp;" ")-1,1)</definedName>
    <definedName name="Planning9Match">'AM Lookup'!$BJ$2:$BJ$40</definedName>
    <definedName name="PSArmBor">'Pre-Set Lookup'!$Y$2:$Y$204</definedName>
    <definedName name="PSArmEcl">'Pre-Set Lookup'!$W$2:$W$204</definedName>
    <definedName name="PSArmNorm">'Pre-Set Lookup'!$V$2:$V$204</definedName>
    <definedName name="PSArmSwa">'Pre-Set Lookup'!$X$2:$X$204</definedName>
    <definedName name="PSBases">'Pre-Set Lookup'!$Z$2:$Z$204</definedName>
    <definedName name="PSCrews">OFFSET('Pre-Set Crews'!$B$22,0,0,COUNTIFS('Pre-Set Crews'!$B$22:$B$200,"&lt;&gt;"&amp;"0",'Pre-Set Crews'!$B$22:$B$200,"&lt;&gt;"&amp;" "),1)</definedName>
    <definedName name="PSEclipse">'Pre-Set Lookup'!$U$2:$U$204</definedName>
    <definedName name="PSForBat">'Pre-Set Lookup'!$L$2:$L$204</definedName>
    <definedName name="PSForExp">'Pre-Set Lookup'!$J$2:$J$204</definedName>
    <definedName name="PSForInt">'Pre-Set Lookup'!$K$2:$K$204</definedName>
    <definedName name="PSFull">'Pre-Set Lookup'!$A$2:$AB$204</definedName>
    <definedName name="PSHostile">'Pre-Set Lookup'!$Q$2:$Q$204</definedName>
    <definedName name="PSMBoss">'Pre-Set Lookup'!$R$2:$R$204</definedName>
    <definedName name="PSMining">'Pre-Set Lookup'!$AB$2:$AB$204</definedName>
    <definedName name="PSProbes">'Pre-Set Lookup'!$S$2:$S$204</definedName>
    <definedName name="PSPvP">'Pre-Set Lookup'!$I$2:$I$204</definedName>
    <definedName name="PSSwarms">'Pre-Set Lookup'!$T$2:$T$204</definedName>
    <definedName name="PSVsBat">'Pre-Set Lookup'!$O$2:$O$204</definedName>
    <definedName name="PSVsExp">'Pre-Set Lookup'!$M$2:$M$204</definedName>
    <definedName name="PSVsInt">'Pre-Set Lookup'!$N$2:$N$204</definedName>
    <definedName name="PSVsSur">'Pre-Set Lookup'!$P$2:$P$204</definedName>
    <definedName name="PSXP">'Pre-Set Lookup'!$AA$2:$AA$204</definedName>
    <definedName name="RankLookup">Roster!$C$22:$E$179</definedName>
    <definedName name="RosterAttack">Roster!$F$22:$F$179</definedName>
    <definedName name="RosterDefence">Roster!$G$22:$G$179</definedName>
    <definedName name="RosterHealth">Roster!$H$22:$H$179</definedName>
    <definedName name="RosterLevel">Roster!$D$22:$D$179</definedName>
    <definedName name="RosterOfficer">Roster!$C$22:$C$179</definedName>
    <definedName name="RosterRank">Roster!$E$22:$E$179</definedName>
    <definedName name="Scores">RosterIndirect!$A$1:$E$159</definedName>
    <definedName name="SelectedShip">Roster!$J$13</definedName>
    <definedName name="SelectedShipA">'All Docks'!$E$7</definedName>
    <definedName name="SelectedShipB">'All Docks'!$E$16</definedName>
    <definedName name="SelectedShipC">'All Docks'!$E$25</definedName>
    <definedName name="SelectedShipD">'All Docks'!$E$34</definedName>
    <definedName name="SelectedShipE">'All Docks'!$E$43</definedName>
    <definedName name="SelectedShipF">'All Docks'!$E$52</definedName>
    <definedName name="SelectedShipG">'All Docks'!$E$61</definedName>
    <definedName name="ShipLevels">Ships!$B$22:$F$88</definedName>
    <definedName name="ShipList">'Ship Stats'!$A$2:$BK$202</definedName>
    <definedName name="ShipNames">Ships!$B$22:$B$88</definedName>
    <definedName name="ShipWeapons">'Ship Weapons'!$A$1:$O$163</definedName>
    <definedName name="StatBaseline">StatCalc!$A$2:$AE$5</definedName>
    <definedName name="Top_Officers">'AM Lookup'!$AB$2:$AD$19</definedName>
    <definedName name="Top_Traits">'AM Lookup'!$Y$2:$AA$19</definedName>
    <definedName name="TopATAScores">'ATA Overview'!$M$26:$M$183</definedName>
    <definedName name="TotalTraitsAppearance">'ATA Overview'!$N$26:$N$183</definedName>
    <definedName name="TraitCosts">'AM Lookup'!$AG$2:$AJ$18</definedName>
    <definedName name="TraitCostsPoints">'AM Lookup'!$AH$2:$AH$18</definedName>
    <definedName name="TraitFull">'ATA Overview'!$B$26:$L$183</definedName>
    <definedName name="TraitNames">'ATA Overview'!$D$26:$L$183</definedName>
    <definedName name="TraitOfficers">'ATA Overview'!$B$26:$B$183</definedName>
  </definedNames>
  <calcPr calcId="145621"/>
</workbook>
</file>

<file path=xl/calcChain.xml><?xml version="1.0" encoding="utf-8"?>
<calcChain xmlns="http://schemas.openxmlformats.org/spreadsheetml/2006/main">
  <c r="O33" i="29" l="1"/>
  <c r="O30" i="29"/>
  <c r="O27" i="29"/>
  <c r="O24" i="29"/>
  <c r="O21" i="29"/>
  <c r="O18" i="29"/>
  <c r="O15" i="29"/>
  <c r="O12" i="29"/>
  <c r="O9" i="29"/>
  <c r="D5" i="29" l="1"/>
  <c r="E22" i="3" l="1"/>
  <c r="K2" i="10" s="1"/>
  <c r="D22" i="3"/>
  <c r="E32" i="3"/>
  <c r="K12" i="10" s="1"/>
  <c r="D32" i="3"/>
  <c r="A3" i="12"/>
  <c r="B3" i="12"/>
  <c r="A4" i="12"/>
  <c r="B4" i="12"/>
  <c r="A5" i="12"/>
  <c r="B5" i="12"/>
  <c r="A6" i="12"/>
  <c r="B6" i="12"/>
  <c r="A7" i="12"/>
  <c r="B7" i="12"/>
  <c r="A8" i="12"/>
  <c r="B8" i="12"/>
  <c r="A9" i="12"/>
  <c r="B9" i="12"/>
  <c r="A10" i="12"/>
  <c r="B10" i="12"/>
  <c r="A11" i="12"/>
  <c r="B11" i="12"/>
  <c r="A12" i="12"/>
  <c r="B12" i="12"/>
  <c r="A13" i="12"/>
  <c r="B13" i="12"/>
  <c r="A14" i="12"/>
  <c r="B14" i="12"/>
  <c r="A15" i="12"/>
  <c r="B15" i="12"/>
  <c r="A16" i="12"/>
  <c r="B16" i="12"/>
  <c r="A17" i="12"/>
  <c r="B17" i="12"/>
  <c r="A18" i="12"/>
  <c r="B18" i="12"/>
  <c r="A19" i="12"/>
  <c r="B19" i="12"/>
  <c r="A20" i="12"/>
  <c r="B20" i="12"/>
  <c r="A21" i="12"/>
  <c r="B21" i="12"/>
  <c r="A22" i="12"/>
  <c r="B22" i="12"/>
  <c r="A23" i="12"/>
  <c r="B23" i="12"/>
  <c r="A24" i="12"/>
  <c r="B24" i="12"/>
  <c r="A25" i="12"/>
  <c r="B25" i="12"/>
  <c r="A26" i="12"/>
  <c r="B26" i="12"/>
  <c r="A27" i="12"/>
  <c r="B27" i="12"/>
  <c r="A28" i="12"/>
  <c r="B28" i="12"/>
  <c r="A29" i="12"/>
  <c r="B29" i="12"/>
  <c r="A30" i="12"/>
  <c r="B30" i="12"/>
  <c r="A31" i="12"/>
  <c r="B31" i="12"/>
  <c r="A32" i="12"/>
  <c r="B32" i="12"/>
  <c r="A33" i="12"/>
  <c r="B33" i="12"/>
  <c r="A34" i="12"/>
  <c r="B34" i="12"/>
  <c r="A35" i="12"/>
  <c r="B35" i="12"/>
  <c r="A36" i="12"/>
  <c r="B36" i="12"/>
  <c r="A37" i="12"/>
  <c r="B37" i="12"/>
  <c r="A38" i="12"/>
  <c r="B38" i="12"/>
  <c r="A39" i="12"/>
  <c r="B39" i="12"/>
  <c r="A40" i="12"/>
  <c r="B40" i="12"/>
  <c r="A41" i="12"/>
  <c r="B41" i="12"/>
  <c r="A42" i="12"/>
  <c r="B42" i="12"/>
  <c r="A43" i="12"/>
  <c r="B43" i="12"/>
  <c r="A44" i="12"/>
  <c r="B44" i="12"/>
  <c r="A45" i="12"/>
  <c r="B45" i="12"/>
  <c r="A46" i="12"/>
  <c r="B46" i="12"/>
  <c r="A47" i="12"/>
  <c r="B47" i="12"/>
  <c r="A48" i="12"/>
  <c r="B48" i="12"/>
  <c r="A49" i="12"/>
  <c r="B49" i="12"/>
  <c r="A50" i="12"/>
  <c r="B50" i="12"/>
  <c r="A51" i="12"/>
  <c r="B51" i="12"/>
  <c r="A52" i="12"/>
  <c r="B52" i="12"/>
  <c r="A53" i="12"/>
  <c r="B53" i="12"/>
  <c r="A54" i="12"/>
  <c r="B54" i="12"/>
  <c r="A55" i="12"/>
  <c r="B55" i="12"/>
  <c r="A56" i="12"/>
  <c r="B56" i="12"/>
  <c r="A57" i="12"/>
  <c r="B57" i="12"/>
  <c r="A58" i="12"/>
  <c r="B58" i="12"/>
  <c r="A59" i="12"/>
  <c r="B59" i="12"/>
  <c r="A60" i="12"/>
  <c r="B60" i="12"/>
  <c r="A61" i="12"/>
  <c r="B61" i="12"/>
  <c r="A62" i="12"/>
  <c r="B62" i="12"/>
  <c r="A63" i="12"/>
  <c r="B63" i="12"/>
  <c r="A64" i="12"/>
  <c r="B64" i="12"/>
  <c r="A65" i="12"/>
  <c r="B65" i="12"/>
  <c r="A66" i="12"/>
  <c r="B66" i="12"/>
  <c r="A67" i="12"/>
  <c r="B67" i="12"/>
  <c r="A68" i="12"/>
  <c r="B68" i="12"/>
  <c r="A69" i="12"/>
  <c r="B69" i="12"/>
  <c r="A70" i="12"/>
  <c r="B70" i="12"/>
  <c r="A71" i="12"/>
  <c r="B71" i="12"/>
  <c r="A72" i="12"/>
  <c r="B72" i="12"/>
  <c r="A73" i="12"/>
  <c r="B73" i="12"/>
  <c r="A74" i="12"/>
  <c r="B74" i="12"/>
  <c r="A75" i="12"/>
  <c r="B75" i="12"/>
  <c r="A76" i="12"/>
  <c r="B76" i="12"/>
  <c r="A77" i="12"/>
  <c r="B77" i="12"/>
  <c r="A78" i="12"/>
  <c r="B78" i="12"/>
  <c r="A79" i="12"/>
  <c r="B79" i="12"/>
  <c r="A80" i="12"/>
  <c r="B80" i="12"/>
  <c r="A81" i="12"/>
  <c r="B81" i="12"/>
  <c r="A82" i="12"/>
  <c r="B82" i="12"/>
  <c r="A83" i="12"/>
  <c r="B83" i="12"/>
  <c r="A84" i="12"/>
  <c r="B84" i="12"/>
  <c r="A85" i="12"/>
  <c r="B85" i="12"/>
  <c r="A86" i="12"/>
  <c r="B86" i="12"/>
  <c r="A87" i="12"/>
  <c r="B87" i="12"/>
  <c r="A88" i="12"/>
  <c r="B88" i="12"/>
  <c r="A89" i="12"/>
  <c r="B89" i="12"/>
  <c r="A90" i="12"/>
  <c r="B90" i="12"/>
  <c r="A91" i="12"/>
  <c r="B91" i="12"/>
  <c r="A92" i="12"/>
  <c r="B92" i="12"/>
  <c r="A93" i="12"/>
  <c r="B93" i="12"/>
  <c r="A94" i="12"/>
  <c r="B94" i="12"/>
  <c r="A95" i="12"/>
  <c r="B95" i="12"/>
  <c r="A96" i="12"/>
  <c r="B96" i="12"/>
  <c r="A97" i="12"/>
  <c r="B97" i="12"/>
  <c r="A98" i="12"/>
  <c r="B98" i="12"/>
  <c r="A99" i="12"/>
  <c r="B99" i="12"/>
  <c r="A100" i="12"/>
  <c r="B100" i="12"/>
  <c r="A101" i="12"/>
  <c r="B101" i="12"/>
  <c r="A102" i="12"/>
  <c r="B102" i="12"/>
  <c r="A103" i="12"/>
  <c r="B103" i="12"/>
  <c r="A104" i="12"/>
  <c r="B104" i="12"/>
  <c r="A105" i="12"/>
  <c r="B105" i="12"/>
  <c r="A106" i="12"/>
  <c r="B106" i="12"/>
  <c r="A107" i="12"/>
  <c r="B107" i="12"/>
  <c r="A108" i="12"/>
  <c r="B108" i="12"/>
  <c r="A109" i="12"/>
  <c r="B109" i="12"/>
  <c r="A110" i="12"/>
  <c r="B110" i="12"/>
  <c r="A111" i="12"/>
  <c r="B111" i="12"/>
  <c r="A112" i="12"/>
  <c r="B112" i="12"/>
  <c r="A113" i="12"/>
  <c r="B113" i="12"/>
  <c r="A114" i="12"/>
  <c r="B114" i="12"/>
  <c r="A115" i="12"/>
  <c r="B115" i="12"/>
  <c r="A116" i="12"/>
  <c r="B116" i="12"/>
  <c r="A117" i="12"/>
  <c r="B117" i="12"/>
  <c r="A118" i="12"/>
  <c r="B118" i="12"/>
  <c r="A119" i="12"/>
  <c r="B119" i="12"/>
  <c r="A120" i="12"/>
  <c r="B120" i="12"/>
  <c r="A121" i="12"/>
  <c r="B121" i="12"/>
  <c r="A122" i="12"/>
  <c r="B122" i="12"/>
  <c r="A123" i="12"/>
  <c r="B123" i="12"/>
  <c r="A124" i="12"/>
  <c r="B124" i="12"/>
  <c r="A125" i="12"/>
  <c r="B125" i="12"/>
  <c r="A126" i="12"/>
  <c r="B126" i="12"/>
  <c r="A127" i="12"/>
  <c r="B127" i="12"/>
  <c r="A128" i="12"/>
  <c r="B128" i="12"/>
  <c r="A129" i="12"/>
  <c r="B129" i="12"/>
  <c r="A130" i="12"/>
  <c r="B130" i="12"/>
  <c r="A131" i="12"/>
  <c r="B131" i="12"/>
  <c r="A132" i="12"/>
  <c r="B132" i="12"/>
  <c r="A133" i="12"/>
  <c r="B133" i="12"/>
  <c r="A134" i="12"/>
  <c r="B134" i="12"/>
  <c r="A135" i="12"/>
  <c r="B135" i="12"/>
  <c r="A136" i="12"/>
  <c r="B136" i="12"/>
  <c r="A137" i="12"/>
  <c r="B137" i="12"/>
  <c r="A138" i="12"/>
  <c r="B138" i="12"/>
  <c r="A139" i="12"/>
  <c r="B139" i="12"/>
  <c r="A140" i="12"/>
  <c r="B140" i="12"/>
  <c r="A141" i="12"/>
  <c r="B141" i="12"/>
  <c r="A142" i="12"/>
  <c r="B142" i="12"/>
  <c r="A143" i="12"/>
  <c r="B143" i="12"/>
  <c r="A144" i="12"/>
  <c r="B144" i="12"/>
  <c r="A145" i="12"/>
  <c r="B145" i="12"/>
  <c r="A146" i="12"/>
  <c r="B146" i="12"/>
  <c r="A147" i="12"/>
  <c r="B147" i="12"/>
  <c r="A148" i="12"/>
  <c r="B148" i="12"/>
  <c r="A149" i="12"/>
  <c r="B149" i="12"/>
  <c r="A150" i="12"/>
  <c r="B150" i="12"/>
  <c r="A151" i="12"/>
  <c r="B151" i="12"/>
  <c r="A152" i="12"/>
  <c r="B152" i="12"/>
  <c r="A153" i="12"/>
  <c r="B153" i="12"/>
  <c r="A154" i="12"/>
  <c r="B154" i="12"/>
  <c r="A155" i="12"/>
  <c r="B155" i="12"/>
  <c r="A156" i="12"/>
  <c r="B156" i="12"/>
  <c r="A157" i="12"/>
  <c r="B157" i="12"/>
  <c r="A158" i="12"/>
  <c r="B158" i="12"/>
  <c r="A159" i="12"/>
  <c r="B159" i="12"/>
  <c r="Z3" i="13"/>
  <c r="Z4" i="13"/>
  <c r="Z5" i="13"/>
  <c r="Z6" i="13"/>
  <c r="Z7" i="13"/>
  <c r="Z8" i="13"/>
  <c r="Z9" i="13"/>
  <c r="Z10" i="13"/>
  <c r="Z11" i="13"/>
  <c r="Z12" i="13"/>
  <c r="Z13" i="13"/>
  <c r="Z14" i="13"/>
  <c r="Z15" i="13"/>
  <c r="Z16" i="13"/>
  <c r="Z17" i="13"/>
  <c r="Z18" i="13"/>
  <c r="Z19" i="13"/>
  <c r="Z20" i="13"/>
  <c r="Z21" i="13"/>
  <c r="Z22" i="13"/>
  <c r="Z23" i="13"/>
  <c r="Z24" i="13"/>
  <c r="Z25" i="13"/>
  <c r="Z26" i="13"/>
  <c r="Z27" i="13"/>
  <c r="Z28" i="13"/>
  <c r="Z29" i="13"/>
  <c r="Z30" i="13"/>
  <c r="Z31" i="13"/>
  <c r="Z32" i="13"/>
  <c r="Z33" i="13"/>
  <c r="Z34" i="13"/>
  <c r="Z35" i="13"/>
  <c r="Z36" i="13"/>
  <c r="Z37" i="13"/>
  <c r="Z38" i="13"/>
  <c r="Z39" i="13"/>
  <c r="Z40" i="13"/>
  <c r="Z41" i="13"/>
  <c r="Z42" i="13"/>
  <c r="Z43" i="13"/>
  <c r="Z44" i="13"/>
  <c r="Z45" i="13"/>
  <c r="Z46" i="13"/>
  <c r="Z47" i="13"/>
  <c r="Z48" i="13"/>
  <c r="Z49" i="13"/>
  <c r="Z50" i="13"/>
  <c r="Z51" i="13"/>
  <c r="Z52" i="13"/>
  <c r="Z53" i="13"/>
  <c r="Z54" i="13"/>
  <c r="Z55" i="13"/>
  <c r="Z56" i="13"/>
  <c r="Z57" i="13"/>
  <c r="Z58" i="13"/>
  <c r="Z59" i="13"/>
  <c r="Z60" i="13"/>
  <c r="Z61" i="13"/>
  <c r="Z62" i="13"/>
  <c r="Z63" i="13"/>
  <c r="Z64" i="13"/>
  <c r="Z65" i="13"/>
  <c r="Z66" i="13"/>
  <c r="Z67" i="13"/>
  <c r="Z68" i="13"/>
  <c r="Z69" i="13"/>
  <c r="Z70" i="13"/>
  <c r="Z71" i="13"/>
  <c r="Z72" i="13"/>
  <c r="Z73" i="13"/>
  <c r="Z74" i="13"/>
  <c r="Z75" i="13"/>
  <c r="Z76" i="13"/>
  <c r="Z77" i="13"/>
  <c r="Z78" i="13"/>
  <c r="Z79" i="13"/>
  <c r="Z80" i="13"/>
  <c r="Z81" i="13"/>
  <c r="Z82" i="13"/>
  <c r="Z83" i="13"/>
  <c r="Z84" i="13"/>
  <c r="Z85" i="13"/>
  <c r="Z86" i="13"/>
  <c r="Z87" i="13"/>
  <c r="Z88" i="13"/>
  <c r="Z89" i="13"/>
  <c r="Z90" i="13"/>
  <c r="Z91" i="13"/>
  <c r="Z92" i="13"/>
  <c r="Z93" i="13"/>
  <c r="Z94" i="13"/>
  <c r="Z95" i="13"/>
  <c r="Z96" i="13"/>
  <c r="Z97" i="13"/>
  <c r="Z98" i="13"/>
  <c r="Z99" i="13"/>
  <c r="Z100" i="13"/>
  <c r="Z101" i="13"/>
  <c r="Z102" i="13"/>
  <c r="Z103" i="13"/>
  <c r="Z104" i="13"/>
  <c r="Z105" i="13"/>
  <c r="Z106" i="13"/>
  <c r="Z107" i="13"/>
  <c r="Z108" i="13"/>
  <c r="Z109" i="13"/>
  <c r="Z110" i="13"/>
  <c r="Z111" i="13"/>
  <c r="Z112" i="13"/>
  <c r="Z113" i="13"/>
  <c r="Z114" i="13"/>
  <c r="Z115" i="13"/>
  <c r="Z116" i="13"/>
  <c r="Z117" i="13"/>
  <c r="Z118" i="13"/>
  <c r="Z119" i="13"/>
  <c r="Z120" i="13"/>
  <c r="Z121" i="13"/>
  <c r="Z122" i="13"/>
  <c r="Z123" i="13"/>
  <c r="Z124" i="13"/>
  <c r="Z125" i="13"/>
  <c r="Z126" i="13"/>
  <c r="Z127" i="13"/>
  <c r="Z128" i="13"/>
  <c r="Z129" i="13"/>
  <c r="Z130" i="13"/>
  <c r="Z131" i="13"/>
  <c r="Z132" i="13"/>
  <c r="Z133" i="13"/>
  <c r="Z134" i="13"/>
  <c r="Z135" i="13"/>
  <c r="Z136" i="13"/>
  <c r="Z137" i="13"/>
  <c r="Z138" i="13"/>
  <c r="Z139" i="13"/>
  <c r="Z140" i="13"/>
  <c r="Z141" i="13"/>
  <c r="Z142" i="13"/>
  <c r="Z143" i="13"/>
  <c r="Z144" i="13"/>
  <c r="Z145" i="13"/>
  <c r="Z146" i="13"/>
  <c r="Z147" i="13"/>
  <c r="Z148" i="13"/>
  <c r="Z149" i="13"/>
  <c r="Z150" i="13"/>
  <c r="Z151" i="13"/>
  <c r="Z152" i="13"/>
  <c r="Z153" i="13"/>
  <c r="Z154" i="13"/>
  <c r="Z155" i="13"/>
  <c r="Z156" i="13"/>
  <c r="Z157" i="13"/>
  <c r="Z158" i="13"/>
  <c r="Z159" i="13"/>
  <c r="L33" i="26"/>
  <c r="L34" i="26"/>
  <c r="L35" i="26"/>
  <c r="L36" i="26"/>
  <c r="L37" i="26"/>
  <c r="L38" i="26"/>
  <c r="L39" i="26"/>
  <c r="L40" i="26"/>
  <c r="I33" i="26"/>
  <c r="I34" i="26"/>
  <c r="I35" i="26"/>
  <c r="I36" i="26"/>
  <c r="I37" i="26"/>
  <c r="I38" i="26"/>
  <c r="I39" i="26"/>
  <c r="I40" i="26"/>
  <c r="F33" i="26"/>
  <c r="F34" i="26"/>
  <c r="F35" i="26"/>
  <c r="F36" i="26"/>
  <c r="F37" i="26"/>
  <c r="F38" i="26"/>
  <c r="F39" i="26"/>
  <c r="F40" i="26"/>
  <c r="A33" i="26"/>
  <c r="A34" i="26"/>
  <c r="A35" i="26"/>
  <c r="A36" i="26"/>
  <c r="A37" i="26"/>
  <c r="A38" i="26"/>
  <c r="A39" i="26"/>
  <c r="A40" i="26"/>
  <c r="K158" i="1"/>
  <c r="K159" i="1"/>
  <c r="K160" i="1"/>
  <c r="K161" i="1"/>
  <c r="K21" i="3"/>
  <c r="J21" i="3"/>
  <c r="D179" i="3"/>
  <c r="F179" i="3" s="1"/>
  <c r="AC159" i="13" s="1"/>
  <c r="E179" i="3"/>
  <c r="AB159" i="13" s="1"/>
  <c r="I179" i="3"/>
  <c r="I32" i="3"/>
  <c r="D36" i="3"/>
  <c r="E36" i="3"/>
  <c r="K16" i="10" s="1"/>
  <c r="I36" i="3"/>
  <c r="D29" i="3"/>
  <c r="E29" i="3"/>
  <c r="K9" i="10" s="1"/>
  <c r="I29" i="3"/>
  <c r="B179" i="3"/>
  <c r="J161" i="1" s="1"/>
  <c r="B32" i="3"/>
  <c r="Y12" i="13" s="1"/>
  <c r="B36" i="3"/>
  <c r="Y16" i="13" s="1"/>
  <c r="B29" i="3"/>
  <c r="Y9" i="13" s="1"/>
  <c r="J3" i="10"/>
  <c r="J4" i="10"/>
  <c r="J5" i="10"/>
  <c r="J6" i="10"/>
  <c r="J7" i="10"/>
  <c r="J8" i="10"/>
  <c r="J9" i="10"/>
  <c r="J10" i="10"/>
  <c r="J11" i="10"/>
  <c r="J12" i="10"/>
  <c r="J13" i="10"/>
  <c r="J14" i="10"/>
  <c r="J15" i="10"/>
  <c r="J16" i="10"/>
  <c r="J17" i="10"/>
  <c r="J18" i="10"/>
  <c r="J19" i="10"/>
  <c r="J20" i="10"/>
  <c r="J21" i="10"/>
  <c r="J22" i="10"/>
  <c r="J23" i="10"/>
  <c r="J24" i="10"/>
  <c r="J25" i="10"/>
  <c r="J26" i="10"/>
  <c r="J27" i="10"/>
  <c r="J28" i="10"/>
  <c r="J29" i="10"/>
  <c r="J30" i="10"/>
  <c r="J31" i="10"/>
  <c r="J32" i="10"/>
  <c r="J33" i="10"/>
  <c r="J34" i="10"/>
  <c r="J35" i="10"/>
  <c r="J36" i="10"/>
  <c r="J37" i="10"/>
  <c r="J38" i="10"/>
  <c r="J39" i="10"/>
  <c r="J40" i="10"/>
  <c r="J41" i="10"/>
  <c r="J42" i="10"/>
  <c r="J43" i="10"/>
  <c r="J44" i="10"/>
  <c r="J45" i="10"/>
  <c r="J46" i="10"/>
  <c r="J47" i="10"/>
  <c r="J48" i="10"/>
  <c r="J49" i="10"/>
  <c r="J50" i="10"/>
  <c r="J51" i="10"/>
  <c r="J52" i="10"/>
  <c r="J53" i="10"/>
  <c r="J54" i="10"/>
  <c r="J55" i="10"/>
  <c r="J56" i="10"/>
  <c r="J57" i="10"/>
  <c r="J58" i="10"/>
  <c r="J59" i="10"/>
  <c r="J60" i="10"/>
  <c r="J61" i="10"/>
  <c r="J62" i="10"/>
  <c r="J63" i="10"/>
  <c r="J64" i="10"/>
  <c r="J65" i="10"/>
  <c r="J66" i="10"/>
  <c r="J67" i="10"/>
  <c r="J68" i="10"/>
  <c r="J69" i="10"/>
  <c r="J70" i="10"/>
  <c r="J71" i="10"/>
  <c r="J72" i="10"/>
  <c r="J73" i="10"/>
  <c r="J74" i="10"/>
  <c r="J75" i="10"/>
  <c r="J76" i="10"/>
  <c r="J77" i="10"/>
  <c r="J78" i="10"/>
  <c r="J79" i="10"/>
  <c r="J80" i="10"/>
  <c r="J81" i="10"/>
  <c r="J82" i="10"/>
  <c r="J83" i="10"/>
  <c r="J84" i="10"/>
  <c r="J85" i="10"/>
  <c r="J86" i="10"/>
  <c r="J87" i="10"/>
  <c r="J88" i="10"/>
  <c r="J89" i="10"/>
  <c r="J90" i="10"/>
  <c r="J91" i="10"/>
  <c r="J92" i="10"/>
  <c r="J93" i="10"/>
  <c r="J94" i="10"/>
  <c r="J95" i="10"/>
  <c r="J96" i="10"/>
  <c r="J97" i="10"/>
  <c r="J98" i="10"/>
  <c r="J99" i="10"/>
  <c r="J100" i="10"/>
  <c r="J101" i="10"/>
  <c r="J102" i="10"/>
  <c r="J103" i="10"/>
  <c r="J104" i="10"/>
  <c r="J105" i="10"/>
  <c r="J106" i="10"/>
  <c r="J107" i="10"/>
  <c r="J108" i="10"/>
  <c r="J109" i="10"/>
  <c r="J110" i="10"/>
  <c r="J111" i="10"/>
  <c r="J112" i="10"/>
  <c r="J113" i="10"/>
  <c r="J114" i="10"/>
  <c r="J115" i="10"/>
  <c r="J116" i="10"/>
  <c r="J117" i="10"/>
  <c r="J118" i="10"/>
  <c r="J119" i="10"/>
  <c r="J120" i="10"/>
  <c r="J121" i="10"/>
  <c r="J122" i="10"/>
  <c r="J123" i="10"/>
  <c r="J124" i="10"/>
  <c r="J125" i="10"/>
  <c r="J126" i="10"/>
  <c r="J127" i="10"/>
  <c r="J128" i="10"/>
  <c r="J129" i="10"/>
  <c r="J130" i="10"/>
  <c r="J131" i="10"/>
  <c r="J132" i="10"/>
  <c r="J133" i="10"/>
  <c r="J134" i="10"/>
  <c r="J135" i="10"/>
  <c r="J136" i="10"/>
  <c r="J137" i="10"/>
  <c r="J138" i="10"/>
  <c r="J139" i="10"/>
  <c r="J140" i="10"/>
  <c r="J141" i="10"/>
  <c r="J142" i="10"/>
  <c r="J143" i="10"/>
  <c r="J144" i="10"/>
  <c r="J145" i="10"/>
  <c r="J146" i="10"/>
  <c r="J147" i="10"/>
  <c r="J148" i="10"/>
  <c r="J149" i="10"/>
  <c r="J150" i="10"/>
  <c r="J151" i="10"/>
  <c r="J152" i="10"/>
  <c r="J153" i="10"/>
  <c r="J154" i="10"/>
  <c r="J155" i="10"/>
  <c r="J156" i="10"/>
  <c r="J157" i="10"/>
  <c r="J158" i="10"/>
  <c r="J159" i="10"/>
  <c r="J2" i="10"/>
  <c r="B12" i="10"/>
  <c r="C12" i="10"/>
  <c r="D12" i="10"/>
  <c r="E12" i="10"/>
  <c r="B13" i="10"/>
  <c r="C13" i="10"/>
  <c r="D13" i="10"/>
  <c r="E13" i="10"/>
  <c r="B14" i="10"/>
  <c r="C14" i="10"/>
  <c r="D14" i="10"/>
  <c r="E14" i="10"/>
  <c r="B15" i="10"/>
  <c r="C15" i="10"/>
  <c r="D15" i="10"/>
  <c r="E15" i="10"/>
  <c r="B16" i="10"/>
  <c r="C16" i="10"/>
  <c r="D16" i="10"/>
  <c r="E16" i="10"/>
  <c r="G9" i="10"/>
  <c r="H9" i="10"/>
  <c r="I9" i="10"/>
  <c r="G10" i="10"/>
  <c r="H10" i="10"/>
  <c r="I10" i="10"/>
  <c r="G11" i="10"/>
  <c r="H11" i="10"/>
  <c r="I11" i="10"/>
  <c r="G12" i="10"/>
  <c r="H12" i="10"/>
  <c r="I12" i="10"/>
  <c r="G13" i="10"/>
  <c r="H13" i="10"/>
  <c r="I13" i="10"/>
  <c r="G14" i="10"/>
  <c r="H14" i="10"/>
  <c r="I14" i="10"/>
  <c r="G15" i="10"/>
  <c r="H15" i="10"/>
  <c r="I15" i="10"/>
  <c r="G16" i="10"/>
  <c r="H16" i="10"/>
  <c r="I16" i="10"/>
  <c r="B9" i="10"/>
  <c r="C9" i="10"/>
  <c r="D9" i="10"/>
  <c r="E9" i="10"/>
  <c r="O179" i="3"/>
  <c r="N32" i="3"/>
  <c r="N36" i="3"/>
  <c r="L32" i="3"/>
  <c r="M36" i="3"/>
  <c r="O32" i="3"/>
  <c r="M32" i="3"/>
  <c r="O29" i="3"/>
  <c r="O36" i="3"/>
  <c r="L36" i="3"/>
  <c r="Y159" i="13" l="1"/>
  <c r="K159" i="10"/>
  <c r="F36" i="3"/>
  <c r="AC16" i="13" s="1"/>
  <c r="AA16" i="13"/>
  <c r="AB9" i="13"/>
  <c r="AB12" i="13"/>
  <c r="F32" i="3"/>
  <c r="AC12" i="13" s="1"/>
  <c r="AA12" i="13"/>
  <c r="F29" i="3"/>
  <c r="AC9" i="13" s="1"/>
  <c r="AA9" i="13"/>
  <c r="L16" i="10"/>
  <c r="AB16" i="13"/>
  <c r="AA159" i="13"/>
  <c r="L161" i="1"/>
  <c r="M161" i="1"/>
  <c r="V12" i="9"/>
  <c r="L9" i="10"/>
  <c r="L12" i="10"/>
  <c r="H29" i="3"/>
  <c r="AE9" i="13" s="1"/>
  <c r="H36" i="3"/>
  <c r="AE16" i="13" s="1"/>
  <c r="H32" i="3"/>
  <c r="AE12" i="13" s="1"/>
  <c r="H179" i="3"/>
  <c r="AE159" i="13" s="1"/>
  <c r="G29" i="3"/>
  <c r="AD9" i="13" s="1"/>
  <c r="G36" i="3"/>
  <c r="AD16" i="13" s="1"/>
  <c r="G32" i="3"/>
  <c r="AD12" i="13" s="1"/>
  <c r="G179" i="3"/>
  <c r="AD159" i="13" s="1"/>
  <c r="E23" i="23"/>
  <c r="F23" i="23"/>
  <c r="E24" i="23"/>
  <c r="F24" i="23"/>
  <c r="E25" i="23"/>
  <c r="F25" i="23"/>
  <c r="E26" i="23"/>
  <c r="F26" i="23"/>
  <c r="E27" i="23"/>
  <c r="F27" i="23"/>
  <c r="E28" i="23"/>
  <c r="F28" i="23"/>
  <c r="E29" i="23"/>
  <c r="F29" i="23"/>
  <c r="E30" i="23"/>
  <c r="F30" i="23"/>
  <c r="E31" i="23"/>
  <c r="F31" i="23"/>
  <c r="E32" i="23"/>
  <c r="F32" i="23"/>
  <c r="E33" i="23"/>
  <c r="F33" i="23"/>
  <c r="E34" i="23"/>
  <c r="F34" i="23"/>
  <c r="E35" i="23"/>
  <c r="F35" i="23"/>
  <c r="E36" i="23"/>
  <c r="F36" i="23"/>
  <c r="E37" i="23"/>
  <c r="F37" i="23"/>
  <c r="E38" i="23"/>
  <c r="F38" i="23"/>
  <c r="E39" i="23"/>
  <c r="F39" i="23"/>
  <c r="E40" i="23"/>
  <c r="F40" i="23"/>
  <c r="E41" i="23"/>
  <c r="F41" i="23"/>
  <c r="E42" i="23"/>
  <c r="F42" i="23"/>
  <c r="E43" i="23"/>
  <c r="F43" i="23"/>
  <c r="E44" i="23"/>
  <c r="F44" i="23"/>
  <c r="E45" i="23"/>
  <c r="F45" i="23"/>
  <c r="E46" i="23"/>
  <c r="F46" i="23"/>
  <c r="E47" i="23"/>
  <c r="F47" i="23"/>
  <c r="E48" i="23"/>
  <c r="F48" i="23"/>
  <c r="E49" i="23"/>
  <c r="F49" i="23"/>
  <c r="E50" i="23"/>
  <c r="F50" i="23"/>
  <c r="E51" i="23"/>
  <c r="F51" i="23"/>
  <c r="E52" i="23"/>
  <c r="F52" i="23"/>
  <c r="E53" i="23"/>
  <c r="F53" i="23"/>
  <c r="E54" i="23"/>
  <c r="F54" i="23"/>
  <c r="E55" i="23"/>
  <c r="F55" i="23"/>
  <c r="E56" i="23"/>
  <c r="F56" i="23"/>
  <c r="E57" i="23"/>
  <c r="F57" i="23"/>
  <c r="E58" i="23"/>
  <c r="F58" i="23"/>
  <c r="E59" i="23"/>
  <c r="F59" i="23"/>
  <c r="E60" i="23"/>
  <c r="F60" i="23"/>
  <c r="E61" i="23"/>
  <c r="F61" i="23"/>
  <c r="E62" i="23"/>
  <c r="F62" i="23"/>
  <c r="E63" i="23"/>
  <c r="F63" i="23"/>
  <c r="E64" i="23"/>
  <c r="F64" i="23"/>
  <c r="E65" i="23"/>
  <c r="F65" i="23"/>
  <c r="E66" i="23"/>
  <c r="F66" i="23"/>
  <c r="E67" i="23"/>
  <c r="F67" i="23"/>
  <c r="E68" i="23"/>
  <c r="F68" i="23"/>
  <c r="E69" i="23"/>
  <c r="F69" i="23"/>
  <c r="E70" i="23"/>
  <c r="F70" i="23"/>
  <c r="E71" i="23"/>
  <c r="F71" i="23"/>
  <c r="E72" i="23"/>
  <c r="F72" i="23"/>
  <c r="E73" i="23"/>
  <c r="F73" i="23"/>
  <c r="E74" i="23"/>
  <c r="F74" i="23"/>
  <c r="E75" i="23"/>
  <c r="F75" i="23"/>
  <c r="E76" i="23"/>
  <c r="F76" i="23"/>
  <c r="E77" i="23"/>
  <c r="F77" i="23"/>
  <c r="E78" i="23"/>
  <c r="F78" i="23"/>
  <c r="E79" i="23"/>
  <c r="F79" i="23"/>
  <c r="E80" i="23"/>
  <c r="F80" i="23"/>
  <c r="E81" i="23"/>
  <c r="F81" i="23"/>
  <c r="E82" i="23"/>
  <c r="F82" i="23"/>
  <c r="E83" i="23"/>
  <c r="F83" i="23"/>
  <c r="E84" i="23"/>
  <c r="F84" i="23"/>
  <c r="E85" i="23"/>
  <c r="F85" i="23"/>
  <c r="E86" i="23"/>
  <c r="F86" i="23"/>
  <c r="E87" i="23"/>
  <c r="F87" i="23"/>
  <c r="E88" i="23"/>
  <c r="F88" i="23"/>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G68" i="23"/>
  <c r="P8" i="29"/>
  <c r="K36" i="3"/>
  <c r="K32" i="3"/>
  <c r="J32" i="3"/>
  <c r="J36" i="3"/>
  <c r="V70" i="1" l="1"/>
  <c r="E58" i="13"/>
  <c r="E49" i="13"/>
  <c r="E40" i="13"/>
  <c r="E31" i="13"/>
  <c r="E22" i="13"/>
  <c r="E13" i="13"/>
  <c r="E4" i="13"/>
  <c r="N6" i="3"/>
  <c r="L48" i="26" l="1"/>
  <c r="I48" i="26"/>
  <c r="F48" i="26"/>
  <c r="A48" i="26"/>
  <c r="L139" i="26"/>
  <c r="I139" i="26"/>
  <c r="F139" i="26"/>
  <c r="A139" i="26"/>
  <c r="K156" i="1"/>
  <c r="K157" i="1"/>
  <c r="D44" i="3"/>
  <c r="AA24" i="13" s="1"/>
  <c r="E44" i="3"/>
  <c r="I44" i="3"/>
  <c r="D135" i="3"/>
  <c r="E135" i="3"/>
  <c r="I135" i="3"/>
  <c r="B44" i="3"/>
  <c r="Y24" i="13" s="1"/>
  <c r="B135" i="3"/>
  <c r="Y115" i="13" s="1"/>
  <c r="G115" i="10"/>
  <c r="H115" i="10"/>
  <c r="I115" i="10"/>
  <c r="B115" i="10"/>
  <c r="C115" i="10"/>
  <c r="D115" i="10"/>
  <c r="E115" i="10"/>
  <c r="G24" i="10"/>
  <c r="H24" i="10"/>
  <c r="I24" i="10"/>
  <c r="B24" i="10"/>
  <c r="C24" i="10"/>
  <c r="D24" i="10"/>
  <c r="E24" i="10"/>
  <c r="I50" i="26"/>
  <c r="F50" i="26"/>
  <c r="D32" i="29"/>
  <c r="J32" i="29" s="1"/>
  <c r="D8" i="29"/>
  <c r="J10" i="29" s="1"/>
  <c r="P5" i="29"/>
  <c r="J5" i="29" s="1"/>
  <c r="I85" i="26"/>
  <c r="F80" i="26"/>
  <c r="F81" i="26"/>
  <c r="F82" i="26"/>
  <c r="F83" i="26"/>
  <c r="V7" i="29"/>
  <c r="AG15" i="1" s="1"/>
  <c r="D29" i="29"/>
  <c r="L29" i="29" s="1"/>
  <c r="D26" i="29"/>
  <c r="F28" i="29" s="1"/>
  <c r="D23" i="29"/>
  <c r="F25" i="29" s="1"/>
  <c r="D20" i="29"/>
  <c r="N20" i="29" s="1"/>
  <c r="D17" i="29"/>
  <c r="N17" i="29" s="1"/>
  <c r="D14" i="29"/>
  <c r="J16" i="29" s="1"/>
  <c r="D11" i="29"/>
  <c r="H11" i="29" s="1"/>
  <c r="AA34" i="29"/>
  <c r="AH43" i="1" s="1"/>
  <c r="Z34" i="29"/>
  <c r="AG43" i="1" s="1"/>
  <c r="Y34" i="29"/>
  <c r="AF43" i="1" s="1"/>
  <c r="X34" i="29"/>
  <c r="W34" i="29"/>
  <c r="AH42" i="1" s="1"/>
  <c r="V34" i="29"/>
  <c r="AG42" i="1" s="1"/>
  <c r="U34" i="29"/>
  <c r="T34" i="29"/>
  <c r="AE42" i="1" s="1"/>
  <c r="S34" i="29"/>
  <c r="R34" i="29"/>
  <c r="AG41" i="1" s="1"/>
  <c r="Q34" i="29"/>
  <c r="AF41" i="1" s="1"/>
  <c r="P34" i="29"/>
  <c r="AE41" i="1" s="1"/>
  <c r="AA31" i="29"/>
  <c r="Z31" i="29"/>
  <c r="AG40" i="1" s="1"/>
  <c r="Y31" i="29"/>
  <c r="AF40" i="1" s="1"/>
  <c r="X31" i="29"/>
  <c r="AE40" i="1" s="1"/>
  <c r="W31" i="29"/>
  <c r="AH39" i="1" s="1"/>
  <c r="V31" i="29"/>
  <c r="AG39" i="1" s="1"/>
  <c r="U31" i="29"/>
  <c r="AF39" i="1" s="1"/>
  <c r="T31" i="29"/>
  <c r="AE39" i="1" s="1"/>
  <c r="S31" i="29"/>
  <c r="AH38" i="1" s="1"/>
  <c r="R31" i="29"/>
  <c r="Q31" i="29"/>
  <c r="AF38" i="1" s="1"/>
  <c r="P31" i="29"/>
  <c r="AE38" i="1" s="1"/>
  <c r="AA28" i="29"/>
  <c r="AH37" i="1" s="1"/>
  <c r="Z28" i="29"/>
  <c r="AG37" i="1" s="1"/>
  <c r="Y28" i="29"/>
  <c r="AF37" i="1" s="1"/>
  <c r="X28" i="29"/>
  <c r="AE37" i="1" s="1"/>
  <c r="W28" i="29"/>
  <c r="AH36" i="1" s="1"/>
  <c r="V28" i="29"/>
  <c r="AG36" i="1" s="1"/>
  <c r="U28" i="29"/>
  <c r="T28" i="29"/>
  <c r="AE36" i="1" s="1"/>
  <c r="S28" i="29"/>
  <c r="AH35" i="1" s="1"/>
  <c r="R28" i="29"/>
  <c r="AG35" i="1" s="1"/>
  <c r="Q28" i="29"/>
  <c r="AF35" i="1" s="1"/>
  <c r="P28" i="29"/>
  <c r="AA25" i="29"/>
  <c r="Z25" i="29"/>
  <c r="AG34" i="1" s="1"/>
  <c r="Y25" i="29"/>
  <c r="AF34" i="1" s="1"/>
  <c r="X25" i="29"/>
  <c r="AE34" i="1" s="1"/>
  <c r="W25" i="29"/>
  <c r="AH33" i="1" s="1"/>
  <c r="V25" i="29"/>
  <c r="AG33" i="1" s="1"/>
  <c r="U25" i="29"/>
  <c r="AF33" i="1" s="1"/>
  <c r="T25" i="29"/>
  <c r="AE33" i="1" s="1"/>
  <c r="S25" i="29"/>
  <c r="R25" i="29"/>
  <c r="AG32" i="1" s="1"/>
  <c r="Q25" i="29"/>
  <c r="AF32" i="1" s="1"/>
  <c r="P25" i="29"/>
  <c r="AE32" i="1" s="1"/>
  <c r="AA22" i="29"/>
  <c r="Z22" i="29"/>
  <c r="AG31" i="1" s="1"/>
  <c r="Y22" i="29"/>
  <c r="AF31" i="1" s="1"/>
  <c r="X22" i="29"/>
  <c r="AE31" i="1" s="1"/>
  <c r="W22" i="29"/>
  <c r="AH30" i="1" s="1"/>
  <c r="V22" i="29"/>
  <c r="AG30" i="1" s="1"/>
  <c r="U22" i="29"/>
  <c r="AF30" i="1" s="1"/>
  <c r="T22" i="29"/>
  <c r="AE30" i="1" s="1"/>
  <c r="S22" i="29"/>
  <c r="AH29" i="1" s="1"/>
  <c r="R22" i="29"/>
  <c r="AG29" i="1" s="1"/>
  <c r="Q22" i="29"/>
  <c r="AF29" i="1" s="1"/>
  <c r="P22" i="29"/>
  <c r="AE29" i="1" s="1"/>
  <c r="AA19" i="29"/>
  <c r="AH28" i="1" s="1"/>
  <c r="Z19" i="29"/>
  <c r="AG28" i="1" s="1"/>
  <c r="Y19" i="29"/>
  <c r="AF28" i="1" s="1"/>
  <c r="X19" i="29"/>
  <c r="AE28" i="1" s="1"/>
  <c r="W19" i="29"/>
  <c r="AH27" i="1" s="1"/>
  <c r="V19" i="29"/>
  <c r="AG27" i="1" s="1"/>
  <c r="U19" i="29"/>
  <c r="AF27" i="1" s="1"/>
  <c r="T19" i="29"/>
  <c r="AE27" i="1" s="1"/>
  <c r="S19" i="29"/>
  <c r="AH26" i="1" s="1"/>
  <c r="R19" i="29"/>
  <c r="AG26" i="1" s="1"/>
  <c r="Q19" i="29"/>
  <c r="AF26" i="1" s="1"/>
  <c r="P19" i="29"/>
  <c r="AE26" i="1" s="1"/>
  <c r="AA16" i="29"/>
  <c r="AH25" i="1" s="1"/>
  <c r="Z16" i="29"/>
  <c r="AG25" i="1" s="1"/>
  <c r="Y16" i="29"/>
  <c r="AF25" i="1" s="1"/>
  <c r="X16" i="29"/>
  <c r="AE25" i="1" s="1"/>
  <c r="W16" i="29"/>
  <c r="AH24" i="1" s="1"/>
  <c r="V16" i="29"/>
  <c r="AG24" i="1" s="1"/>
  <c r="U16" i="29"/>
  <c r="AF24" i="1" s="1"/>
  <c r="T16" i="29"/>
  <c r="AE24" i="1" s="1"/>
  <c r="S16" i="29"/>
  <c r="AH23" i="1" s="1"/>
  <c r="R16" i="29"/>
  <c r="AG23" i="1" s="1"/>
  <c r="Q16" i="29"/>
  <c r="AF23" i="1" s="1"/>
  <c r="P16" i="29"/>
  <c r="AE23" i="1" s="1"/>
  <c r="AA13" i="29"/>
  <c r="AH22" i="1" s="1"/>
  <c r="Z13" i="29"/>
  <c r="AG22" i="1" s="1"/>
  <c r="Y13" i="29"/>
  <c r="AF22" i="1" s="1"/>
  <c r="X13" i="29"/>
  <c r="AE22" i="1" s="1"/>
  <c r="W13" i="29"/>
  <c r="AH21" i="1" s="1"/>
  <c r="V13" i="29"/>
  <c r="AG21" i="1" s="1"/>
  <c r="U13" i="29"/>
  <c r="AF21" i="1" s="1"/>
  <c r="T13" i="29"/>
  <c r="AE21" i="1" s="1"/>
  <c r="S13" i="29"/>
  <c r="AH20" i="1" s="1"/>
  <c r="R13" i="29"/>
  <c r="AG20" i="1" s="1"/>
  <c r="Q13" i="29"/>
  <c r="AF20" i="1" s="1"/>
  <c r="P13" i="29"/>
  <c r="AE20" i="1" s="1"/>
  <c r="AA10" i="29"/>
  <c r="AH19" i="1" s="1"/>
  <c r="Z10" i="29"/>
  <c r="AG19" i="1" s="1"/>
  <c r="Y10" i="29"/>
  <c r="AF19" i="1" s="1"/>
  <c r="X10" i="29"/>
  <c r="AE19" i="1" s="1"/>
  <c r="W10" i="29"/>
  <c r="AH18" i="1" s="1"/>
  <c r="V10" i="29"/>
  <c r="AG18" i="1" s="1"/>
  <c r="U10" i="29"/>
  <c r="AF18" i="1" s="1"/>
  <c r="T10" i="29"/>
  <c r="AE18" i="1" s="1"/>
  <c r="S10" i="29"/>
  <c r="AH17" i="1" s="1"/>
  <c r="R10" i="29"/>
  <c r="AG17" i="1" s="1"/>
  <c r="Q10" i="29"/>
  <c r="AF17" i="1" s="1"/>
  <c r="P10" i="29"/>
  <c r="AE17" i="1" s="1"/>
  <c r="AA7" i="29"/>
  <c r="AH16" i="1" s="1"/>
  <c r="Z7" i="29"/>
  <c r="AG16" i="1" s="1"/>
  <c r="Y7" i="29"/>
  <c r="AF16" i="1" s="1"/>
  <c r="X7" i="29"/>
  <c r="AE16" i="1" s="1"/>
  <c r="W7" i="29"/>
  <c r="AH15" i="1" s="1"/>
  <c r="U7" i="29"/>
  <c r="AF15" i="1" s="1"/>
  <c r="T7" i="29"/>
  <c r="AE15" i="1" s="1"/>
  <c r="S7" i="29"/>
  <c r="AH14" i="1" s="1"/>
  <c r="R7" i="29"/>
  <c r="AG14" i="1" s="1"/>
  <c r="Q7" i="29"/>
  <c r="AF14" i="1" s="1"/>
  <c r="P7" i="29"/>
  <c r="T5" i="29"/>
  <c r="X5" i="29"/>
  <c r="T8" i="29"/>
  <c r="X8" i="29"/>
  <c r="AE43" i="1"/>
  <c r="AF42" i="1"/>
  <c r="AH41" i="1"/>
  <c r="AH40" i="1"/>
  <c r="AG38" i="1"/>
  <c r="AF36" i="1"/>
  <c r="AE35" i="1"/>
  <c r="AH34" i="1"/>
  <c r="AH32" i="1"/>
  <c r="AH31" i="1"/>
  <c r="F79" i="26"/>
  <c r="I80" i="26"/>
  <c r="I81" i="26"/>
  <c r="I82" i="26"/>
  <c r="I83" i="26"/>
  <c r="I84" i="26"/>
  <c r="G14" i="26"/>
  <c r="H14" i="26"/>
  <c r="B8" i="17"/>
  <c r="I51" i="26"/>
  <c r="I52" i="26"/>
  <c r="I53" i="26"/>
  <c r="I54" i="26"/>
  <c r="F49" i="26"/>
  <c r="I14" i="26"/>
  <c r="F14" i="26"/>
  <c r="F9" i="26"/>
  <c r="M135" i="3"/>
  <c r="O44" i="3"/>
  <c r="O135" i="3"/>
  <c r="M44" i="3"/>
  <c r="N135" i="3"/>
  <c r="L44" i="3"/>
  <c r="N44" i="3"/>
  <c r="L135" i="3"/>
  <c r="F16" i="29" l="1"/>
  <c r="L14" i="29"/>
  <c r="AB115" i="13"/>
  <c r="K115" i="10"/>
  <c r="AB24" i="13"/>
  <c r="K24" i="10"/>
  <c r="F135" i="3"/>
  <c r="AC115" i="13" s="1"/>
  <c r="AA115" i="13"/>
  <c r="E13" i="29"/>
  <c r="H16" i="29"/>
  <c r="H19" i="29"/>
  <c r="L5" i="29"/>
  <c r="H7" i="29"/>
  <c r="N14" i="29"/>
  <c r="H14" i="29"/>
  <c r="E16" i="29"/>
  <c r="J14" i="29"/>
  <c r="L17" i="29"/>
  <c r="N11" i="29"/>
  <c r="H29" i="29"/>
  <c r="J13" i="29"/>
  <c r="E31" i="29"/>
  <c r="L11" i="29"/>
  <c r="J31" i="29"/>
  <c r="F44" i="3"/>
  <c r="AC24" i="13" s="1"/>
  <c r="E34" i="29"/>
  <c r="L32" i="29"/>
  <c r="F34" i="29"/>
  <c r="N32" i="29"/>
  <c r="J20" i="29"/>
  <c r="H23" i="29"/>
  <c r="L24" i="10"/>
  <c r="N26" i="29"/>
  <c r="J19" i="29"/>
  <c r="H22" i="29"/>
  <c r="H34" i="29"/>
  <c r="E19" i="29"/>
  <c r="H25" i="29"/>
  <c r="J34" i="29"/>
  <c r="F22" i="29"/>
  <c r="F19" i="29"/>
  <c r="J17" i="29"/>
  <c r="H32" i="29"/>
  <c r="G44" i="3"/>
  <c r="AD24" i="13" s="1"/>
  <c r="G135" i="3"/>
  <c r="AD115" i="13" s="1"/>
  <c r="H135" i="3"/>
  <c r="AE115" i="13" s="1"/>
  <c r="H44" i="3"/>
  <c r="AE24" i="13" s="1"/>
  <c r="J22" i="29"/>
  <c r="H20" i="29"/>
  <c r="L20" i="29"/>
  <c r="H28" i="29"/>
  <c r="E22" i="29"/>
  <c r="J11" i="29"/>
  <c r="N29" i="29"/>
  <c r="F13" i="29"/>
  <c r="F31" i="29"/>
  <c r="J29" i="29"/>
  <c r="H13" i="29"/>
  <c r="H31" i="29"/>
  <c r="L8" i="29"/>
  <c r="E10" i="29"/>
  <c r="F10" i="29"/>
  <c r="H17" i="29"/>
  <c r="J7" i="29"/>
  <c r="J25" i="29"/>
  <c r="N5" i="29"/>
  <c r="J23" i="29"/>
  <c r="L23" i="29"/>
  <c r="N23" i="29"/>
  <c r="E25" i="29"/>
  <c r="H5" i="29"/>
  <c r="E7" i="29"/>
  <c r="F7" i="29"/>
  <c r="H26" i="29"/>
  <c r="J28" i="29"/>
  <c r="H8" i="29"/>
  <c r="J26" i="29"/>
  <c r="J8" i="29"/>
  <c r="L26" i="29"/>
  <c r="H10" i="29"/>
  <c r="E28" i="29"/>
  <c r="N8" i="29"/>
  <c r="AD13" i="1"/>
  <c r="AD12" i="1"/>
  <c r="AD11" i="1"/>
  <c r="AD10" i="1"/>
  <c r="AD9" i="1"/>
  <c r="AD8" i="1"/>
  <c r="AD7" i="1"/>
  <c r="AD6" i="1"/>
  <c r="AD5" i="1"/>
  <c r="AD4" i="1"/>
  <c r="P17" i="29"/>
  <c r="AD26" i="1" s="1"/>
  <c r="X32" i="29"/>
  <c r="AD43" i="1" s="1"/>
  <c r="AJ2" i="24"/>
  <c r="AJ3" i="24" s="1"/>
  <c r="P32" i="29"/>
  <c r="AD41" i="1" s="1"/>
  <c r="T32" i="29"/>
  <c r="AD42" i="1" s="1"/>
  <c r="X29" i="29"/>
  <c r="AD40" i="1" s="1"/>
  <c r="T29" i="29"/>
  <c r="AD39" i="1" s="1"/>
  <c r="P29" i="29"/>
  <c r="AD38" i="1" s="1"/>
  <c r="P23" i="29"/>
  <c r="AD32" i="1" s="1"/>
  <c r="T23" i="29"/>
  <c r="AD33" i="1" s="1"/>
  <c r="X23" i="29"/>
  <c r="AD34" i="1" s="1"/>
  <c r="X26" i="29"/>
  <c r="AD37" i="1" s="1"/>
  <c r="T26" i="29"/>
  <c r="AD36" i="1" s="1"/>
  <c r="P26" i="29"/>
  <c r="AD35" i="1" s="1"/>
  <c r="AD31" i="1"/>
  <c r="T20" i="29"/>
  <c r="AD30" i="1" s="1"/>
  <c r="P20" i="29"/>
  <c r="AD29" i="1" s="1"/>
  <c r="X17" i="29"/>
  <c r="AD28" i="1" s="1"/>
  <c r="AD27" i="1"/>
  <c r="X14" i="29"/>
  <c r="AD25" i="1" s="1"/>
  <c r="T14" i="29"/>
  <c r="AD24" i="1" s="1"/>
  <c r="AD23" i="1"/>
  <c r="X11" i="29"/>
  <c r="AD22" i="1" s="1"/>
  <c r="T11" i="29"/>
  <c r="AD21" i="1" s="1"/>
  <c r="P11" i="29"/>
  <c r="AD20" i="1" s="1"/>
  <c r="AD19" i="1"/>
  <c r="AD18" i="1"/>
  <c r="AD17" i="1"/>
  <c r="AD16" i="1"/>
  <c r="AD15" i="1"/>
  <c r="AD14" i="1"/>
  <c r="J44" i="3"/>
  <c r="K44" i="3"/>
  <c r="J30" i="29" l="1"/>
  <c r="AA30" i="29" s="1"/>
  <c r="F154" i="26"/>
  <c r="I154" i="26"/>
  <c r="L154" i="26"/>
  <c r="I68" i="26"/>
  <c r="BI5" i="24" l="1"/>
  <c r="S30" i="29"/>
  <c r="W30" i="29"/>
  <c r="AJ4" i="24"/>
  <c r="AJ5" i="24" s="1"/>
  <c r="AJ6" i="24" s="1"/>
  <c r="AJ7" i="24" s="1"/>
  <c r="AJ8" i="24" s="1"/>
  <c r="AJ9" i="24" s="1"/>
  <c r="AJ10" i="24" s="1"/>
  <c r="AJ11" i="24" s="1"/>
  <c r="AJ12" i="24" s="1"/>
  <c r="AJ13" i="24" s="1"/>
  <c r="AJ14" i="24" s="1"/>
  <c r="AJ15" i="24" s="1"/>
  <c r="AJ16" i="24" s="1"/>
  <c r="AJ17" i="24" s="1"/>
  <c r="AJ18" i="24" s="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L31" i="26"/>
  <c r="I31" i="26"/>
  <c r="F31" i="26"/>
  <c r="L64" i="26"/>
  <c r="I64" i="26"/>
  <c r="F64" i="26"/>
  <c r="L136" i="26"/>
  <c r="I136" i="26"/>
  <c r="F136" i="26"/>
  <c r="A136" i="26"/>
  <c r="A64" i="26"/>
  <c r="A31" i="26"/>
  <c r="D27" i="3"/>
  <c r="AA7" i="13" s="1"/>
  <c r="E27" i="3"/>
  <c r="I27" i="3"/>
  <c r="D60" i="3"/>
  <c r="AA40" i="13" s="1"/>
  <c r="E60" i="3"/>
  <c r="I60" i="3"/>
  <c r="D132" i="3"/>
  <c r="AA112" i="13" s="1"/>
  <c r="E132" i="3"/>
  <c r="I132" i="3"/>
  <c r="B27" i="3"/>
  <c r="Y7" i="13" s="1"/>
  <c r="B60" i="3"/>
  <c r="Y40" i="13" s="1"/>
  <c r="B132" i="3"/>
  <c r="Y112" i="13" s="1"/>
  <c r="G112" i="10"/>
  <c r="H112" i="10"/>
  <c r="I112" i="10"/>
  <c r="B112" i="10"/>
  <c r="C112" i="10"/>
  <c r="D112" i="10"/>
  <c r="E112" i="10"/>
  <c r="G40" i="10"/>
  <c r="H40" i="10"/>
  <c r="I40" i="10"/>
  <c r="B40" i="10"/>
  <c r="C40" i="10"/>
  <c r="D40" i="10"/>
  <c r="E40" i="10"/>
  <c r="G7" i="10"/>
  <c r="H7" i="10"/>
  <c r="I7" i="10"/>
  <c r="B7" i="10"/>
  <c r="C7" i="10"/>
  <c r="D7" i="10"/>
  <c r="E7" i="10"/>
  <c r="O60" i="3"/>
  <c r="L60" i="3"/>
  <c r="L27" i="3"/>
  <c r="L132" i="3"/>
  <c r="O27" i="3"/>
  <c r="M60" i="3"/>
  <c r="O132" i="3"/>
  <c r="M27" i="3"/>
  <c r="N132" i="3"/>
  <c r="M132" i="3"/>
  <c r="N60" i="3"/>
  <c r="N27" i="3"/>
  <c r="AB40" i="13" l="1"/>
  <c r="K40" i="10"/>
  <c r="AB112" i="13"/>
  <c r="K112" i="10"/>
  <c r="AB7" i="13"/>
  <c r="K7" i="10"/>
  <c r="G33" i="23"/>
  <c r="V35" i="1"/>
  <c r="F132" i="3"/>
  <c r="AC112" i="13" s="1"/>
  <c r="L115" i="10"/>
  <c r="F60" i="3"/>
  <c r="AC40" i="13" s="1"/>
  <c r="L7" i="10"/>
  <c r="F27" i="3"/>
  <c r="AC7" i="13" s="1"/>
  <c r="L40" i="10"/>
  <c r="H132" i="3"/>
  <c r="AE112" i="13" s="1"/>
  <c r="H60" i="3"/>
  <c r="AE40" i="13" s="1"/>
  <c r="H27" i="3"/>
  <c r="AE7" i="13" s="1"/>
  <c r="G132" i="3"/>
  <c r="AD112" i="13" s="1"/>
  <c r="G60" i="3"/>
  <c r="AD40" i="13" s="1"/>
  <c r="G27" i="3"/>
  <c r="AD7" i="13" s="1"/>
  <c r="U63" i="13"/>
  <c r="T63" i="13"/>
  <c r="S63" i="13"/>
  <c r="R63" i="13"/>
  <c r="Q63" i="13"/>
  <c r="P63" i="13"/>
  <c r="O63" i="13"/>
  <c r="N63" i="13"/>
  <c r="M63" i="13"/>
  <c r="L63" i="13"/>
  <c r="U62" i="13"/>
  <c r="T62" i="13"/>
  <c r="S62" i="13"/>
  <c r="R62" i="13"/>
  <c r="Q62" i="13"/>
  <c r="P62" i="13"/>
  <c r="O62" i="13"/>
  <c r="N62" i="13"/>
  <c r="M62" i="13"/>
  <c r="L62" i="13"/>
  <c r="U61" i="13"/>
  <c r="T61" i="13"/>
  <c r="S61" i="13"/>
  <c r="R61" i="13"/>
  <c r="Q61" i="13"/>
  <c r="P61" i="13"/>
  <c r="O61" i="13"/>
  <c r="N61" i="13"/>
  <c r="M61" i="13"/>
  <c r="L61" i="13"/>
  <c r="E37" i="11"/>
  <c r="D37" i="11"/>
  <c r="C37" i="11"/>
  <c r="E36" i="11"/>
  <c r="D36" i="11"/>
  <c r="C36" i="11"/>
  <c r="E35" i="11"/>
  <c r="D35" i="11"/>
  <c r="C35" i="11"/>
  <c r="B37" i="11"/>
  <c r="B36" i="11"/>
  <c r="R57" i="13" s="1"/>
  <c r="B35" i="11"/>
  <c r="S58" i="13"/>
  <c r="G58" i="13"/>
  <c r="C58" i="13"/>
  <c r="S57" i="13"/>
  <c r="E5" i="3"/>
  <c r="D7" i="3" s="1"/>
  <c r="E7" i="3"/>
  <c r="A40" i="11"/>
  <c r="P6" i="3"/>
  <c r="L6" i="3"/>
  <c r="D79" i="3"/>
  <c r="AA59" i="13" s="1"/>
  <c r="E79" i="3"/>
  <c r="K27" i="3"/>
  <c r="J60" i="3"/>
  <c r="K135" i="3"/>
  <c r="J135" i="3"/>
  <c r="J27" i="3"/>
  <c r="K60" i="3"/>
  <c r="AB59" i="13" l="1"/>
  <c r="K59" i="10"/>
  <c r="R56" i="13"/>
  <c r="S56" i="13"/>
  <c r="R58" i="13"/>
  <c r="L166" i="26"/>
  <c r="I166" i="26"/>
  <c r="F166" i="26"/>
  <c r="A166" i="26"/>
  <c r="E162" i="3" l="1"/>
  <c r="D162" i="3"/>
  <c r="AA142" i="13" s="1"/>
  <c r="L106" i="26"/>
  <c r="I106" i="26"/>
  <c r="I107" i="26"/>
  <c r="F106" i="26"/>
  <c r="A106" i="26"/>
  <c r="G82" i="10"/>
  <c r="H82" i="10"/>
  <c r="I82" i="10"/>
  <c r="D30" i="3"/>
  <c r="AA10" i="13" s="1"/>
  <c r="E30" i="3"/>
  <c r="I30" i="3"/>
  <c r="D33" i="3"/>
  <c r="AA13" i="13" s="1"/>
  <c r="E33" i="3"/>
  <c r="I33" i="3"/>
  <c r="D102" i="3"/>
  <c r="AA82" i="13" s="1"/>
  <c r="E102" i="3"/>
  <c r="I102" i="3"/>
  <c r="B30" i="3"/>
  <c r="Y10" i="13" s="1"/>
  <c r="B33" i="3"/>
  <c r="Y13" i="13" s="1"/>
  <c r="B102" i="3"/>
  <c r="Y82" i="13" s="1"/>
  <c r="O102" i="3"/>
  <c r="N102" i="3"/>
  <c r="L102" i="3"/>
  <c r="M102" i="3"/>
  <c r="AB10" i="13" l="1"/>
  <c r="K10" i="10"/>
  <c r="AB13" i="13"/>
  <c r="K13" i="10"/>
  <c r="AB82" i="13"/>
  <c r="K82" i="10"/>
  <c r="AB142" i="13"/>
  <c r="K142" i="10"/>
  <c r="L13" i="10"/>
  <c r="L10" i="10"/>
  <c r="L112" i="10"/>
  <c r="F102" i="3"/>
  <c r="AC82" i="13" s="1"/>
  <c r="F33" i="3"/>
  <c r="AC13" i="13" s="1"/>
  <c r="F30" i="3"/>
  <c r="AC10" i="13" s="1"/>
  <c r="L82" i="10"/>
  <c r="H102" i="3"/>
  <c r="AE82" i="13" s="1"/>
  <c r="H33" i="3"/>
  <c r="AE13" i="13" s="1"/>
  <c r="H30" i="3"/>
  <c r="AE10" i="13" s="1"/>
  <c r="G102" i="3"/>
  <c r="AD82" i="13" s="1"/>
  <c r="G33" i="3"/>
  <c r="AD13" i="13" s="1"/>
  <c r="G30" i="3"/>
  <c r="AD10" i="13" s="1"/>
  <c r="B82" i="10"/>
  <c r="C82" i="10"/>
  <c r="D82" i="10"/>
  <c r="E82" i="10"/>
  <c r="B10" i="10"/>
  <c r="C10" i="10"/>
  <c r="D10" i="10"/>
  <c r="E10" i="10"/>
  <c r="J132" i="3"/>
  <c r="M33" i="3"/>
  <c r="K33" i="3"/>
  <c r="J33" i="3"/>
  <c r="N30" i="3"/>
  <c r="L30" i="3"/>
  <c r="K102" i="3"/>
  <c r="L33" i="3"/>
  <c r="M30" i="3"/>
  <c r="N33" i="3"/>
  <c r="J30" i="3"/>
  <c r="K132" i="3"/>
  <c r="O30" i="3"/>
  <c r="O33" i="3"/>
  <c r="J102" i="3"/>
  <c r="K30" i="3"/>
  <c r="V25" i="1" l="1"/>
  <c r="B28" i="17"/>
  <c r="E9" i="3"/>
  <c r="H14" i="3"/>
  <c r="E12" i="3"/>
  <c r="E8" i="3"/>
  <c r="G23" i="23" l="1"/>
  <c r="J8" i="3"/>
  <c r="J7" i="3"/>
  <c r="J6" i="3"/>
  <c r="F142" i="26" l="1"/>
  <c r="B22" i="16" l="1" a="1"/>
  <c r="B22" i="16" s="1"/>
  <c r="J5" i="3" l="1"/>
  <c r="L111" i="26" l="1"/>
  <c r="I111" i="26"/>
  <c r="F111" i="26"/>
  <c r="A111" i="26"/>
  <c r="L74" i="26"/>
  <c r="I74" i="26"/>
  <c r="F74" i="26"/>
  <c r="A74" i="26"/>
  <c r="L70" i="26"/>
  <c r="I70" i="26"/>
  <c r="F70" i="26"/>
  <c r="A70" i="26"/>
  <c r="D70" i="3"/>
  <c r="AA50" i="13" s="1"/>
  <c r="E70" i="3"/>
  <c r="I70" i="3"/>
  <c r="D107" i="3"/>
  <c r="AA87" i="13" s="1"/>
  <c r="E107" i="3"/>
  <c r="I107" i="3"/>
  <c r="D66" i="3"/>
  <c r="AA46" i="13" s="1"/>
  <c r="E66" i="3"/>
  <c r="I66" i="3"/>
  <c r="B70" i="3"/>
  <c r="Y50" i="13" s="1"/>
  <c r="B107" i="3"/>
  <c r="Y87" i="13" s="1"/>
  <c r="B66" i="3"/>
  <c r="Y46" i="13" s="1"/>
  <c r="G87" i="10"/>
  <c r="H87" i="10"/>
  <c r="I87" i="10"/>
  <c r="B87" i="10"/>
  <c r="C87" i="10"/>
  <c r="D87" i="10"/>
  <c r="E87" i="10"/>
  <c r="G50" i="10"/>
  <c r="H50" i="10"/>
  <c r="I50" i="10"/>
  <c r="B50" i="10"/>
  <c r="C50" i="10"/>
  <c r="D50" i="10"/>
  <c r="E50" i="10"/>
  <c r="G46" i="10"/>
  <c r="H46" i="10"/>
  <c r="I46" i="10"/>
  <c r="B46" i="10"/>
  <c r="C46" i="10"/>
  <c r="D46" i="10"/>
  <c r="E46" i="10"/>
  <c r="M70" i="3"/>
  <c r="L66" i="3"/>
  <c r="N70" i="3"/>
  <c r="N66" i="3"/>
  <c r="M107" i="3"/>
  <c r="O66" i="3"/>
  <c r="O107" i="3"/>
  <c r="N107" i="3"/>
  <c r="O70" i="3"/>
  <c r="M66" i="3"/>
  <c r="L107" i="3"/>
  <c r="L70" i="3"/>
  <c r="AB87" i="13" l="1"/>
  <c r="K87" i="10"/>
  <c r="AB46" i="13"/>
  <c r="K46" i="10"/>
  <c r="AB50" i="13"/>
  <c r="K50" i="10"/>
  <c r="F70" i="3"/>
  <c r="AC50" i="13" s="1"/>
  <c r="F107" i="3"/>
  <c r="AC87" i="13" s="1"/>
  <c r="L50" i="10"/>
  <c r="F66" i="3"/>
  <c r="AC46" i="13" s="1"/>
  <c r="H66" i="3"/>
  <c r="AE46" i="13" s="1"/>
  <c r="H107" i="3"/>
  <c r="AE87" i="13" s="1"/>
  <c r="H70" i="3"/>
  <c r="AE50" i="13" s="1"/>
  <c r="L87" i="10"/>
  <c r="G66" i="3"/>
  <c r="AD46" i="13" s="1"/>
  <c r="G107" i="3"/>
  <c r="AD87" i="13" s="1"/>
  <c r="G70" i="3"/>
  <c r="AD50" i="13" s="1"/>
  <c r="J107" i="3"/>
  <c r="K107" i="3"/>
  <c r="J70" i="3"/>
  <c r="K70" i="3"/>
  <c r="V89" i="1" l="1"/>
  <c r="V83" i="1"/>
  <c r="G87" i="23" l="1"/>
  <c r="G81" i="23"/>
  <c r="V75" i="1"/>
  <c r="C28" i="17"/>
  <c r="D28" i="17"/>
  <c r="E28" i="17"/>
  <c r="F28" i="17"/>
  <c r="G28" i="17"/>
  <c r="H28" i="17"/>
  <c r="I28" i="17"/>
  <c r="J28" i="17"/>
  <c r="K28" i="17"/>
  <c r="L28" i="17"/>
  <c r="M28" i="17"/>
  <c r="N28" i="17"/>
  <c r="O28" i="17"/>
  <c r="P28" i="17"/>
  <c r="Q28" i="17"/>
  <c r="R28" i="17"/>
  <c r="S28" i="17"/>
  <c r="T28" i="17"/>
  <c r="U28" i="17"/>
  <c r="V28" i="17"/>
  <c r="W28" i="17"/>
  <c r="X28" i="17"/>
  <c r="Y28" i="17"/>
  <c r="Z28" i="17"/>
  <c r="AA28" i="17"/>
  <c r="AB28" i="17"/>
  <c r="AC28" i="17"/>
  <c r="AD28" i="17"/>
  <c r="AE28" i="17"/>
  <c r="AF28" i="17"/>
  <c r="AG28" i="17"/>
  <c r="AH28" i="17"/>
  <c r="AI28" i="17"/>
  <c r="AJ28" i="17"/>
  <c r="AK28" i="17"/>
  <c r="AL28" i="17"/>
  <c r="AM28" i="17"/>
  <c r="AN28" i="17"/>
  <c r="AO28" i="17"/>
  <c r="AP28" i="17"/>
  <c r="AQ28" i="17"/>
  <c r="AR28" i="17"/>
  <c r="AS28" i="17"/>
  <c r="AT28" i="17"/>
  <c r="AU28" i="17"/>
  <c r="AV28" i="17"/>
  <c r="AW28" i="17"/>
  <c r="AX28" i="17"/>
  <c r="AY28" i="17"/>
  <c r="AZ28" i="17"/>
  <c r="BA28" i="17"/>
  <c r="BB28" i="17"/>
  <c r="BC28" i="17"/>
  <c r="BD28" i="17"/>
  <c r="BE28" i="17"/>
  <c r="BF28" i="17"/>
  <c r="BG28" i="17"/>
  <c r="BH28" i="17"/>
  <c r="BI28" i="17"/>
  <c r="G73" i="23" l="1"/>
  <c r="V71" i="1"/>
  <c r="V62" i="1"/>
  <c r="G69" i="23" l="1"/>
  <c r="G60" i="23"/>
  <c r="V61" i="1"/>
  <c r="V59" i="1"/>
  <c r="V55" i="1"/>
  <c r="F4" i="11"/>
  <c r="F2" i="11"/>
  <c r="V18" i="1"/>
  <c r="V17" i="1"/>
  <c r="H11" i="3"/>
  <c r="E2" i="11" s="1"/>
  <c r="F3" i="11" l="1"/>
  <c r="E3" i="11"/>
  <c r="E4" i="11"/>
  <c r="G59" i="23"/>
  <c r="G57" i="23"/>
  <c r="G53" i="23"/>
  <c r="V34" i="1"/>
  <c r="G32" i="23" l="1"/>
  <c r="V31" i="1"/>
  <c r="D25" i="17"/>
  <c r="C25" i="17"/>
  <c r="G29" i="23" l="1"/>
  <c r="F143" i="26"/>
  <c r="L126" i="26" l="1"/>
  <c r="I126" i="26"/>
  <c r="F126" i="26"/>
  <c r="L60" i="26"/>
  <c r="I60" i="26"/>
  <c r="F60" i="26"/>
  <c r="L145" i="26"/>
  <c r="I145" i="26"/>
  <c r="F145" i="26"/>
  <c r="L148" i="26"/>
  <c r="I148" i="26"/>
  <c r="F148" i="26"/>
  <c r="L65" i="26"/>
  <c r="I65" i="26"/>
  <c r="F65" i="26"/>
  <c r="L66" i="26"/>
  <c r="I66" i="26"/>
  <c r="F66" i="26"/>
  <c r="L155" i="26"/>
  <c r="I155" i="26"/>
  <c r="F155" i="26"/>
  <c r="L168" i="26"/>
  <c r="I168" i="26"/>
  <c r="F168" i="26"/>
  <c r="L127" i="26"/>
  <c r="I127" i="26"/>
  <c r="F127" i="26"/>
  <c r="D23" i="3" l="1"/>
  <c r="AA3" i="13" s="1"/>
  <c r="E150" i="3" l="1"/>
  <c r="D150" i="3"/>
  <c r="AA130" i="13" s="1"/>
  <c r="E122" i="3"/>
  <c r="D122" i="3"/>
  <c r="AA102" i="13" s="1"/>
  <c r="D56" i="3"/>
  <c r="AA36" i="13" s="1"/>
  <c r="E56" i="3"/>
  <c r="E141" i="3"/>
  <c r="D141" i="3"/>
  <c r="AA121" i="13" s="1"/>
  <c r="E144" i="3"/>
  <c r="D144" i="3"/>
  <c r="AA124" i="13" s="1"/>
  <c r="E61" i="3"/>
  <c r="D61" i="3"/>
  <c r="AA41" i="13" s="1"/>
  <c r="E62" i="3"/>
  <c r="D62" i="3"/>
  <c r="AA42" i="13" s="1"/>
  <c r="E151" i="3"/>
  <c r="D151" i="3"/>
  <c r="AA131" i="13" s="1"/>
  <c r="AB36" i="13" l="1"/>
  <c r="K36" i="10"/>
  <c r="AB131" i="13"/>
  <c r="K131" i="10"/>
  <c r="AB41" i="13"/>
  <c r="K41" i="10"/>
  <c r="AB124" i="13"/>
  <c r="K124" i="10"/>
  <c r="AB102" i="13"/>
  <c r="K102" i="10"/>
  <c r="AB42" i="13"/>
  <c r="K42" i="10"/>
  <c r="AB121" i="13"/>
  <c r="K121" i="10"/>
  <c r="AB130" i="13"/>
  <c r="K130" i="10"/>
  <c r="E164" i="3"/>
  <c r="D164" i="3"/>
  <c r="AA144" i="13" s="1"/>
  <c r="E123" i="3"/>
  <c r="D123" i="3"/>
  <c r="AA103" i="13" s="1"/>
  <c r="AB144" i="13" l="1"/>
  <c r="K144" i="10"/>
  <c r="AB103" i="13"/>
  <c r="K103" i="10"/>
  <c r="V16" i="1"/>
  <c r="F159" i="26" l="1"/>
  <c r="I159" i="26"/>
  <c r="L159" i="26"/>
  <c r="A159" i="26"/>
  <c r="L143" i="26"/>
  <c r="I143" i="26"/>
  <c r="A143" i="26"/>
  <c r="L61" i="26"/>
  <c r="P39" i="1" s="1"/>
  <c r="I61" i="26"/>
  <c r="O39" i="1" s="1"/>
  <c r="F61" i="26"/>
  <c r="N39" i="1" s="1"/>
  <c r="A61" i="26"/>
  <c r="D57" i="3"/>
  <c r="AA37" i="13" s="1"/>
  <c r="E57" i="3"/>
  <c r="I57" i="3"/>
  <c r="D139" i="3"/>
  <c r="AA119" i="13" s="1"/>
  <c r="E139" i="3"/>
  <c r="I139" i="3"/>
  <c r="B57" i="3"/>
  <c r="Y37" i="13" s="1"/>
  <c r="B139" i="3"/>
  <c r="Y119" i="13" s="1"/>
  <c r="B155" i="3"/>
  <c r="Y135" i="13" s="1"/>
  <c r="G135" i="10"/>
  <c r="H135" i="10"/>
  <c r="I135" i="10"/>
  <c r="G119" i="10"/>
  <c r="H119" i="10"/>
  <c r="I119" i="10"/>
  <c r="B135" i="10"/>
  <c r="C135" i="10"/>
  <c r="D135" i="10"/>
  <c r="E135" i="10"/>
  <c r="B119" i="10"/>
  <c r="C119" i="10"/>
  <c r="D119" i="10"/>
  <c r="E119" i="10"/>
  <c r="G37" i="10"/>
  <c r="H37" i="10"/>
  <c r="I37" i="10"/>
  <c r="E37" i="10"/>
  <c r="B37" i="10"/>
  <c r="C37" i="10"/>
  <c r="D37" i="10"/>
  <c r="N139" i="3"/>
  <c r="O139" i="3"/>
  <c r="N57" i="3"/>
  <c r="L139" i="3"/>
  <c r="L57" i="3"/>
  <c r="M57" i="3"/>
  <c r="O57" i="3"/>
  <c r="M139" i="3"/>
  <c r="AB119" i="13" l="1"/>
  <c r="K119" i="10"/>
  <c r="AB37" i="13"/>
  <c r="K37" i="10"/>
  <c r="L39" i="1"/>
  <c r="M39" i="1"/>
  <c r="L119" i="10"/>
  <c r="F139" i="3"/>
  <c r="AC119" i="13" s="1"/>
  <c r="L46" i="10"/>
  <c r="F57" i="3"/>
  <c r="AC37" i="13" s="1"/>
  <c r="H139" i="3"/>
  <c r="AE119" i="13" s="1"/>
  <c r="H57" i="3"/>
  <c r="AE37" i="13" s="1"/>
  <c r="L37" i="10"/>
  <c r="G139" i="3"/>
  <c r="AD119" i="13" s="1"/>
  <c r="G57" i="3"/>
  <c r="AD37" i="13" s="1"/>
  <c r="A44" i="11"/>
  <c r="R6" i="28" a="1"/>
  <c r="R6" i="28" s="1"/>
  <c r="R7" i="28" a="1"/>
  <c r="R7" i="28" s="1"/>
  <c r="R8" i="28" a="1"/>
  <c r="R8" i="28" s="1"/>
  <c r="R9" i="28" a="1"/>
  <c r="R9" i="28" s="1"/>
  <c r="R10" i="28" a="1"/>
  <c r="R10" i="28" s="1"/>
  <c r="R11" i="28" a="1"/>
  <c r="R11" i="28" s="1"/>
  <c r="R12" i="28" a="1"/>
  <c r="R12" i="28" s="1"/>
  <c r="R13" i="28" a="1"/>
  <c r="R13" i="28" s="1"/>
  <c r="R14" i="28" a="1"/>
  <c r="R14" i="28" s="1"/>
  <c r="R15" i="28" a="1"/>
  <c r="R15" i="28" s="1"/>
  <c r="R16" i="28" a="1"/>
  <c r="R16" i="28" s="1"/>
  <c r="R17" i="28" a="1"/>
  <c r="R17" i="28" s="1"/>
  <c r="R18" i="28" a="1"/>
  <c r="R18" i="28" s="1"/>
  <c r="R19" i="28" a="1"/>
  <c r="R19" i="28" s="1"/>
  <c r="R20" i="28" a="1"/>
  <c r="R20" i="28" s="1"/>
  <c r="R21" i="28" a="1"/>
  <c r="R21" i="28" s="1"/>
  <c r="R22" i="28" a="1"/>
  <c r="R22" i="28" s="1"/>
  <c r="R23" i="28" a="1"/>
  <c r="R23" i="28" s="1"/>
  <c r="R24" i="28" a="1"/>
  <c r="R24" i="28" s="1"/>
  <c r="R25" i="28" a="1"/>
  <c r="R25" i="28" s="1"/>
  <c r="R26" i="28" a="1"/>
  <c r="R26" i="28" s="1"/>
  <c r="R5" i="28" a="1"/>
  <c r="R5" i="28" s="1"/>
  <c r="O6" i="28" a="1"/>
  <c r="O6" i="28" s="1"/>
  <c r="O7" i="28" a="1"/>
  <c r="O7" i="28" s="1"/>
  <c r="O8" i="28" a="1"/>
  <c r="O8" i="28" s="1"/>
  <c r="O9" i="28" a="1"/>
  <c r="O9" i="28" s="1"/>
  <c r="O10" i="28" a="1"/>
  <c r="O10" i="28" s="1"/>
  <c r="O11" i="28" a="1"/>
  <c r="O11" i="28" s="1"/>
  <c r="O12" i="28" a="1"/>
  <c r="O12" i="28" s="1"/>
  <c r="O13" i="28" a="1"/>
  <c r="O13" i="28" s="1"/>
  <c r="O14" i="28" a="1"/>
  <c r="O14" i="28" s="1"/>
  <c r="O15" i="28" a="1"/>
  <c r="O15" i="28" s="1"/>
  <c r="O16" i="28" a="1"/>
  <c r="O16" i="28" s="1"/>
  <c r="O17" i="28" a="1"/>
  <c r="O17" i="28" s="1"/>
  <c r="O18" i="28" a="1"/>
  <c r="O18" i="28" s="1"/>
  <c r="O19" i="28" a="1"/>
  <c r="O19" i="28" s="1"/>
  <c r="O20" i="28" a="1"/>
  <c r="O20" i="28" s="1"/>
  <c r="O21" i="28" a="1"/>
  <c r="O21" i="28" s="1"/>
  <c r="O22" i="28" a="1"/>
  <c r="O22" i="28" s="1"/>
  <c r="O23" i="28" a="1"/>
  <c r="O23" i="28" s="1"/>
  <c r="O24" i="28" a="1"/>
  <c r="O24" i="28" s="1"/>
  <c r="O25" i="28" a="1"/>
  <c r="O25" i="28" s="1"/>
  <c r="O26" i="28" a="1"/>
  <c r="O26" i="28" s="1"/>
  <c r="O5" i="28" a="1"/>
  <c r="O5" i="28" s="1"/>
  <c r="D3" i="28"/>
  <c r="J139" i="3"/>
  <c r="K57" i="3"/>
  <c r="K139" i="3"/>
  <c r="K66" i="3"/>
  <c r="J66" i="3"/>
  <c r="J57" i="3"/>
  <c r="Q2" i="24" l="1" a="1"/>
  <c r="Q2" i="24" s="1"/>
  <c r="T2" i="24" a="1"/>
  <c r="T2" i="24" s="1"/>
  <c r="Q3" i="24" l="1" a="1"/>
  <c r="Q3" i="24" s="1"/>
  <c r="T3" i="24" a="1"/>
  <c r="T3" i="24" s="1"/>
  <c r="U3" i="24" s="1"/>
  <c r="U2" i="24"/>
  <c r="V56" i="1"/>
  <c r="G54" i="23" l="1"/>
  <c r="T4" i="24" a="1"/>
  <c r="T4" i="24" s="1"/>
  <c r="U4" i="24" s="1"/>
  <c r="Q4" i="24" a="1"/>
  <c r="Q4" i="24" s="1"/>
  <c r="F62" i="26"/>
  <c r="I62" i="26"/>
  <c r="F26" i="26"/>
  <c r="Q5" i="26"/>
  <c r="O5" i="26"/>
  <c r="M5" i="26"/>
  <c r="K5" i="26"/>
  <c r="F21" i="26"/>
  <c r="F20" i="26"/>
  <c r="F19" i="26"/>
  <c r="F18" i="26"/>
  <c r="F13" i="26"/>
  <c r="F8" i="26"/>
  <c r="F7" i="26"/>
  <c r="F12" i="26"/>
  <c r="F11" i="26"/>
  <c r="F10" i="26"/>
  <c r="D7" i="28"/>
  <c r="D6" i="28"/>
  <c r="D5" i="28"/>
  <c r="F47" i="26"/>
  <c r="I47" i="26"/>
  <c r="L47" i="26"/>
  <c r="F68" i="26"/>
  <c r="M34" i="26" l="1"/>
  <c r="M33" i="26"/>
  <c r="M35" i="26"/>
  <c r="M37" i="26"/>
  <c r="M39" i="26"/>
  <c r="M36" i="26"/>
  <c r="M38" i="26"/>
  <c r="M40" i="26"/>
  <c r="M139" i="26"/>
  <c r="M48" i="26"/>
  <c r="M136" i="26"/>
  <c r="M64" i="26"/>
  <c r="M31" i="26"/>
  <c r="M111" i="26"/>
  <c r="M106" i="26"/>
  <c r="M70" i="26"/>
  <c r="M74" i="26"/>
  <c r="M143" i="26"/>
  <c r="M183" i="26"/>
  <c r="M61" i="26"/>
  <c r="Q5" i="24" a="1"/>
  <c r="Q5" i="24" s="1"/>
  <c r="T5" i="24" a="1"/>
  <c r="T5" i="24" s="1"/>
  <c r="U5" i="24" s="1"/>
  <c r="V4" i="24" a="1"/>
  <c r="V4" i="24" s="1"/>
  <c r="V25" i="24" a="1"/>
  <c r="V25" i="24" s="1"/>
  <c r="V36" i="24" a="1"/>
  <c r="V36" i="24" s="1"/>
  <c r="V35" i="24" a="1"/>
  <c r="V35" i="24" s="1"/>
  <c r="V5" i="24" a="1"/>
  <c r="V5" i="24" s="1"/>
  <c r="V15" i="24" a="1"/>
  <c r="V15" i="24" s="1"/>
  <c r="V26" i="24" a="1"/>
  <c r="V26" i="24" s="1"/>
  <c r="V37" i="24" a="1"/>
  <c r="V37" i="24" s="1"/>
  <c r="V6" i="24" a="1"/>
  <c r="V6" i="24" s="1"/>
  <c r="V16" i="24" a="1"/>
  <c r="V16" i="24" s="1"/>
  <c r="V38" i="24" a="1"/>
  <c r="V38" i="24" s="1"/>
  <c r="V24" i="24" a="1"/>
  <c r="V24" i="24" s="1"/>
  <c r="V7" i="24" a="1"/>
  <c r="V7" i="24" s="1"/>
  <c r="V17" i="24" a="1"/>
  <c r="V17" i="24" s="1"/>
  <c r="V27" i="24" a="1"/>
  <c r="V27" i="24" s="1"/>
  <c r="V39" i="24" a="1"/>
  <c r="V39" i="24" s="1"/>
  <c r="V8" i="24" a="1"/>
  <c r="V8" i="24" s="1"/>
  <c r="V18" i="24" a="1"/>
  <c r="V18" i="24" s="1"/>
  <c r="V28" i="24" a="1"/>
  <c r="V28" i="24" s="1"/>
  <c r="V40" i="24" a="1"/>
  <c r="V40" i="24" s="1"/>
  <c r="V19" i="24" a="1"/>
  <c r="V19" i="24" s="1"/>
  <c r="V29" i="24" a="1"/>
  <c r="V29" i="24" s="1"/>
  <c r="V2" i="24" a="1"/>
  <c r="V2" i="24" s="1"/>
  <c r="V14" i="24" a="1"/>
  <c r="V14" i="24" s="1"/>
  <c r="V9" i="24" a="1"/>
  <c r="V9" i="24" s="1"/>
  <c r="V20" i="24" a="1"/>
  <c r="V20" i="24" s="1"/>
  <c r="V30" i="24" a="1"/>
  <c r="V30" i="24" s="1"/>
  <c r="V10" i="24" a="1"/>
  <c r="V10" i="24" s="1"/>
  <c r="V31" i="24" a="1"/>
  <c r="V31" i="24" s="1"/>
  <c r="V33" i="24" a="1"/>
  <c r="V33" i="24" s="1"/>
  <c r="V11" i="24" a="1"/>
  <c r="V11" i="24" s="1"/>
  <c r="V21" i="24" a="1"/>
  <c r="V21" i="24" s="1"/>
  <c r="V32" i="24" a="1"/>
  <c r="V32" i="24" s="1"/>
  <c r="V12" i="24" a="1"/>
  <c r="V12" i="24" s="1"/>
  <c r="V22" i="24" a="1"/>
  <c r="V22" i="24" s="1"/>
  <c r="V34" i="24" a="1"/>
  <c r="V34" i="24" s="1"/>
  <c r="V13" i="24" a="1"/>
  <c r="V13" i="24" s="1"/>
  <c r="V23" i="24" a="1"/>
  <c r="V23" i="24" s="1"/>
  <c r="V3" i="24" a="1"/>
  <c r="V3" i="24" s="1"/>
  <c r="L80" i="26"/>
  <c r="I79" i="26"/>
  <c r="A79" i="26"/>
  <c r="A80" i="26"/>
  <c r="A66" i="26"/>
  <c r="G42" i="10"/>
  <c r="H42" i="10"/>
  <c r="I42" i="10"/>
  <c r="B42" i="10"/>
  <c r="C42" i="10"/>
  <c r="D42" i="10"/>
  <c r="E42" i="10"/>
  <c r="I62" i="3"/>
  <c r="D76" i="3"/>
  <c r="AA56" i="13" s="1"/>
  <c r="E76" i="3"/>
  <c r="I76" i="3"/>
  <c r="B62" i="3"/>
  <c r="Y42" i="13" s="1"/>
  <c r="B76" i="3"/>
  <c r="Y56" i="13" s="1"/>
  <c r="G56" i="10"/>
  <c r="H56" i="10"/>
  <c r="I56" i="10"/>
  <c r="B56" i="10"/>
  <c r="C56" i="10"/>
  <c r="D56" i="10"/>
  <c r="E56" i="10"/>
  <c r="O62" i="3"/>
  <c r="M62" i="3"/>
  <c r="N62" i="3"/>
  <c r="L62" i="3"/>
  <c r="M76" i="3"/>
  <c r="N76" i="3"/>
  <c r="L76" i="3"/>
  <c r="O76" i="3"/>
  <c r="AB56" i="13" l="1"/>
  <c r="K56" i="10"/>
  <c r="H5" i="28" a="1"/>
  <c r="H5" i="28" s="1"/>
  <c r="H6" i="28" s="1" a="1"/>
  <c r="H6" i="28" s="1"/>
  <c r="L6" i="28" s="1"/>
  <c r="F62" i="3"/>
  <c r="AC42" i="13" s="1"/>
  <c r="F76" i="3"/>
  <c r="AC56" i="13" s="1"/>
  <c r="L56" i="10"/>
  <c r="T6" i="24" a="1"/>
  <c r="T6" i="24" s="1"/>
  <c r="U6" i="24" s="1"/>
  <c r="Q6" i="24" a="1"/>
  <c r="Q6" i="24" s="1"/>
  <c r="Q7" i="24" s="1" a="1"/>
  <c r="Q7" i="24" s="1"/>
  <c r="L42" i="10"/>
  <c r="H76" i="3"/>
  <c r="AE56" i="13" s="1"/>
  <c r="H62" i="3"/>
  <c r="AE42" i="13" s="1"/>
  <c r="G76" i="3"/>
  <c r="AD56" i="13" s="1"/>
  <c r="G62" i="3"/>
  <c r="AD42" i="13" s="1"/>
  <c r="A127" i="26"/>
  <c r="A154" i="26"/>
  <c r="A168" i="26"/>
  <c r="A155" i="26"/>
  <c r="A65" i="26"/>
  <c r="A148" i="26"/>
  <c r="A145" i="26"/>
  <c r="A60" i="26"/>
  <c r="A126" i="26"/>
  <c r="A27" i="26"/>
  <c r="A28" i="26"/>
  <c r="A29" i="26"/>
  <c r="A30" i="26"/>
  <c r="A32" i="26"/>
  <c r="A41" i="26"/>
  <c r="A42" i="26"/>
  <c r="A43" i="26"/>
  <c r="A44" i="26"/>
  <c r="A45" i="26"/>
  <c r="A46" i="26"/>
  <c r="A47" i="26"/>
  <c r="A49" i="26"/>
  <c r="A50" i="26"/>
  <c r="A51" i="26"/>
  <c r="A52" i="26"/>
  <c r="A53" i="26"/>
  <c r="A54" i="26"/>
  <c r="A55" i="26"/>
  <c r="A56" i="26"/>
  <c r="A57" i="26"/>
  <c r="A58" i="26"/>
  <c r="A59" i="26"/>
  <c r="A62" i="26"/>
  <c r="A63" i="26"/>
  <c r="A67" i="26"/>
  <c r="A68" i="26"/>
  <c r="A69" i="26"/>
  <c r="A71" i="26"/>
  <c r="A72" i="26"/>
  <c r="A73" i="26"/>
  <c r="A75" i="26"/>
  <c r="A76" i="26"/>
  <c r="A77" i="26"/>
  <c r="A78" i="26"/>
  <c r="A81" i="26"/>
  <c r="A82" i="26"/>
  <c r="A83" i="26"/>
  <c r="A84" i="26"/>
  <c r="A85" i="26"/>
  <c r="A86" i="26"/>
  <c r="A87" i="26"/>
  <c r="A88" i="26"/>
  <c r="A89" i="26"/>
  <c r="A90" i="26"/>
  <c r="A91" i="26"/>
  <c r="A92" i="26"/>
  <c r="A93" i="26"/>
  <c r="A94" i="26"/>
  <c r="A95" i="26"/>
  <c r="A96" i="26"/>
  <c r="A97" i="26"/>
  <c r="A98" i="26"/>
  <c r="A99" i="26"/>
  <c r="A100" i="26"/>
  <c r="A101" i="26"/>
  <c r="A102" i="26"/>
  <c r="A103" i="26"/>
  <c r="A104" i="26"/>
  <c r="A105" i="26"/>
  <c r="A107" i="26"/>
  <c r="A108" i="26"/>
  <c r="A109" i="26"/>
  <c r="A110" i="26"/>
  <c r="A112" i="26"/>
  <c r="A113" i="26"/>
  <c r="A114" i="26"/>
  <c r="A115" i="26"/>
  <c r="A116" i="26"/>
  <c r="A117" i="26"/>
  <c r="A118" i="26"/>
  <c r="A119" i="26"/>
  <c r="A120" i="26"/>
  <c r="A121" i="26"/>
  <c r="A122" i="26"/>
  <c r="A123" i="26"/>
  <c r="A124" i="26"/>
  <c r="A125" i="26"/>
  <c r="A128" i="26"/>
  <c r="A129" i="26"/>
  <c r="A130" i="26"/>
  <c r="A131" i="26"/>
  <c r="A132" i="26"/>
  <c r="A133" i="26"/>
  <c r="A134" i="26"/>
  <c r="A135" i="26"/>
  <c r="A137" i="26"/>
  <c r="A138" i="26"/>
  <c r="A140" i="26"/>
  <c r="A141" i="26"/>
  <c r="A142" i="26"/>
  <c r="A144" i="26"/>
  <c r="A146" i="26"/>
  <c r="A147" i="26"/>
  <c r="A149" i="26"/>
  <c r="A150" i="26"/>
  <c r="A151" i="26"/>
  <c r="A152" i="26"/>
  <c r="A153" i="26"/>
  <c r="A156" i="26"/>
  <c r="A157" i="26"/>
  <c r="A158" i="26"/>
  <c r="A160" i="26"/>
  <c r="A161" i="26"/>
  <c r="A162" i="26"/>
  <c r="A163" i="26"/>
  <c r="A164" i="26"/>
  <c r="A165" i="26"/>
  <c r="A167" i="26"/>
  <c r="A169" i="26"/>
  <c r="A170" i="26"/>
  <c r="A171" i="26"/>
  <c r="A172" i="26"/>
  <c r="A173" i="26"/>
  <c r="A174" i="26"/>
  <c r="A175" i="26"/>
  <c r="A176" i="26"/>
  <c r="A177" i="26"/>
  <c r="A178" i="26"/>
  <c r="A179" i="26"/>
  <c r="A180" i="26"/>
  <c r="A181" i="26"/>
  <c r="A182" i="26"/>
  <c r="A183" i="26"/>
  <c r="A26" i="26"/>
  <c r="L27" i="26"/>
  <c r="L28" i="26"/>
  <c r="L29" i="26"/>
  <c r="L30" i="26"/>
  <c r="L32" i="26"/>
  <c r="L41" i="26"/>
  <c r="L42" i="26"/>
  <c r="L43" i="26"/>
  <c r="L44" i="26"/>
  <c r="L45" i="26"/>
  <c r="L46" i="26"/>
  <c r="L49" i="26"/>
  <c r="L50" i="26"/>
  <c r="L51" i="26"/>
  <c r="L52" i="26"/>
  <c r="L53" i="26"/>
  <c r="L54" i="26"/>
  <c r="L55" i="26"/>
  <c r="L56" i="26"/>
  <c r="L57" i="26"/>
  <c r="L58" i="26"/>
  <c r="L59" i="26"/>
  <c r="L62" i="26"/>
  <c r="L63" i="26"/>
  <c r="L67" i="26"/>
  <c r="L68" i="26"/>
  <c r="L69" i="26"/>
  <c r="P44" i="1" s="1"/>
  <c r="L71" i="26"/>
  <c r="L72" i="26"/>
  <c r="L73" i="26"/>
  <c r="L75" i="26"/>
  <c r="L76" i="26"/>
  <c r="L77" i="26"/>
  <c r="L78" i="26"/>
  <c r="L79" i="26"/>
  <c r="L81" i="26"/>
  <c r="L82" i="26"/>
  <c r="L83" i="26"/>
  <c r="L84" i="26"/>
  <c r="L85" i="26"/>
  <c r="L86" i="26"/>
  <c r="L87" i="26"/>
  <c r="L88" i="26"/>
  <c r="L89" i="26"/>
  <c r="L90" i="26"/>
  <c r="L91" i="26"/>
  <c r="L92" i="26"/>
  <c r="L93" i="26"/>
  <c r="L94" i="26"/>
  <c r="L95" i="26"/>
  <c r="L96" i="26"/>
  <c r="L97" i="26"/>
  <c r="L98" i="26"/>
  <c r="L99" i="26"/>
  <c r="L100" i="26"/>
  <c r="L101" i="26"/>
  <c r="L102" i="26"/>
  <c r="L103" i="26"/>
  <c r="L104" i="26"/>
  <c r="L105" i="26"/>
  <c r="L107" i="26"/>
  <c r="L108" i="26"/>
  <c r="L109" i="26"/>
  <c r="L110" i="26"/>
  <c r="L112" i="26"/>
  <c r="L113" i="26"/>
  <c r="L114" i="26"/>
  <c r="L115" i="26"/>
  <c r="L116" i="26"/>
  <c r="L117" i="26"/>
  <c r="L118" i="26"/>
  <c r="L119" i="26"/>
  <c r="L120" i="26"/>
  <c r="L121" i="26"/>
  <c r="L122" i="26"/>
  <c r="L123" i="26"/>
  <c r="L124" i="26"/>
  <c r="L125" i="26"/>
  <c r="L128" i="26"/>
  <c r="L129" i="26"/>
  <c r="L130" i="26"/>
  <c r="L131" i="26"/>
  <c r="L132" i="26"/>
  <c r="L133" i="26"/>
  <c r="L134" i="26"/>
  <c r="L135" i="26"/>
  <c r="L137" i="26"/>
  <c r="L138" i="26"/>
  <c r="L140" i="26"/>
  <c r="L141" i="26"/>
  <c r="L142" i="26"/>
  <c r="L144" i="26"/>
  <c r="L146" i="26"/>
  <c r="L147" i="26"/>
  <c r="L149" i="26"/>
  <c r="L150" i="26"/>
  <c r="P123" i="1" s="1"/>
  <c r="L151" i="26"/>
  <c r="L152" i="26"/>
  <c r="L153" i="26"/>
  <c r="L156" i="26"/>
  <c r="L157" i="26"/>
  <c r="L158" i="26"/>
  <c r="L160" i="26"/>
  <c r="L161" i="26"/>
  <c r="L162" i="26"/>
  <c r="L163" i="26"/>
  <c r="L164" i="26"/>
  <c r="L165" i="26"/>
  <c r="L167" i="26"/>
  <c r="L169" i="26"/>
  <c r="L170" i="26"/>
  <c r="L171" i="26"/>
  <c r="L172" i="26"/>
  <c r="L173" i="26"/>
  <c r="L174" i="26"/>
  <c r="L175" i="26"/>
  <c r="L176" i="26"/>
  <c r="L177" i="26"/>
  <c r="L178" i="26"/>
  <c r="L179" i="26"/>
  <c r="L180" i="26"/>
  <c r="L181" i="26"/>
  <c r="P159" i="1" s="1"/>
  <c r="L182" i="26"/>
  <c r="P160" i="1" s="1"/>
  <c r="L183" i="26"/>
  <c r="I27" i="26"/>
  <c r="I28" i="26"/>
  <c r="I29" i="26"/>
  <c r="I30" i="26"/>
  <c r="I32" i="26"/>
  <c r="I41" i="26"/>
  <c r="I42" i="26"/>
  <c r="I43" i="26"/>
  <c r="I44" i="26"/>
  <c r="I45" i="26"/>
  <c r="I46" i="26"/>
  <c r="I49" i="26"/>
  <c r="I55" i="26"/>
  <c r="I56" i="26"/>
  <c r="I57" i="26"/>
  <c r="I58" i="26"/>
  <c r="I59" i="26"/>
  <c r="I63" i="26"/>
  <c r="I67" i="26"/>
  <c r="I69" i="26"/>
  <c r="O44" i="1" s="1"/>
  <c r="I71" i="26"/>
  <c r="I72" i="26"/>
  <c r="I73" i="26"/>
  <c r="I75" i="26"/>
  <c r="I76" i="26"/>
  <c r="I77" i="26"/>
  <c r="I78" i="26"/>
  <c r="O57" i="1"/>
  <c r="I86" i="26"/>
  <c r="I87" i="26"/>
  <c r="I88" i="26"/>
  <c r="I89" i="26"/>
  <c r="I90" i="26"/>
  <c r="I91" i="26"/>
  <c r="I92" i="26"/>
  <c r="I93" i="26"/>
  <c r="I94" i="26"/>
  <c r="I95" i="26"/>
  <c r="I96" i="26"/>
  <c r="I97" i="26"/>
  <c r="I98" i="26"/>
  <c r="I99" i="26"/>
  <c r="I100" i="26"/>
  <c r="I101" i="26"/>
  <c r="I102" i="26"/>
  <c r="I103" i="26"/>
  <c r="I104" i="26"/>
  <c r="I105" i="26"/>
  <c r="I108" i="26"/>
  <c r="I109" i="26"/>
  <c r="I110" i="26"/>
  <c r="I112" i="26"/>
  <c r="I113" i="26"/>
  <c r="I114" i="26"/>
  <c r="I115" i="26"/>
  <c r="I116" i="26"/>
  <c r="I117" i="26"/>
  <c r="I118" i="26"/>
  <c r="I119" i="26"/>
  <c r="I120" i="26"/>
  <c r="I121" i="26"/>
  <c r="I122" i="26"/>
  <c r="I123" i="26"/>
  <c r="I124" i="26"/>
  <c r="I125" i="26"/>
  <c r="I128" i="26"/>
  <c r="I129" i="26"/>
  <c r="I130" i="26"/>
  <c r="I131" i="26"/>
  <c r="I132" i="26"/>
  <c r="I133" i="26"/>
  <c r="I134" i="26"/>
  <c r="I135" i="26"/>
  <c r="I137" i="26"/>
  <c r="I138" i="26"/>
  <c r="I140" i="26"/>
  <c r="O118" i="1" s="1"/>
  <c r="I141" i="26"/>
  <c r="I142" i="26"/>
  <c r="I144" i="26"/>
  <c r="I146" i="26"/>
  <c r="I147" i="26"/>
  <c r="I149" i="26"/>
  <c r="I150" i="26"/>
  <c r="O123" i="1" s="1"/>
  <c r="I151" i="26"/>
  <c r="I152" i="26"/>
  <c r="I153" i="26"/>
  <c r="I156" i="26"/>
  <c r="I157" i="26"/>
  <c r="I158" i="26"/>
  <c r="I160" i="26"/>
  <c r="I161" i="26"/>
  <c r="I162" i="26"/>
  <c r="I163" i="26"/>
  <c r="I164" i="26"/>
  <c r="I165" i="26"/>
  <c r="I167" i="26"/>
  <c r="I169" i="26"/>
  <c r="I170" i="26"/>
  <c r="I171" i="26"/>
  <c r="I172" i="26"/>
  <c r="I173" i="26"/>
  <c r="I174" i="26"/>
  <c r="I175" i="26"/>
  <c r="I176" i="26"/>
  <c r="I177" i="26"/>
  <c r="I178" i="26"/>
  <c r="I179" i="26"/>
  <c r="I180" i="26"/>
  <c r="I181" i="26"/>
  <c r="O159" i="1" s="1"/>
  <c r="I182" i="26"/>
  <c r="O160" i="1" s="1"/>
  <c r="I183" i="26"/>
  <c r="F27" i="26"/>
  <c r="F28" i="26"/>
  <c r="F29" i="26"/>
  <c r="F30" i="26"/>
  <c r="F32" i="26"/>
  <c r="F41" i="26"/>
  <c r="F42" i="26"/>
  <c r="F43" i="26"/>
  <c r="F44" i="26"/>
  <c r="F45" i="26"/>
  <c r="F46" i="26"/>
  <c r="F51" i="26"/>
  <c r="F52" i="26"/>
  <c r="F53" i="26"/>
  <c r="F54" i="26"/>
  <c r="F55" i="26"/>
  <c r="F56" i="26"/>
  <c r="F57" i="26"/>
  <c r="F58" i="26"/>
  <c r="F59" i="26"/>
  <c r="F63" i="26"/>
  <c r="F67" i="26"/>
  <c r="N42" i="1" s="1"/>
  <c r="F69" i="26"/>
  <c r="N44" i="1" s="1"/>
  <c r="F71" i="26"/>
  <c r="F72" i="26"/>
  <c r="F73" i="26"/>
  <c r="F75" i="26"/>
  <c r="F76" i="26"/>
  <c r="F77" i="26"/>
  <c r="F78" i="26"/>
  <c r="F84" i="26"/>
  <c r="F85" i="26"/>
  <c r="F86" i="26"/>
  <c r="F87" i="26"/>
  <c r="F88" i="26"/>
  <c r="F89" i="26"/>
  <c r="F90" i="26"/>
  <c r="F91" i="26"/>
  <c r="F92" i="26"/>
  <c r="F93" i="26"/>
  <c r="F94" i="26"/>
  <c r="F95" i="26"/>
  <c r="F96" i="26"/>
  <c r="F97" i="26"/>
  <c r="F98" i="26"/>
  <c r="F99" i="26"/>
  <c r="F100" i="26"/>
  <c r="F101" i="26"/>
  <c r="F102" i="26"/>
  <c r="F103" i="26"/>
  <c r="F104" i="26"/>
  <c r="F105" i="26"/>
  <c r="F107" i="26"/>
  <c r="F108" i="26"/>
  <c r="F109" i="26"/>
  <c r="F110" i="26"/>
  <c r="F112" i="26"/>
  <c r="F113" i="26"/>
  <c r="F114" i="26"/>
  <c r="F115" i="26"/>
  <c r="F116" i="26"/>
  <c r="F117" i="26"/>
  <c r="F118" i="26"/>
  <c r="F119" i="26"/>
  <c r="F120" i="26"/>
  <c r="F121" i="26"/>
  <c r="F122" i="26"/>
  <c r="F123" i="26"/>
  <c r="F124" i="26"/>
  <c r="F125" i="26"/>
  <c r="F128" i="26"/>
  <c r="F129" i="26"/>
  <c r="F130" i="26"/>
  <c r="F131" i="26"/>
  <c r="F132" i="26"/>
  <c r="F133" i="26"/>
  <c r="F134" i="26"/>
  <c r="F135" i="26"/>
  <c r="F137" i="26"/>
  <c r="F138" i="26"/>
  <c r="F140" i="26"/>
  <c r="N118" i="1" s="1"/>
  <c r="F141" i="26"/>
  <c r="F144" i="26"/>
  <c r="N117" i="1" s="1"/>
  <c r="F146" i="26"/>
  <c r="F147" i="26"/>
  <c r="F149" i="26"/>
  <c r="F150" i="26"/>
  <c r="N123" i="1" s="1"/>
  <c r="F151" i="26"/>
  <c r="F152" i="26"/>
  <c r="F153" i="26"/>
  <c r="F156" i="26"/>
  <c r="F157" i="26"/>
  <c r="F158" i="26"/>
  <c r="F160" i="26"/>
  <c r="F161" i="26"/>
  <c r="F162" i="26"/>
  <c r="F163" i="26"/>
  <c r="F164" i="26"/>
  <c r="F165" i="26"/>
  <c r="F167" i="26"/>
  <c r="F169" i="26"/>
  <c r="F170" i="26"/>
  <c r="F171" i="26"/>
  <c r="F172" i="26"/>
  <c r="F173" i="26"/>
  <c r="F174" i="26"/>
  <c r="F175" i="26"/>
  <c r="F176" i="26"/>
  <c r="F177" i="26"/>
  <c r="F178" i="26"/>
  <c r="F179" i="26"/>
  <c r="F180" i="26"/>
  <c r="F181" i="26"/>
  <c r="N159" i="1" s="1"/>
  <c r="F182" i="26"/>
  <c r="N160" i="1" s="1"/>
  <c r="F183" i="26"/>
  <c r="L26" i="26"/>
  <c r="I26" i="26"/>
  <c r="J62" i="3"/>
  <c r="K76" i="3"/>
  <c r="J76" i="3"/>
  <c r="K62" i="3"/>
  <c r="P129" i="1" l="1"/>
  <c r="N134" i="1"/>
  <c r="N81" i="1"/>
  <c r="P130" i="1"/>
  <c r="P86" i="1"/>
  <c r="P134" i="1"/>
  <c r="N143" i="1"/>
  <c r="O129" i="1"/>
  <c r="P102" i="1"/>
  <c r="P81" i="1"/>
  <c r="N102" i="1"/>
  <c r="O143" i="1"/>
  <c r="N129" i="1"/>
  <c r="N111" i="1"/>
  <c r="O130" i="1"/>
  <c r="O86" i="1"/>
  <c r="O111" i="1"/>
  <c r="O80" i="1"/>
  <c r="N130" i="1"/>
  <c r="P143" i="1"/>
  <c r="P111" i="1"/>
  <c r="N158" i="1"/>
  <c r="N161" i="1"/>
  <c r="O158" i="1"/>
  <c r="O161" i="1"/>
  <c r="N80" i="1"/>
  <c r="O134" i="1"/>
  <c r="O82" i="1"/>
  <c r="N86" i="1"/>
  <c r="O102" i="1"/>
  <c r="P158" i="1"/>
  <c r="P161" i="1"/>
  <c r="P145" i="1"/>
  <c r="N109" i="1"/>
  <c r="P137" i="1"/>
  <c r="N135" i="1"/>
  <c r="O152" i="1"/>
  <c r="O146" i="1"/>
  <c r="O131" i="1"/>
  <c r="N142" i="1"/>
  <c r="P105" i="1"/>
  <c r="P97" i="1"/>
  <c r="P91" i="1"/>
  <c r="P84" i="1"/>
  <c r="N103" i="1"/>
  <c r="N95" i="1"/>
  <c r="N89" i="1"/>
  <c r="O87" i="1"/>
  <c r="O72" i="1"/>
  <c r="P113" i="1"/>
  <c r="P106" i="1"/>
  <c r="P98" i="1"/>
  <c r="P92" i="1"/>
  <c r="P78" i="1"/>
  <c r="P72" i="1"/>
  <c r="P66" i="1"/>
  <c r="P53" i="1"/>
  <c r="N108" i="1"/>
  <c r="N146" i="1"/>
  <c r="N131" i="1"/>
  <c r="O135" i="1"/>
  <c r="P154" i="1"/>
  <c r="N152" i="1"/>
  <c r="N113" i="1"/>
  <c r="N106" i="1"/>
  <c r="N98" i="1"/>
  <c r="N92" i="1"/>
  <c r="N78" i="1"/>
  <c r="N72" i="1"/>
  <c r="N66" i="1"/>
  <c r="O104" i="1"/>
  <c r="O96" i="1"/>
  <c r="O90" i="1"/>
  <c r="O83" i="1"/>
  <c r="O69" i="1"/>
  <c r="O63" i="1"/>
  <c r="P142" i="1"/>
  <c r="P117" i="1"/>
  <c r="P109" i="1"/>
  <c r="P103" i="1"/>
  <c r="P95" i="1"/>
  <c r="N105" i="1"/>
  <c r="N97" i="1"/>
  <c r="N91" i="1"/>
  <c r="N84" i="1"/>
  <c r="N77" i="1"/>
  <c r="O107" i="1"/>
  <c r="O99" i="1"/>
  <c r="O93" i="1"/>
  <c r="P89" i="1"/>
  <c r="O142" i="1"/>
  <c r="O113" i="1"/>
  <c r="O106" i="1"/>
  <c r="O98" i="1"/>
  <c r="O92" i="1"/>
  <c r="O117" i="1"/>
  <c r="O109" i="1"/>
  <c r="O95" i="1"/>
  <c r="P135" i="1"/>
  <c r="O89" i="1"/>
  <c r="P133" i="1"/>
  <c r="N154" i="1"/>
  <c r="O145" i="1"/>
  <c r="O137" i="1"/>
  <c r="P150" i="1"/>
  <c r="P144" i="1"/>
  <c r="P136" i="1"/>
  <c r="P104" i="1"/>
  <c r="P96" i="1"/>
  <c r="P90" i="1"/>
  <c r="P83" i="1"/>
  <c r="N137" i="1"/>
  <c r="N145" i="1"/>
  <c r="P146" i="1"/>
  <c r="P131" i="1"/>
  <c r="N119" i="1"/>
  <c r="N121" i="1"/>
  <c r="O114" i="1"/>
  <c r="O116" i="1"/>
  <c r="P156" i="1"/>
  <c r="N155" i="1"/>
  <c r="N157" i="1"/>
  <c r="N153" i="1"/>
  <c r="N140" i="1"/>
  <c r="N133" i="1"/>
  <c r="N114" i="1"/>
  <c r="N116" i="1"/>
  <c r="N107" i="1"/>
  <c r="N99" i="1"/>
  <c r="N93" i="1"/>
  <c r="N87" i="1"/>
  <c r="O156" i="1"/>
  <c r="O150" i="1"/>
  <c r="O144" i="1"/>
  <c r="O136" i="1"/>
  <c r="O105" i="1"/>
  <c r="O84" i="1"/>
  <c r="P155" i="1"/>
  <c r="P157" i="1"/>
  <c r="P119" i="1"/>
  <c r="P121" i="1"/>
  <c r="O155" i="1"/>
  <c r="O157" i="1"/>
  <c r="O119" i="1"/>
  <c r="O121" i="1"/>
  <c r="O154" i="1"/>
  <c r="P153" i="1"/>
  <c r="P124" i="1"/>
  <c r="P115" i="1"/>
  <c r="P108" i="1"/>
  <c r="N156" i="1"/>
  <c r="N150" i="1"/>
  <c r="N144" i="1"/>
  <c r="N136" i="1"/>
  <c r="N104" i="1"/>
  <c r="N96" i="1"/>
  <c r="N90" i="1"/>
  <c r="O153" i="1"/>
  <c r="O133" i="1"/>
  <c r="O115" i="1"/>
  <c r="O108" i="1"/>
  <c r="O94" i="1"/>
  <c r="O88" i="1"/>
  <c r="P152" i="1"/>
  <c r="P114" i="1"/>
  <c r="P116" i="1"/>
  <c r="P99" i="1"/>
  <c r="P93" i="1"/>
  <c r="P87" i="1"/>
  <c r="P79" i="1"/>
  <c r="P80" i="1"/>
  <c r="H30" i="29"/>
  <c r="N60" i="1"/>
  <c r="N100" i="1"/>
  <c r="N53" i="1"/>
  <c r="N46" i="1"/>
  <c r="N32" i="1"/>
  <c r="N128" i="1"/>
  <c r="N26" i="1"/>
  <c r="N19" i="1"/>
  <c r="N141" i="1"/>
  <c r="N10" i="1"/>
  <c r="O149" i="1"/>
  <c r="O11" i="1"/>
  <c r="O126" i="1"/>
  <c r="O34" i="1"/>
  <c r="O75" i="1"/>
  <c r="O85" i="1"/>
  <c r="O49" i="1"/>
  <c r="O37" i="1"/>
  <c r="O28" i="1"/>
  <c r="O132" i="1"/>
  <c r="O21" i="1"/>
  <c r="O139" i="1"/>
  <c r="O15" i="1"/>
  <c r="O5" i="1"/>
  <c r="P151" i="1"/>
  <c r="P9" i="1"/>
  <c r="P122" i="1"/>
  <c r="P38" i="1"/>
  <c r="P60" i="1"/>
  <c r="P100" i="1"/>
  <c r="P46" i="1"/>
  <c r="P36" i="1"/>
  <c r="P28" i="1"/>
  <c r="P132" i="1"/>
  <c r="P21" i="1"/>
  <c r="P139" i="1"/>
  <c r="P15" i="1"/>
  <c r="P5" i="1"/>
  <c r="N151" i="1"/>
  <c r="N9" i="1"/>
  <c r="N122" i="1"/>
  <c r="N38" i="1"/>
  <c r="N112" i="1"/>
  <c r="N48" i="1"/>
  <c r="N71" i="1"/>
  <c r="N65" i="1"/>
  <c r="N59" i="1"/>
  <c r="N101" i="1"/>
  <c r="N52" i="1"/>
  <c r="N45" i="1"/>
  <c r="N115" i="1"/>
  <c r="N31" i="1"/>
  <c r="N25" i="1"/>
  <c r="N18" i="1"/>
  <c r="N8" i="1"/>
  <c r="O148" i="1"/>
  <c r="O12" i="1"/>
  <c r="O125" i="1"/>
  <c r="O35" i="1"/>
  <c r="O103" i="1"/>
  <c r="O74" i="1"/>
  <c r="O68" i="1"/>
  <c r="O62" i="1"/>
  <c r="O56" i="1"/>
  <c r="O47" i="1"/>
  <c r="O33" i="1"/>
  <c r="O127" i="1"/>
  <c r="O27" i="1"/>
  <c r="O20" i="1"/>
  <c r="O14" i="1"/>
  <c r="P120" i="1"/>
  <c r="P40" i="1"/>
  <c r="P112" i="1"/>
  <c r="P48" i="1"/>
  <c r="P77" i="1"/>
  <c r="P71" i="1"/>
  <c r="P65" i="1"/>
  <c r="P59" i="1"/>
  <c r="P101" i="1"/>
  <c r="P52" i="1"/>
  <c r="P45" i="1"/>
  <c r="P33" i="1"/>
  <c r="P127" i="1"/>
  <c r="P27" i="1"/>
  <c r="P20" i="1"/>
  <c r="P14" i="1"/>
  <c r="N120" i="1"/>
  <c r="N40" i="1"/>
  <c r="N83" i="1"/>
  <c r="N76" i="1"/>
  <c r="N70" i="1"/>
  <c r="N64" i="1"/>
  <c r="N58" i="1"/>
  <c r="N51" i="1"/>
  <c r="N43" i="1"/>
  <c r="N30" i="1"/>
  <c r="N24" i="1"/>
  <c r="N17" i="1"/>
  <c r="N7" i="1"/>
  <c r="O147" i="1"/>
  <c r="O13" i="1"/>
  <c r="O124" i="1"/>
  <c r="O36" i="1"/>
  <c r="O79" i="1"/>
  <c r="O81" i="1"/>
  <c r="O73" i="1"/>
  <c r="O67" i="1"/>
  <c r="O61" i="1"/>
  <c r="O55" i="1"/>
  <c r="O46" i="1"/>
  <c r="O32" i="1"/>
  <c r="O128" i="1"/>
  <c r="O26" i="1"/>
  <c r="O19" i="1"/>
  <c r="O141" i="1"/>
  <c r="O10" i="1"/>
  <c r="P149" i="1"/>
  <c r="P11" i="1"/>
  <c r="P126" i="1"/>
  <c r="P34" i="1"/>
  <c r="P76" i="1"/>
  <c r="P70" i="1"/>
  <c r="P64" i="1"/>
  <c r="P58" i="1"/>
  <c r="P51" i="1"/>
  <c r="P43" i="1"/>
  <c r="P32" i="1"/>
  <c r="P128" i="1"/>
  <c r="P26" i="1"/>
  <c r="P19" i="1"/>
  <c r="P141" i="1"/>
  <c r="P10" i="1"/>
  <c r="P54" i="1"/>
  <c r="N138" i="1"/>
  <c r="N22" i="1"/>
  <c r="N149" i="1"/>
  <c r="N11" i="1"/>
  <c r="N126" i="1"/>
  <c r="N34" i="1"/>
  <c r="N82" i="1"/>
  <c r="N75" i="1"/>
  <c r="N85" i="1"/>
  <c r="N69" i="1"/>
  <c r="N63" i="1"/>
  <c r="N57" i="1"/>
  <c r="N50" i="1"/>
  <c r="N110" i="1"/>
  <c r="N41" i="1"/>
  <c r="N29" i="1"/>
  <c r="N23" i="1"/>
  <c r="N16" i="1"/>
  <c r="O138" i="1"/>
  <c r="O22" i="1"/>
  <c r="O78" i="1"/>
  <c r="O66" i="1"/>
  <c r="O60" i="1"/>
  <c r="O100" i="1"/>
  <c r="O52" i="1"/>
  <c r="O45" i="1"/>
  <c r="O31" i="1"/>
  <c r="O25" i="1"/>
  <c r="O18" i="1"/>
  <c r="O8" i="1"/>
  <c r="P148" i="1"/>
  <c r="P12" i="1"/>
  <c r="P125" i="1"/>
  <c r="P35" i="1"/>
  <c r="P82" i="1"/>
  <c r="P75" i="1"/>
  <c r="P85" i="1"/>
  <c r="P69" i="1"/>
  <c r="P63" i="1"/>
  <c r="P57" i="1"/>
  <c r="P50" i="1"/>
  <c r="P110" i="1"/>
  <c r="P42" i="1"/>
  <c r="P118" i="1"/>
  <c r="P31" i="1"/>
  <c r="P25" i="1"/>
  <c r="P18" i="1"/>
  <c r="P8" i="1"/>
  <c r="O53" i="1"/>
  <c r="N148" i="1"/>
  <c r="N12" i="1"/>
  <c r="N125" i="1"/>
  <c r="N35" i="1"/>
  <c r="N94" i="1"/>
  <c r="N88" i="1"/>
  <c r="N74" i="1"/>
  <c r="N68" i="1"/>
  <c r="N62" i="1"/>
  <c r="N56" i="1"/>
  <c r="N49" i="1"/>
  <c r="N37" i="1"/>
  <c r="N28" i="1"/>
  <c r="N132" i="1"/>
  <c r="N21" i="1"/>
  <c r="N139" i="1"/>
  <c r="N15" i="1"/>
  <c r="N5" i="1"/>
  <c r="O151" i="1"/>
  <c r="O9" i="1"/>
  <c r="O122" i="1"/>
  <c r="O38" i="1"/>
  <c r="O77" i="1"/>
  <c r="O71" i="1"/>
  <c r="O65" i="1"/>
  <c r="O59" i="1"/>
  <c r="O101" i="1"/>
  <c r="O51" i="1"/>
  <c r="O43" i="1"/>
  <c r="O30" i="1"/>
  <c r="O24" i="1"/>
  <c r="O17" i="1"/>
  <c r="O7" i="1"/>
  <c r="P147" i="1"/>
  <c r="P13" i="1"/>
  <c r="P94" i="1"/>
  <c r="P88" i="1"/>
  <c r="P74" i="1"/>
  <c r="P68" i="1"/>
  <c r="P62" i="1"/>
  <c r="P56" i="1"/>
  <c r="P49" i="1"/>
  <c r="P41" i="1"/>
  <c r="P30" i="1"/>
  <c r="P24" i="1"/>
  <c r="P17" i="1"/>
  <c r="P7" i="1"/>
  <c r="O54" i="1"/>
  <c r="N147" i="1"/>
  <c r="N13" i="1"/>
  <c r="N124" i="1"/>
  <c r="N36" i="1"/>
  <c r="N79" i="1"/>
  <c r="N73" i="1"/>
  <c r="N67" i="1"/>
  <c r="N61" i="1"/>
  <c r="N55" i="1"/>
  <c r="N47" i="1"/>
  <c r="N33" i="1"/>
  <c r="N127" i="1"/>
  <c r="N27" i="1"/>
  <c r="N20" i="1"/>
  <c r="N14" i="1"/>
  <c r="O120" i="1"/>
  <c r="O40" i="1"/>
  <c r="O112" i="1"/>
  <c r="O48" i="1"/>
  <c r="O97" i="1"/>
  <c r="O91" i="1"/>
  <c r="O76" i="1"/>
  <c r="O70" i="1"/>
  <c r="O64" i="1"/>
  <c r="O58" i="1"/>
  <c r="O50" i="1"/>
  <c r="O110" i="1"/>
  <c r="O41" i="1"/>
  <c r="O29" i="1"/>
  <c r="O23" i="1"/>
  <c r="O16" i="1"/>
  <c r="P138" i="1"/>
  <c r="P22" i="1"/>
  <c r="P107" i="1"/>
  <c r="P73" i="1"/>
  <c r="P67" i="1"/>
  <c r="P61" i="1"/>
  <c r="P55" i="1"/>
  <c r="P47" i="1"/>
  <c r="P37" i="1"/>
  <c r="P29" i="1"/>
  <c r="P23" i="1"/>
  <c r="P16" i="1"/>
  <c r="P6" i="1"/>
  <c r="N54" i="1"/>
  <c r="D24" i="29"/>
  <c r="J33" i="29"/>
  <c r="S33" i="29" s="1"/>
  <c r="J27" i="29"/>
  <c r="H27" i="29"/>
  <c r="J12" i="29"/>
  <c r="J6" i="29"/>
  <c r="J15" i="29"/>
  <c r="H6" i="29"/>
  <c r="F6" i="29"/>
  <c r="Q6" i="29" s="1"/>
  <c r="D6" i="29"/>
  <c r="H33" i="29"/>
  <c r="F33" i="29"/>
  <c r="D33" i="29"/>
  <c r="F30" i="29"/>
  <c r="D30" i="29"/>
  <c r="D27" i="29"/>
  <c r="F27" i="29"/>
  <c r="J24" i="29"/>
  <c r="H24" i="29"/>
  <c r="F24" i="29"/>
  <c r="J21" i="29"/>
  <c r="F21" i="29"/>
  <c r="D21" i="29"/>
  <c r="H21" i="29"/>
  <c r="F18" i="29"/>
  <c r="D18" i="29"/>
  <c r="H18" i="29"/>
  <c r="J18" i="29"/>
  <c r="H15" i="29"/>
  <c r="D15" i="29"/>
  <c r="F15" i="29"/>
  <c r="D12" i="29"/>
  <c r="H12" i="29"/>
  <c r="F12" i="29"/>
  <c r="J9" i="29"/>
  <c r="H9" i="29"/>
  <c r="F9" i="29"/>
  <c r="D9" i="29"/>
  <c r="O140" i="1"/>
  <c r="P140" i="1"/>
  <c r="O6" i="1"/>
  <c r="N6" i="1"/>
  <c r="O42" i="1"/>
  <c r="Y5" i="26"/>
  <c r="K7" i="26" a="1"/>
  <c r="K7" i="26" s="1"/>
  <c r="K14" i="26" a="1"/>
  <c r="K14" i="26" s="1"/>
  <c r="K10" i="26" a="1"/>
  <c r="K10" i="26" s="1"/>
  <c r="K9" i="26" a="1"/>
  <c r="K9" i="26" s="1"/>
  <c r="K16" i="26" a="1"/>
  <c r="K16" i="26" s="1"/>
  <c r="K20" i="26" a="1"/>
  <c r="K20" i="26" s="1"/>
  <c r="K13" i="26" a="1"/>
  <c r="K13" i="26" s="1"/>
  <c r="K8" i="26" a="1"/>
  <c r="K8" i="26" s="1"/>
  <c r="K11" i="26" a="1"/>
  <c r="K11" i="26" s="1"/>
  <c r="K21" i="26" a="1"/>
  <c r="K21" i="26" s="1"/>
  <c r="K19" i="26" a="1"/>
  <c r="K19" i="26" s="1"/>
  <c r="K17" i="26" a="1"/>
  <c r="K17" i="26" s="1"/>
  <c r="K12" i="26" a="1"/>
  <c r="K12" i="26" s="1"/>
  <c r="K18" i="26" a="1"/>
  <c r="K18" i="26" s="1"/>
  <c r="K15" i="26" a="1"/>
  <c r="K15" i="26" s="1"/>
  <c r="K6" i="26" a="1"/>
  <c r="K6" i="26" s="1"/>
  <c r="M80" i="26"/>
  <c r="M66" i="26"/>
  <c r="T7" i="24" a="1"/>
  <c r="T7" i="24" s="1"/>
  <c r="U7" i="24" s="1"/>
  <c r="M6" i="28" a="1"/>
  <c r="M6" i="28" s="1"/>
  <c r="M9" i="28" a="1"/>
  <c r="M9" i="28" s="1"/>
  <c r="M24" i="28" a="1"/>
  <c r="M24" i="28" s="1"/>
  <c r="M21" i="28" a="1"/>
  <c r="M21" i="28" s="1"/>
  <c r="M13" i="28" a="1"/>
  <c r="M13" i="28" s="1"/>
  <c r="M16" i="28" a="1"/>
  <c r="M16" i="28" s="1"/>
  <c r="M25" i="28" a="1"/>
  <c r="M25" i="28" s="1"/>
  <c r="M10" i="28" a="1"/>
  <c r="M10" i="28" s="1"/>
  <c r="M7" i="28" a="1"/>
  <c r="M7" i="28" s="1"/>
  <c r="M22" i="28" a="1"/>
  <c r="M22" i="28" s="1"/>
  <c r="M19" i="28" a="1"/>
  <c r="M19" i="28" s="1"/>
  <c r="M17" i="28" a="1"/>
  <c r="M17" i="28" s="1"/>
  <c r="M14" i="28" a="1"/>
  <c r="M14" i="28" s="1"/>
  <c r="M11" i="28" a="1"/>
  <c r="M11" i="28" s="1"/>
  <c r="M20" i="28" a="1"/>
  <c r="M20" i="28" s="1"/>
  <c r="M12" i="28" a="1"/>
  <c r="M12" i="28" s="1"/>
  <c r="M8" i="28" a="1"/>
  <c r="M8" i="28" s="1"/>
  <c r="M18" i="28" a="1"/>
  <c r="M18" i="28" s="1"/>
  <c r="M26" i="28" a="1"/>
  <c r="M26" i="28" s="1"/>
  <c r="M23" i="28" a="1"/>
  <c r="M23" i="28" s="1"/>
  <c r="M15" i="28" a="1"/>
  <c r="M15" i="28" s="1"/>
  <c r="M5" i="28" a="1"/>
  <c r="M5" i="28" s="1"/>
  <c r="H7" i="28" a="1"/>
  <c r="H7" i="28" s="1"/>
  <c r="L7" i="28" s="1"/>
  <c r="L5" i="28"/>
  <c r="Q8" i="24" a="1"/>
  <c r="Q8" i="24" s="1"/>
  <c r="Q9" i="24" s="1" a="1"/>
  <c r="Q9" i="24" s="1"/>
  <c r="Q10" i="24" s="1" a="1"/>
  <c r="Q10" i="24" s="1"/>
  <c r="Q11" i="24" s="1" a="1"/>
  <c r="Q11" i="24" s="1"/>
  <c r="Q12" i="24" s="1" a="1"/>
  <c r="Q12" i="24" s="1"/>
  <c r="Q13" i="24" s="1" a="1"/>
  <c r="Q13" i="24" s="1"/>
  <c r="Q14" i="24" s="1" a="1"/>
  <c r="Q14" i="24" s="1"/>
  <c r="Q15" i="24" s="1" a="1"/>
  <c r="Q15" i="24" s="1"/>
  <c r="Q16" i="24" s="1" a="1"/>
  <c r="Q16" i="24" s="1"/>
  <c r="Q17" i="24" s="1" a="1"/>
  <c r="Q17" i="24" s="1"/>
  <c r="Q18" i="24" s="1" a="1"/>
  <c r="Q18" i="24" s="1"/>
  <c r="Q19" i="24" s="1" a="1"/>
  <c r="Q19" i="24" s="1"/>
  <c r="Q20" i="24" s="1" a="1"/>
  <c r="Q20" i="24" s="1"/>
  <c r="Q21" i="24" s="1" a="1"/>
  <c r="Q21" i="24" s="1"/>
  <c r="Q22" i="24" s="1" a="1"/>
  <c r="Q22" i="24" s="1"/>
  <c r="Q23" i="24" s="1" a="1"/>
  <c r="Q23" i="24" s="1"/>
  <c r="Q24" i="24" s="1" a="1"/>
  <c r="Q24" i="24" s="1"/>
  <c r="Q25" i="24" s="1" a="1"/>
  <c r="Q25" i="24" s="1"/>
  <c r="Q26" i="24" s="1" a="1"/>
  <c r="Q26" i="24" s="1"/>
  <c r="Q27" i="24" s="1" a="1"/>
  <c r="Q27" i="24" s="1"/>
  <c r="Q28" i="24" s="1" a="1"/>
  <c r="Q28" i="24" s="1"/>
  <c r="Q29" i="24" s="1" a="1"/>
  <c r="Q29" i="24" s="1"/>
  <c r="Q30" i="24" s="1" a="1"/>
  <c r="Q30" i="24" s="1"/>
  <c r="Q31" i="24" s="1" a="1"/>
  <c r="Q31" i="24" s="1"/>
  <c r="Q32" i="24" s="1" a="1"/>
  <c r="Q32" i="24" s="1"/>
  <c r="Q33" i="24" s="1" a="1"/>
  <c r="Q33" i="24" s="1"/>
  <c r="Q34" i="24" s="1" a="1"/>
  <c r="Q34" i="24" s="1"/>
  <c r="Q35" i="24" s="1" a="1"/>
  <c r="Q35" i="24" s="1"/>
  <c r="Q36" i="24" s="1" a="1"/>
  <c r="Q36" i="24" s="1"/>
  <c r="Q37" i="24" s="1" a="1"/>
  <c r="Q37" i="24" s="1"/>
  <c r="Q38" i="24" s="1" a="1"/>
  <c r="Q38" i="24" s="1"/>
  <c r="Q39" i="24" s="1" a="1"/>
  <c r="Q39" i="24" s="1"/>
  <c r="Q40" i="24" s="1" a="1"/>
  <c r="Q40" i="24" s="1"/>
  <c r="Q41" i="24" s="1" a="1"/>
  <c r="Q41" i="24" s="1"/>
  <c r="Q42" i="24" s="1" a="1"/>
  <c r="Q42" i="24" s="1"/>
  <c r="Q43" i="24" s="1" a="1"/>
  <c r="Q43" i="24" s="1"/>
  <c r="Q44" i="24" s="1" a="1"/>
  <c r="Q44" i="24" s="1"/>
  <c r="Q45" i="24" s="1" a="1"/>
  <c r="Q45" i="24" s="1"/>
  <c r="Q46" i="24" s="1" a="1"/>
  <c r="Q46" i="24" s="1"/>
  <c r="Q47" i="24" s="1" a="1"/>
  <c r="Q47" i="24" s="1"/>
  <c r="Q48" i="24" s="1" a="1"/>
  <c r="Q48" i="24" s="1"/>
  <c r="Q49" i="24" s="1" a="1"/>
  <c r="Q49" i="24" s="1"/>
  <c r="Q50" i="24" s="1" a="1"/>
  <c r="Q50" i="24" s="1"/>
  <c r="Q51" i="24" s="1" a="1"/>
  <c r="Q51" i="24" s="1"/>
  <c r="Q52" i="24" s="1" a="1"/>
  <c r="Q52" i="24" s="1"/>
  <c r="Q53" i="24" s="1" a="1"/>
  <c r="Q53" i="24" s="1"/>
  <c r="Q54" i="24" s="1" a="1"/>
  <c r="Q54" i="24" s="1"/>
  <c r="Q55" i="24" s="1" a="1"/>
  <c r="Q55" i="24" s="1"/>
  <c r="Q56" i="24" s="1" a="1"/>
  <c r="Q56" i="24" s="1"/>
  <c r="Q57" i="24" s="1" a="1"/>
  <c r="Q57" i="24" s="1"/>
  <c r="Q58" i="24" s="1" a="1"/>
  <c r="Q58" i="24" s="1"/>
  <c r="Q59" i="24" s="1" a="1"/>
  <c r="Q59" i="24" s="1"/>
  <c r="Q60" i="24" s="1" a="1"/>
  <c r="Q60" i="24" s="1"/>
  <c r="Q61" i="24" s="1" a="1"/>
  <c r="Q61" i="24" s="1"/>
  <c r="Q62" i="24" s="1" a="1"/>
  <c r="Q62" i="24" s="1"/>
  <c r="Q63" i="24" s="1" a="1"/>
  <c r="Q63" i="24" s="1"/>
  <c r="Q64" i="24" s="1" a="1"/>
  <c r="Q64" i="24" s="1"/>
  <c r="Q65" i="24" s="1" a="1"/>
  <c r="Q65" i="24" s="1"/>
  <c r="G6" i="28"/>
  <c r="G7" i="28"/>
  <c r="G5" i="28"/>
  <c r="F7" i="28"/>
  <c r="F6" i="28"/>
  <c r="F5" i="28"/>
  <c r="I21" i="26"/>
  <c r="I20" i="26"/>
  <c r="I19" i="26"/>
  <c r="I18" i="26"/>
  <c r="Q10" i="26" a="1"/>
  <c r="Q10" i="26" s="1"/>
  <c r="O20" i="26" a="1"/>
  <c r="O20" i="26" s="1"/>
  <c r="M7" i="26" a="1"/>
  <c r="M7" i="26" s="1"/>
  <c r="M30" i="29" l="1"/>
  <c r="M15" i="29"/>
  <c r="M27" i="29"/>
  <c r="M12" i="29"/>
  <c r="M18" i="29"/>
  <c r="M33" i="29"/>
  <c r="M24" i="29"/>
  <c r="M21" i="29"/>
  <c r="M9" i="29"/>
  <c r="M6" i="29"/>
  <c r="P6" i="29"/>
  <c r="U6" i="29"/>
  <c r="R30" i="29"/>
  <c r="V30" i="29"/>
  <c r="Z30" i="29"/>
  <c r="BI4" i="24"/>
  <c r="X6" i="29"/>
  <c r="AA33" i="29"/>
  <c r="BL5" i="24"/>
  <c r="W33" i="29"/>
  <c r="R27" i="29"/>
  <c r="BF4" i="24"/>
  <c r="Z27" i="29"/>
  <c r="V27" i="29"/>
  <c r="AA27" i="29"/>
  <c r="S27" i="29"/>
  <c r="W27" i="29"/>
  <c r="BF5" i="24"/>
  <c r="AA12" i="29"/>
  <c r="W12" i="29"/>
  <c r="AQ5" i="24"/>
  <c r="S12" i="29"/>
  <c r="AA6" i="29"/>
  <c r="W6" i="29"/>
  <c r="AK5" i="24"/>
  <c r="S6" i="29"/>
  <c r="AN5" i="24"/>
  <c r="W9" i="29"/>
  <c r="AA9" i="29"/>
  <c r="S9" i="29"/>
  <c r="AN3" i="24"/>
  <c r="Y9" i="29"/>
  <c r="Q9" i="29"/>
  <c r="U9" i="29"/>
  <c r="AN4" i="24"/>
  <c r="V9" i="29"/>
  <c r="Z9" i="29"/>
  <c r="R9" i="29"/>
  <c r="BL3" i="24"/>
  <c r="Y33" i="29"/>
  <c r="Q33" i="29"/>
  <c r="U33" i="29"/>
  <c r="BL4" i="24"/>
  <c r="Z33" i="29"/>
  <c r="V33" i="29"/>
  <c r="R33" i="29"/>
  <c r="BL2" i="24"/>
  <c r="T33" i="29"/>
  <c r="P33" i="29"/>
  <c r="X33" i="29"/>
  <c r="BI2" i="24"/>
  <c r="P30" i="29"/>
  <c r="T30" i="29"/>
  <c r="X30" i="29"/>
  <c r="BI3" i="24"/>
  <c r="U30" i="29"/>
  <c r="Y30" i="29"/>
  <c r="Q30" i="29"/>
  <c r="BF3" i="24"/>
  <c r="U27" i="29"/>
  <c r="Y27" i="29"/>
  <c r="Q27" i="29"/>
  <c r="BF2" i="24"/>
  <c r="T27" i="29"/>
  <c r="P27" i="29"/>
  <c r="X27" i="29"/>
  <c r="BC5" i="24"/>
  <c r="AA24" i="29"/>
  <c r="S24" i="29"/>
  <c r="W24" i="29"/>
  <c r="BC2" i="24"/>
  <c r="T24" i="29"/>
  <c r="P24" i="29"/>
  <c r="X24" i="29"/>
  <c r="BC3" i="24"/>
  <c r="Y24" i="29"/>
  <c r="U24" i="29"/>
  <c r="Q24" i="29"/>
  <c r="BC4" i="24"/>
  <c r="Z24" i="29"/>
  <c r="R24" i="29"/>
  <c r="V24" i="29"/>
  <c r="AZ2" i="24"/>
  <c r="T21" i="29"/>
  <c r="P21" i="29"/>
  <c r="X21" i="29"/>
  <c r="AZ3" i="24"/>
  <c r="U21" i="29"/>
  <c r="Y21" i="29"/>
  <c r="Q21" i="29"/>
  <c r="AZ5" i="24"/>
  <c r="AA21" i="29"/>
  <c r="S21" i="29"/>
  <c r="W21" i="29"/>
  <c r="AZ4" i="24"/>
  <c r="Z21" i="29"/>
  <c r="R21" i="29"/>
  <c r="V21" i="29"/>
  <c r="AW5" i="24"/>
  <c r="AA18" i="29"/>
  <c r="S18" i="29"/>
  <c r="W18" i="29"/>
  <c r="AW4" i="24"/>
  <c r="Z18" i="29"/>
  <c r="R18" i="29"/>
  <c r="V18" i="29"/>
  <c r="AW2" i="24"/>
  <c r="T18" i="29"/>
  <c r="P18" i="29"/>
  <c r="X18" i="29"/>
  <c r="AW3" i="24"/>
  <c r="U18" i="29"/>
  <c r="Q18" i="29"/>
  <c r="Y18" i="29"/>
  <c r="AT4" i="24"/>
  <c r="V15" i="29"/>
  <c r="Z15" i="29"/>
  <c r="R15" i="29"/>
  <c r="AT3" i="24"/>
  <c r="U15" i="29"/>
  <c r="Y15" i="29"/>
  <c r="Q15" i="29"/>
  <c r="AT2" i="24"/>
  <c r="T15" i="29"/>
  <c r="P15" i="29"/>
  <c r="X15" i="29"/>
  <c r="AT5" i="24"/>
  <c r="AA15" i="29"/>
  <c r="S15" i="29"/>
  <c r="W15" i="29"/>
  <c r="AQ3" i="24"/>
  <c r="U12" i="29"/>
  <c r="Y12" i="29"/>
  <c r="Q12" i="29"/>
  <c r="AQ4" i="24"/>
  <c r="R12" i="29"/>
  <c r="V12" i="29"/>
  <c r="Z12" i="29"/>
  <c r="AQ2" i="24"/>
  <c r="T12" i="29"/>
  <c r="X12" i="29"/>
  <c r="P12" i="29"/>
  <c r="AN2" i="24"/>
  <c r="T9" i="29"/>
  <c r="X9" i="29"/>
  <c r="P9" i="29"/>
  <c r="V6" i="29"/>
  <c r="Z6" i="29"/>
  <c r="AK4" i="24"/>
  <c r="R6" i="29"/>
  <c r="Y6" i="29"/>
  <c r="AK3" i="24"/>
  <c r="T6" i="29"/>
  <c r="AK2" i="24"/>
  <c r="T8" i="24" a="1"/>
  <c r="T8" i="24" s="1"/>
  <c r="H8" i="28" a="1"/>
  <c r="H8" i="28" s="1"/>
  <c r="L8" i="28" s="1"/>
  <c r="M18" i="26" a="1"/>
  <c r="M18" i="26" s="1"/>
  <c r="M11" i="26" a="1"/>
  <c r="M11" i="26" s="1"/>
  <c r="M17" i="26" a="1"/>
  <c r="M17" i="26" s="1"/>
  <c r="O6" i="26" a="1"/>
  <c r="O6" i="26" s="1"/>
  <c r="O8" i="26" a="1"/>
  <c r="O8" i="26" s="1"/>
  <c r="Q9" i="26" a="1"/>
  <c r="Q9" i="26" s="1"/>
  <c r="M13" i="26" a="1"/>
  <c r="M13" i="26" s="1"/>
  <c r="O12" i="26" a="1"/>
  <c r="O12" i="26" s="1"/>
  <c r="O14" i="26" a="1"/>
  <c r="O14" i="26" s="1"/>
  <c r="Q15" i="26" a="1"/>
  <c r="Q15" i="26" s="1"/>
  <c r="M10" i="26" a="1"/>
  <c r="M10" i="26" s="1"/>
  <c r="O18" i="26" a="1"/>
  <c r="O18" i="26" s="1"/>
  <c r="O13" i="26" a="1"/>
  <c r="O13" i="26" s="1"/>
  <c r="Q20" i="26" a="1"/>
  <c r="Q20" i="26" s="1"/>
  <c r="M19" i="26" a="1"/>
  <c r="M19" i="26" s="1"/>
  <c r="O19" i="26" a="1"/>
  <c r="O19" i="26" s="1"/>
  <c r="O7" i="26" a="1"/>
  <c r="O7" i="26" s="1"/>
  <c r="Q8" i="26" a="1"/>
  <c r="Q8" i="26" s="1"/>
  <c r="M16" i="26" a="1"/>
  <c r="M16" i="26" s="1"/>
  <c r="O11" i="26" a="1"/>
  <c r="O11" i="26" s="1"/>
  <c r="Q12" i="26" a="1"/>
  <c r="Q12" i="26" s="1"/>
  <c r="Q21" i="26" a="1"/>
  <c r="Q21" i="26" s="1"/>
  <c r="M15" i="26" a="1"/>
  <c r="M15" i="26" s="1"/>
  <c r="O17" i="26" a="1"/>
  <c r="O17" i="26" s="1"/>
  <c r="Q18" i="26" a="1"/>
  <c r="Q18" i="26" s="1"/>
  <c r="Q14" i="26" a="1"/>
  <c r="Q14" i="26" s="1"/>
  <c r="M9" i="26" a="1"/>
  <c r="M9" i="26" s="1"/>
  <c r="O21" i="26" a="1"/>
  <c r="O21" i="26" s="1"/>
  <c r="Q11" i="26" a="1"/>
  <c r="Q11" i="26" s="1"/>
  <c r="Q7" i="26" a="1"/>
  <c r="Q7" i="26" s="1"/>
  <c r="M14" i="26" a="1"/>
  <c r="M14" i="26" s="1"/>
  <c r="O16" i="26" a="1"/>
  <c r="O16" i="26" s="1"/>
  <c r="Q17" i="26" a="1"/>
  <c r="Q17" i="26" s="1"/>
  <c r="Q6" i="26" a="1"/>
  <c r="Q6" i="26" s="1"/>
  <c r="M6" i="26" a="1"/>
  <c r="M6" i="26" s="1"/>
  <c r="M21" i="26" a="1"/>
  <c r="M21" i="26" s="1"/>
  <c r="O10" i="26" a="1"/>
  <c r="O10" i="26" s="1"/>
  <c r="Q13" i="26" a="1"/>
  <c r="Q13" i="26" s="1"/>
  <c r="M8" i="26" a="1"/>
  <c r="M8" i="26" s="1"/>
  <c r="O15" i="26" a="1"/>
  <c r="O15" i="26" s="1"/>
  <c r="Q16" i="26" a="1"/>
  <c r="Q16" i="26" s="1"/>
  <c r="M12" i="26" a="1"/>
  <c r="M12" i="26" s="1"/>
  <c r="M20" i="26" a="1"/>
  <c r="M20" i="26" s="1"/>
  <c r="O9" i="26" a="1"/>
  <c r="O9" i="26" s="1"/>
  <c r="Q19" i="26" a="1"/>
  <c r="Q19" i="26" s="1"/>
  <c r="H18" i="26"/>
  <c r="H21" i="26"/>
  <c r="H20" i="26"/>
  <c r="H19" i="26"/>
  <c r="I151" i="3"/>
  <c r="D149" i="3"/>
  <c r="AA129" i="13" s="1"/>
  <c r="E149" i="3"/>
  <c r="I149" i="3"/>
  <c r="B151" i="3"/>
  <c r="Y131" i="13" s="1"/>
  <c r="B149" i="3"/>
  <c r="Y129" i="13" s="1"/>
  <c r="G129" i="10"/>
  <c r="H129" i="10"/>
  <c r="I129" i="10"/>
  <c r="B129" i="10"/>
  <c r="C129" i="10"/>
  <c r="D129" i="10"/>
  <c r="E129" i="10"/>
  <c r="G131" i="10"/>
  <c r="H131" i="10"/>
  <c r="I131" i="10"/>
  <c r="B131" i="10"/>
  <c r="C131" i="10"/>
  <c r="D131" i="10"/>
  <c r="E131" i="10"/>
  <c r="G103" i="10"/>
  <c r="L149" i="3"/>
  <c r="O151" i="3"/>
  <c r="L151" i="3"/>
  <c r="N151" i="3"/>
  <c r="N149" i="3"/>
  <c r="M151" i="3"/>
  <c r="O149" i="3"/>
  <c r="M149" i="3"/>
  <c r="AB129" i="13" l="1"/>
  <c r="K129" i="10"/>
  <c r="M7" i="29"/>
  <c r="O34" i="29"/>
  <c r="M34" i="29"/>
  <c r="O31" i="29"/>
  <c r="M31" i="29"/>
  <c r="O28" i="29"/>
  <c r="M28" i="29"/>
  <c r="O25" i="29"/>
  <c r="M25" i="29"/>
  <c r="O22" i="29"/>
  <c r="M22" i="29"/>
  <c r="M19" i="29"/>
  <c r="O19" i="29"/>
  <c r="O16" i="29"/>
  <c r="M16" i="29"/>
  <c r="M13" i="29"/>
  <c r="O13" i="29"/>
  <c r="O10" i="29"/>
  <c r="M10" i="29"/>
  <c r="F15" i="26"/>
  <c r="AX2" i="24" a="1"/>
  <c r="AX2" i="24" s="1"/>
  <c r="AX27" i="24" a="1"/>
  <c r="AX27" i="24" s="1"/>
  <c r="AX11" i="24" a="1"/>
  <c r="AX11" i="24" s="1"/>
  <c r="AX28" i="24" a="1"/>
  <c r="AX28" i="24" s="1"/>
  <c r="AX13" i="24" a="1"/>
  <c r="AX13" i="24" s="1"/>
  <c r="AX36" i="24" a="1"/>
  <c r="AX36" i="24" s="1"/>
  <c r="AX23" i="24" a="1"/>
  <c r="AX23" i="24" s="1"/>
  <c r="AX3" i="24" a="1"/>
  <c r="AX3" i="24" s="1"/>
  <c r="AX38" i="24" a="1"/>
  <c r="AX38" i="24" s="1"/>
  <c r="AX5" i="24" a="1"/>
  <c r="AX5" i="24" s="1"/>
  <c r="AX17" i="24" a="1"/>
  <c r="AX17" i="24" s="1"/>
  <c r="AX39" i="24" a="1"/>
  <c r="AX39" i="24" s="1"/>
  <c r="AX15" i="24" a="1"/>
  <c r="AX15" i="24" s="1"/>
  <c r="AX10" i="24" a="1"/>
  <c r="AX10" i="24" s="1"/>
  <c r="AX21" i="24" a="1"/>
  <c r="AX21" i="24" s="1"/>
  <c r="AX6" i="24" a="1"/>
  <c r="AX6" i="24" s="1"/>
  <c r="AX30" i="24" a="1"/>
  <c r="AX30" i="24" s="1"/>
  <c r="AX14" i="24" a="1"/>
  <c r="AX14" i="24" s="1"/>
  <c r="AX34" i="24" a="1"/>
  <c r="AX34" i="24" s="1"/>
  <c r="AX19" i="24" a="1"/>
  <c r="AX19" i="24" s="1"/>
  <c r="AX32" i="24" a="1"/>
  <c r="AX32" i="24" s="1"/>
  <c r="AX31" i="24" a="1"/>
  <c r="AX31" i="24" s="1"/>
  <c r="AX33" i="24" a="1"/>
  <c r="AX33" i="24" s="1"/>
  <c r="AX9" i="24" a="1"/>
  <c r="AX9" i="24" s="1"/>
  <c r="AX25" i="24" a="1"/>
  <c r="AX25" i="24" s="1"/>
  <c r="AX26" i="24" a="1"/>
  <c r="AX26" i="24" s="1"/>
  <c r="AX4" i="24" a="1"/>
  <c r="AX4" i="24" s="1"/>
  <c r="AX16" i="24" a="1"/>
  <c r="AX16" i="24" s="1"/>
  <c r="AX37" i="24" a="1"/>
  <c r="AX37" i="24" s="1"/>
  <c r="AX7" i="24" a="1"/>
  <c r="AX7" i="24" s="1"/>
  <c r="AX35" i="24" a="1"/>
  <c r="AX35" i="24" s="1"/>
  <c r="AX20" i="24" a="1"/>
  <c r="AX20" i="24" s="1"/>
  <c r="AX40" i="24" a="1"/>
  <c r="AX40" i="24" s="1"/>
  <c r="AX8" i="24" a="1"/>
  <c r="AX8" i="24" s="1"/>
  <c r="AX22" i="24" a="1"/>
  <c r="AX22" i="24" s="1"/>
  <c r="AX24" i="24" a="1"/>
  <c r="AX24" i="24" s="1"/>
  <c r="AX12" i="24" a="1"/>
  <c r="AX12" i="24" s="1"/>
  <c r="AX18" i="24" a="1"/>
  <c r="AX18" i="24" s="1"/>
  <c r="AX29" i="24" a="1"/>
  <c r="AX29" i="24" s="1"/>
  <c r="BA6" i="24" a="1"/>
  <c r="BA6" i="24" s="1"/>
  <c r="BA33" i="24" a="1"/>
  <c r="BA33" i="24" s="1"/>
  <c r="BA40" i="24" a="1"/>
  <c r="BA40" i="24" s="1"/>
  <c r="BA18" i="24" a="1"/>
  <c r="BA18" i="24" s="1"/>
  <c r="BA31" i="24" a="1"/>
  <c r="BA31" i="24" s="1"/>
  <c r="BA11" i="24" a="1"/>
  <c r="BA11" i="24" s="1"/>
  <c r="BA7" i="24" a="1"/>
  <c r="BA7" i="24" s="1"/>
  <c r="BA37" i="24" a="1"/>
  <c r="BA37" i="24" s="1"/>
  <c r="BA38" i="24" a="1"/>
  <c r="BA38" i="24" s="1"/>
  <c r="BA19" i="24" a="1"/>
  <c r="BA19" i="24" s="1"/>
  <c r="BA20" i="24" a="1"/>
  <c r="BA20" i="24" s="1"/>
  <c r="BA14" i="24" a="1"/>
  <c r="BA14" i="24" s="1"/>
  <c r="BA39" i="24" a="1"/>
  <c r="BA39" i="24" s="1"/>
  <c r="BA27" i="24" a="1"/>
  <c r="BA27" i="24" s="1"/>
  <c r="BA35" i="24" a="1"/>
  <c r="BA35" i="24" s="1"/>
  <c r="BA10" i="24" a="1"/>
  <c r="BA10" i="24" s="1"/>
  <c r="BA23" i="24" a="1"/>
  <c r="BA23" i="24" s="1"/>
  <c r="BA15" i="24" a="1"/>
  <c r="BA15" i="24" s="1"/>
  <c r="BA2" i="24" a="1"/>
  <c r="BA2" i="24" s="1"/>
  <c r="BB2" i="24" s="1" a="1"/>
  <c r="BB2" i="24" s="1"/>
  <c r="BA34" i="24" a="1"/>
  <c r="BA34" i="24" s="1"/>
  <c r="BA12" i="24" a="1"/>
  <c r="BA12" i="24" s="1"/>
  <c r="BA30" i="24" a="1"/>
  <c r="BA30" i="24" s="1"/>
  <c r="BA8" i="24" a="1"/>
  <c r="BA8" i="24" s="1"/>
  <c r="BA24" i="24" a="1"/>
  <c r="BA24" i="24" s="1"/>
  <c r="BA22" i="24" a="1"/>
  <c r="BA22" i="24" s="1"/>
  <c r="BA3" i="24" a="1"/>
  <c r="BA3" i="24" s="1"/>
  <c r="BA32" i="24" a="1"/>
  <c r="BA32" i="24" s="1"/>
  <c r="BA13" i="24" a="1"/>
  <c r="BA13" i="24" s="1"/>
  <c r="BA17" i="24" a="1"/>
  <c r="BA17" i="24" s="1"/>
  <c r="BA5" i="24" a="1"/>
  <c r="BA5" i="24" s="1"/>
  <c r="BA25" i="24" a="1"/>
  <c r="BA25" i="24" s="1"/>
  <c r="BA21" i="24" a="1"/>
  <c r="BA21" i="24" s="1"/>
  <c r="BA36" i="24" a="1"/>
  <c r="BA36" i="24" s="1"/>
  <c r="BA29" i="24" a="1"/>
  <c r="BA29" i="24" s="1"/>
  <c r="BA4" i="24" a="1"/>
  <c r="BA4" i="24" s="1"/>
  <c r="BA28" i="24" a="1"/>
  <c r="BA28" i="24" s="1"/>
  <c r="BA9" i="24" a="1"/>
  <c r="BA9" i="24" s="1"/>
  <c r="BA16" i="24" a="1"/>
  <c r="BA16" i="24" s="1"/>
  <c r="BA26" i="24" a="1"/>
  <c r="BA26" i="24" s="1"/>
  <c r="BD2" i="24" a="1"/>
  <c r="BD2" i="24" s="1"/>
  <c r="BE2" i="24" s="1" a="1"/>
  <c r="BE2" i="24" s="1"/>
  <c r="BD6" i="24" a="1"/>
  <c r="BD6" i="24" s="1"/>
  <c r="BD17" i="24" a="1"/>
  <c r="BD17" i="24" s="1"/>
  <c r="BD40" i="24" a="1"/>
  <c r="BD40" i="24" s="1"/>
  <c r="BD5" i="24" a="1"/>
  <c r="BD5" i="24" s="1"/>
  <c r="BD8" i="24" a="1"/>
  <c r="BD8" i="24" s="1"/>
  <c r="BD11" i="24" a="1"/>
  <c r="BD11" i="24" s="1"/>
  <c r="BD3" i="24" a="1"/>
  <c r="BD3" i="24" s="1"/>
  <c r="BD37" i="24" a="1"/>
  <c r="BD37" i="24" s="1"/>
  <c r="BD12" i="24" a="1"/>
  <c r="BD12" i="24" s="1"/>
  <c r="BD20" i="24" a="1"/>
  <c r="BD20" i="24" s="1"/>
  <c r="BD23" i="24" a="1"/>
  <c r="BD23" i="24" s="1"/>
  <c r="BD26" i="24" a="1"/>
  <c r="BD26" i="24" s="1"/>
  <c r="BD38" i="24" a="1"/>
  <c r="BD38" i="24" s="1"/>
  <c r="BD39" i="24" a="1"/>
  <c r="BD39" i="24" s="1"/>
  <c r="BD9" i="24" a="1"/>
  <c r="BD9" i="24" s="1"/>
  <c r="BD35" i="24" a="1"/>
  <c r="BD35" i="24" s="1"/>
  <c r="BD18" i="24" a="1"/>
  <c r="BD18" i="24" s="1"/>
  <c r="BD24" i="24" a="1"/>
  <c r="BD24" i="24" s="1"/>
  <c r="BD30" i="24" a="1"/>
  <c r="BD30" i="24" s="1"/>
  <c r="BD36" i="24" a="1"/>
  <c r="BD36" i="24" s="1"/>
  <c r="BD25" i="24" a="1"/>
  <c r="BD25" i="24" s="1"/>
  <c r="BD32" i="24" a="1"/>
  <c r="BD32" i="24" s="1"/>
  <c r="BD15" i="24" a="1"/>
  <c r="BD15" i="24" s="1"/>
  <c r="BD21" i="24" a="1"/>
  <c r="BD21" i="24" s="1"/>
  <c r="BD27" i="24" a="1"/>
  <c r="BD27" i="24" s="1"/>
  <c r="BD33" i="24" a="1"/>
  <c r="BD33" i="24" s="1"/>
  <c r="BD28" i="24" a="1"/>
  <c r="BD28" i="24" s="1"/>
  <c r="BD34" i="24" a="1"/>
  <c r="BD34" i="24" s="1"/>
  <c r="BD4" i="24" a="1"/>
  <c r="BD4" i="24" s="1"/>
  <c r="BD10" i="24" a="1"/>
  <c r="BD10" i="24" s="1"/>
  <c r="BD16" i="24" a="1"/>
  <c r="BD16" i="24" s="1"/>
  <c r="BD22" i="24" a="1"/>
  <c r="BD22" i="24" s="1"/>
  <c r="BD14" i="24" a="1"/>
  <c r="BD14" i="24" s="1"/>
  <c r="BD31" i="24" a="1"/>
  <c r="BD31" i="24" s="1"/>
  <c r="BD29" i="24" a="1"/>
  <c r="BD29" i="24" s="1"/>
  <c r="BD7" i="24" a="1"/>
  <c r="BD7" i="24" s="1"/>
  <c r="BD13" i="24" a="1"/>
  <c r="BD13" i="24" s="1"/>
  <c r="BD19" i="24" a="1"/>
  <c r="BD19" i="24" s="1"/>
  <c r="BG25" i="24" a="1"/>
  <c r="BG25" i="24" s="1"/>
  <c r="BG24" i="24" a="1"/>
  <c r="BG24" i="24" s="1"/>
  <c r="BG9" i="24" a="1"/>
  <c r="BG9" i="24" s="1"/>
  <c r="BG23" i="24" a="1"/>
  <c r="BG23" i="24" s="1"/>
  <c r="BG20" i="24" a="1"/>
  <c r="BG20" i="24" s="1"/>
  <c r="BG5" i="24" a="1"/>
  <c r="BG5" i="24" s="1"/>
  <c r="BG4" i="24" a="1"/>
  <c r="BG4" i="24" s="1"/>
  <c r="BG31" i="24" a="1"/>
  <c r="BG31" i="24" s="1"/>
  <c r="BG33" i="24" a="1"/>
  <c r="BG33" i="24" s="1"/>
  <c r="BG12" i="24" a="1"/>
  <c r="BG12" i="24" s="1"/>
  <c r="BG34" i="24" a="1"/>
  <c r="BG34" i="24" s="1"/>
  <c r="BG29" i="24" a="1"/>
  <c r="BG29" i="24" s="1"/>
  <c r="BG40" i="24" a="1"/>
  <c r="BG40" i="24" s="1"/>
  <c r="BG10" i="24" a="1"/>
  <c r="BG10" i="24" s="1"/>
  <c r="BG37" i="24" a="1"/>
  <c r="BG37" i="24" s="1"/>
  <c r="BG7" i="24" a="1"/>
  <c r="BG7" i="24" s="1"/>
  <c r="BG15" i="24" a="1"/>
  <c r="BG15" i="24" s="1"/>
  <c r="BG18" i="24" a="1"/>
  <c r="BG18" i="24" s="1"/>
  <c r="BG2" i="24" a="1"/>
  <c r="BG2" i="24" s="1"/>
  <c r="BH2" i="24" s="1" a="1"/>
  <c r="BH2" i="24" s="1"/>
  <c r="BG11" i="24" a="1"/>
  <c r="BG11" i="24" s="1"/>
  <c r="BG32" i="24" a="1"/>
  <c r="BG32" i="24" s="1"/>
  <c r="BG16" i="24" a="1"/>
  <c r="BG16" i="24" s="1"/>
  <c r="BG26" i="24" a="1"/>
  <c r="BG26" i="24" s="1"/>
  <c r="BG13" i="24" a="1"/>
  <c r="BG13" i="24" s="1"/>
  <c r="BG19" i="24" a="1"/>
  <c r="BG19" i="24" s="1"/>
  <c r="BG3" i="24" a="1"/>
  <c r="BG3" i="24" s="1"/>
  <c r="BG38" i="24" a="1"/>
  <c r="BG38" i="24" s="1"/>
  <c r="BG14" i="24" a="1"/>
  <c r="BG14" i="24" s="1"/>
  <c r="BG27" i="24" a="1"/>
  <c r="BG27" i="24" s="1"/>
  <c r="BG22" i="24" a="1"/>
  <c r="BG22" i="24" s="1"/>
  <c r="BG35" i="24" a="1"/>
  <c r="BG35" i="24" s="1"/>
  <c r="BG30" i="24" a="1"/>
  <c r="BG30" i="24" s="1"/>
  <c r="BG21" i="24" a="1"/>
  <c r="BG21" i="24" s="1"/>
  <c r="BG6" i="24" a="1"/>
  <c r="BG6" i="24" s="1"/>
  <c r="BG36" i="24" a="1"/>
  <c r="BG36" i="24" s="1"/>
  <c r="BG17" i="24" a="1"/>
  <c r="BG17" i="24" s="1"/>
  <c r="BG39" i="24" a="1"/>
  <c r="BG39" i="24" s="1"/>
  <c r="BG28" i="24" a="1"/>
  <c r="BG28" i="24" s="1"/>
  <c r="BG8" i="24" a="1"/>
  <c r="BG8" i="24" s="1"/>
  <c r="BJ2" i="24" a="1"/>
  <c r="BJ2" i="24" s="1"/>
  <c r="BK2" i="24" s="1" a="1"/>
  <c r="BK2" i="24" s="1"/>
  <c r="BJ23" i="24" a="1"/>
  <c r="BJ23" i="24" s="1"/>
  <c r="BJ32" i="24" a="1"/>
  <c r="BJ32" i="24" s="1"/>
  <c r="BJ7" i="24" a="1"/>
  <c r="BJ7" i="24" s="1"/>
  <c r="BJ16" i="24" a="1"/>
  <c r="BJ16" i="24" s="1"/>
  <c r="BJ19" i="24" a="1"/>
  <c r="BJ19" i="24" s="1"/>
  <c r="BJ27" i="24" a="1"/>
  <c r="BJ27" i="24" s="1"/>
  <c r="BJ3" i="24" a="1"/>
  <c r="BJ3" i="24" s="1"/>
  <c r="BJ24" i="24" a="1"/>
  <c r="BJ24" i="24" s="1"/>
  <c r="BJ29" i="24" a="1"/>
  <c r="BJ29" i="24" s="1"/>
  <c r="BJ40" i="24" a="1"/>
  <c r="BJ40" i="24" s="1"/>
  <c r="BJ13" i="24" a="1"/>
  <c r="BJ13" i="24" s="1"/>
  <c r="BJ14" i="24" a="1"/>
  <c r="BJ14" i="24" s="1"/>
  <c r="BJ22" i="24" a="1"/>
  <c r="BJ22" i="24" s="1"/>
  <c r="BJ36" i="24" a="1"/>
  <c r="BJ36" i="24" s="1"/>
  <c r="BJ6" i="24" a="1"/>
  <c r="BJ6" i="24" s="1"/>
  <c r="BJ30" i="24" a="1"/>
  <c r="BJ30" i="24" s="1"/>
  <c r="BJ38" i="24" a="1"/>
  <c r="BJ38" i="24" s="1"/>
  <c r="BJ8" i="24" a="1"/>
  <c r="BJ8" i="24" s="1"/>
  <c r="BJ11" i="24" a="1"/>
  <c r="BJ11" i="24" s="1"/>
  <c r="BJ18" i="24" a="1"/>
  <c r="BJ18" i="24" s="1"/>
  <c r="BJ37" i="24" a="1"/>
  <c r="BJ37" i="24" s="1"/>
  <c r="BJ4" i="24" a="1"/>
  <c r="BJ4" i="24" s="1"/>
  <c r="BJ17" i="24" a="1"/>
  <c r="BJ17" i="24" s="1"/>
  <c r="BJ35" i="24" a="1"/>
  <c r="BJ35" i="24" s="1"/>
  <c r="BJ5" i="24" a="1"/>
  <c r="BJ5" i="24" s="1"/>
  <c r="BJ12" i="24" a="1"/>
  <c r="BJ12" i="24" s="1"/>
  <c r="BJ28" i="24" a="1"/>
  <c r="BJ28" i="24" s="1"/>
  <c r="BJ39" i="24" a="1"/>
  <c r="BJ39" i="24" s="1"/>
  <c r="BJ9" i="24" a="1"/>
  <c r="BJ9" i="24" s="1"/>
  <c r="BJ33" i="24" a="1"/>
  <c r="BJ33" i="24" s="1"/>
  <c r="BJ21" i="24" a="1"/>
  <c r="BJ21" i="24" s="1"/>
  <c r="BJ31" i="24" a="1"/>
  <c r="BJ31" i="24" s="1"/>
  <c r="BJ26" i="24" a="1"/>
  <c r="BJ26" i="24" s="1"/>
  <c r="BJ34" i="24" a="1"/>
  <c r="BJ34" i="24" s="1"/>
  <c r="BJ10" i="24" a="1"/>
  <c r="BJ10" i="24" s="1"/>
  <c r="BJ15" i="24" a="1"/>
  <c r="BJ15" i="24" s="1"/>
  <c r="BJ25" i="24" a="1"/>
  <c r="BJ25" i="24" s="1"/>
  <c r="BJ20" i="24" a="1"/>
  <c r="BJ20" i="24" s="1"/>
  <c r="BM2" i="24" a="1"/>
  <c r="BM2" i="24" s="1"/>
  <c r="BM30" i="24" a="1"/>
  <c r="BM30" i="24" s="1"/>
  <c r="BM11" i="24" a="1"/>
  <c r="BM11" i="24" s="1"/>
  <c r="BM17" i="24" a="1"/>
  <c r="BM17" i="24" s="1"/>
  <c r="BM26" i="24" a="1"/>
  <c r="BM26" i="24" s="1"/>
  <c r="BM40" i="24" a="1"/>
  <c r="BM40" i="24" s="1"/>
  <c r="BM36" i="24" a="1"/>
  <c r="BM36" i="24" s="1"/>
  <c r="BM3" i="24" a="1"/>
  <c r="BM3" i="24" s="1"/>
  <c r="BM35" i="24" a="1"/>
  <c r="BM35" i="24" s="1"/>
  <c r="BM5" i="24" a="1"/>
  <c r="BM5" i="24" s="1"/>
  <c r="BM14" i="24" a="1"/>
  <c r="BM14" i="24" s="1"/>
  <c r="BM20" i="24" a="1"/>
  <c r="BM20" i="24" s="1"/>
  <c r="BM32" i="24" a="1"/>
  <c r="BM32" i="24" s="1"/>
  <c r="BM38" i="24" a="1"/>
  <c r="BM38" i="24" s="1"/>
  <c r="BM21" i="24" a="1"/>
  <c r="BM21" i="24" s="1"/>
  <c r="BM6" i="24" a="1"/>
  <c r="BM6" i="24" s="1"/>
  <c r="BM9" i="24" a="1"/>
  <c r="BM9" i="24" s="1"/>
  <c r="BM12" i="24" a="1"/>
  <c r="BM12" i="24" s="1"/>
  <c r="BM27" i="24" a="1"/>
  <c r="BM27" i="24" s="1"/>
  <c r="BM23" i="24" a="1"/>
  <c r="BM23" i="24" s="1"/>
  <c r="BM29" i="24" a="1"/>
  <c r="BM29" i="24" s="1"/>
  <c r="BM31" i="24" a="1"/>
  <c r="BM31" i="24" s="1"/>
  <c r="BM33" i="24" a="1"/>
  <c r="BM33" i="24" s="1"/>
  <c r="BM7" i="24" a="1"/>
  <c r="BM7" i="24" s="1"/>
  <c r="BM13" i="24" a="1"/>
  <c r="BM13" i="24" s="1"/>
  <c r="BM15" i="24" a="1"/>
  <c r="BM15" i="24" s="1"/>
  <c r="BM18" i="24" a="1"/>
  <c r="BM18" i="24" s="1"/>
  <c r="BM16" i="24" a="1"/>
  <c r="BM16" i="24" s="1"/>
  <c r="BM37" i="24" a="1"/>
  <c r="BM37" i="24" s="1"/>
  <c r="BM24" i="24" a="1"/>
  <c r="BM24" i="24" s="1"/>
  <c r="BM39" i="24" a="1"/>
  <c r="BM39" i="24" s="1"/>
  <c r="BM19" i="24" a="1"/>
  <c r="BM19" i="24" s="1"/>
  <c r="BM25" i="24" a="1"/>
  <c r="BM25" i="24" s="1"/>
  <c r="BM8" i="24" a="1"/>
  <c r="BM8" i="24" s="1"/>
  <c r="BM22" i="24" a="1"/>
  <c r="BM22" i="24" s="1"/>
  <c r="BM28" i="24" a="1"/>
  <c r="BM28" i="24" s="1"/>
  <c r="BM34" i="24" a="1"/>
  <c r="BM34" i="24" s="1"/>
  <c r="BM4" i="24" a="1"/>
  <c r="BM4" i="24" s="1"/>
  <c r="BM10" i="24" a="1"/>
  <c r="BM10" i="24" s="1"/>
  <c r="AR2" i="24" a="1"/>
  <c r="AR2" i="24" s="1"/>
  <c r="AS2" i="24" s="1" a="1"/>
  <c r="AS2" i="24" s="1"/>
  <c r="AR6" i="24" a="1"/>
  <c r="AR6" i="24" s="1"/>
  <c r="AR20" i="24" a="1"/>
  <c r="AR20" i="24" s="1"/>
  <c r="AR26" i="24" a="1"/>
  <c r="AR26" i="24" s="1"/>
  <c r="AR32" i="24" a="1"/>
  <c r="AR32" i="24" s="1"/>
  <c r="AR5" i="24" a="1"/>
  <c r="AR5" i="24" s="1"/>
  <c r="AR8" i="24" a="1"/>
  <c r="AR8" i="24" s="1"/>
  <c r="AR3" i="24" a="1"/>
  <c r="AR3" i="24" s="1"/>
  <c r="AR39" i="24" a="1"/>
  <c r="AR39" i="24" s="1"/>
  <c r="AR9" i="24" a="1"/>
  <c r="AR9" i="24" s="1"/>
  <c r="AR15" i="24" a="1"/>
  <c r="AR15" i="24" s="1"/>
  <c r="AR21" i="24" a="1"/>
  <c r="AR21" i="24" s="1"/>
  <c r="AR38" i="24" a="1"/>
  <c r="AR38" i="24" s="1"/>
  <c r="AR37" i="24" a="1"/>
  <c r="AR37" i="24" s="1"/>
  <c r="AR31" i="24" a="1"/>
  <c r="AR31" i="24" s="1"/>
  <c r="AR12" i="24" a="1"/>
  <c r="AR12" i="24" s="1"/>
  <c r="AR18" i="24" a="1"/>
  <c r="AR18" i="24" s="1"/>
  <c r="AR24" i="24" a="1"/>
  <c r="AR24" i="24" s="1"/>
  <c r="AR40" i="24" a="1"/>
  <c r="AR40" i="24" s="1"/>
  <c r="AR27" i="24" a="1"/>
  <c r="AR27" i="24" s="1"/>
  <c r="AR33" i="24" a="1"/>
  <c r="AR33" i="24" s="1"/>
  <c r="AR19" i="24" a="1"/>
  <c r="AR19" i="24" s="1"/>
  <c r="AR7" i="24" a="1"/>
  <c r="AR7" i="24" s="1"/>
  <c r="AR13" i="24" a="1"/>
  <c r="AR13" i="24" s="1"/>
  <c r="AR4" i="24" a="1"/>
  <c r="AR4" i="24" s="1"/>
  <c r="AR30" i="24" a="1"/>
  <c r="AR30" i="24" s="1"/>
  <c r="AR36" i="24" a="1"/>
  <c r="AR36" i="24" s="1"/>
  <c r="AR23" i="24" a="1"/>
  <c r="AR23" i="24" s="1"/>
  <c r="AR22" i="24" a="1"/>
  <c r="AR22" i="24" s="1"/>
  <c r="AR25" i="24" a="1"/>
  <c r="AR25" i="24" s="1"/>
  <c r="AR34" i="24" a="1"/>
  <c r="AR34" i="24" s="1"/>
  <c r="AR10" i="24" a="1"/>
  <c r="AR10" i="24" s="1"/>
  <c r="AR16" i="24" a="1"/>
  <c r="AR16" i="24" s="1"/>
  <c r="AR14" i="24" a="1"/>
  <c r="AR14" i="24" s="1"/>
  <c r="AR29" i="24" a="1"/>
  <c r="AR29" i="24" s="1"/>
  <c r="AR35" i="24" a="1"/>
  <c r="AR35" i="24" s="1"/>
  <c r="AR28" i="24" a="1"/>
  <c r="AR28" i="24" s="1"/>
  <c r="AR11" i="24" a="1"/>
  <c r="AR11" i="24" s="1"/>
  <c r="AR17" i="24" a="1"/>
  <c r="AR17" i="24" s="1"/>
  <c r="AU2" i="24" a="1"/>
  <c r="AU2" i="24" s="1"/>
  <c r="AV2" i="24" s="1" a="1"/>
  <c r="AV2" i="24" s="1"/>
  <c r="AU37" i="24" a="1"/>
  <c r="AU37" i="24" s="1"/>
  <c r="AU14" i="24" a="1"/>
  <c r="AU14" i="24" s="1"/>
  <c r="AU27" i="24" a="1"/>
  <c r="AU27" i="24" s="1"/>
  <c r="AU22" i="24" a="1"/>
  <c r="AU22" i="24" s="1"/>
  <c r="AU21" i="24" a="1"/>
  <c r="AU21" i="24" s="1"/>
  <c r="AU38" i="24" a="1"/>
  <c r="AU38" i="24" s="1"/>
  <c r="AU3" i="24" a="1"/>
  <c r="AU3" i="24" s="1"/>
  <c r="AU20" i="24" a="1"/>
  <c r="AU20" i="24" s="1"/>
  <c r="AU6" i="24" a="1"/>
  <c r="AU6" i="24" s="1"/>
  <c r="AU25" i="24" a="1"/>
  <c r="AU25" i="24" s="1"/>
  <c r="AU33" i="24" a="1"/>
  <c r="AU33" i="24" s="1"/>
  <c r="AU36" i="24" a="1"/>
  <c r="AU36" i="24" s="1"/>
  <c r="AU24" i="24" a="1"/>
  <c r="AU24" i="24" s="1"/>
  <c r="AU4" i="24" a="1"/>
  <c r="AU4" i="24" s="1"/>
  <c r="AU12" i="24" a="1"/>
  <c r="AU12" i="24" s="1"/>
  <c r="AU9" i="24" a="1"/>
  <c r="AU9" i="24" s="1"/>
  <c r="AU28" i="24" a="1"/>
  <c r="AU28" i="24" s="1"/>
  <c r="AU31" i="24" a="1"/>
  <c r="AU31" i="24" s="1"/>
  <c r="AU40" i="24" a="1"/>
  <c r="AU40" i="24" s="1"/>
  <c r="AU30" i="24" a="1"/>
  <c r="AU30" i="24" s="1"/>
  <c r="AU10" i="24" a="1"/>
  <c r="AU10" i="24" s="1"/>
  <c r="AU13" i="24" a="1"/>
  <c r="AU13" i="24" s="1"/>
  <c r="AU18" i="24" a="1"/>
  <c r="AU18" i="24" s="1"/>
  <c r="AU29" i="24" a="1"/>
  <c r="AU29" i="24" s="1"/>
  <c r="AU34" i="24" a="1"/>
  <c r="AU34" i="24" s="1"/>
  <c r="AU7" i="24" a="1"/>
  <c r="AU7" i="24" s="1"/>
  <c r="AU11" i="24" a="1"/>
  <c r="AU11" i="24" s="1"/>
  <c r="AU16" i="24" a="1"/>
  <c r="AU16" i="24" s="1"/>
  <c r="AU19" i="24" a="1"/>
  <c r="AU19" i="24" s="1"/>
  <c r="AU26" i="24" a="1"/>
  <c r="AU26" i="24" s="1"/>
  <c r="AU35" i="24" a="1"/>
  <c r="AU35" i="24" s="1"/>
  <c r="AU5" i="24" a="1"/>
  <c r="AU5" i="24" s="1"/>
  <c r="AU8" i="24" a="1"/>
  <c r="AU8" i="24" s="1"/>
  <c r="AU17" i="24" a="1"/>
  <c r="AU17" i="24" s="1"/>
  <c r="AU23" i="24" a="1"/>
  <c r="AU23" i="24" s="1"/>
  <c r="AU15" i="24" a="1"/>
  <c r="AU15" i="24" s="1"/>
  <c r="AU32" i="24" a="1"/>
  <c r="AU32" i="24" s="1"/>
  <c r="AU39" i="24" a="1"/>
  <c r="AU39" i="24" s="1"/>
  <c r="AO24" i="24" a="1"/>
  <c r="AO24" i="24" s="1"/>
  <c r="AL30" i="24" a="1"/>
  <c r="AL30" i="24" s="1"/>
  <c r="AO27" i="24" a="1"/>
  <c r="AO27" i="24" s="1"/>
  <c r="AL25" i="24" a="1"/>
  <c r="AL25" i="24" s="1"/>
  <c r="AL12" i="24" a="1"/>
  <c r="AL12" i="24" s="1"/>
  <c r="AL17" i="24" a="1"/>
  <c r="AL17" i="24" s="1"/>
  <c r="AL2" i="24" a="1"/>
  <c r="AL2" i="24" s="1"/>
  <c r="AM2" i="24" s="1" a="1"/>
  <c r="AM2" i="24" s="1"/>
  <c r="AL22" i="24" a="1"/>
  <c r="AL22" i="24" s="1"/>
  <c r="AL27" i="24" a="1"/>
  <c r="AL27" i="24" s="1"/>
  <c r="AL35" i="24" a="1"/>
  <c r="AL35" i="24" s="1"/>
  <c r="AL32" i="24" a="1"/>
  <c r="AL32" i="24" s="1"/>
  <c r="AL36" i="24" a="1"/>
  <c r="AL36" i="24" s="1"/>
  <c r="AO14" i="24" a="1"/>
  <c r="AO14" i="24" s="1"/>
  <c r="AL21" i="24" a="1"/>
  <c r="AL21" i="24" s="1"/>
  <c r="AL29" i="24" a="1"/>
  <c r="AL29" i="24" s="1"/>
  <c r="AL26" i="24" a="1"/>
  <c r="AL26" i="24" s="1"/>
  <c r="AL24" i="24" a="1"/>
  <c r="AL24" i="24" s="1"/>
  <c r="AO34" i="24" a="1"/>
  <c r="AO34" i="24" s="1"/>
  <c r="AL15" i="24" a="1"/>
  <c r="AL15" i="24" s="1"/>
  <c r="AL23" i="24" a="1"/>
  <c r="AL23" i="24" s="1"/>
  <c r="AL8" i="24" a="1"/>
  <c r="AL8" i="24" s="1"/>
  <c r="AO36" i="24" a="1"/>
  <c r="AO36" i="24" s="1"/>
  <c r="AO12" i="24" a="1"/>
  <c r="AO12" i="24" s="1"/>
  <c r="AL28" i="24" a="1"/>
  <c r="AL28" i="24" s="1"/>
  <c r="AL6" i="24" a="1"/>
  <c r="AL6" i="24" s="1"/>
  <c r="AL5" i="24" a="1"/>
  <c r="AL5" i="24" s="1"/>
  <c r="AO6" i="24" a="1"/>
  <c r="AO6" i="24" s="1"/>
  <c r="AL33" i="24" a="1"/>
  <c r="AL33" i="24" s="1"/>
  <c r="AL39" i="24" a="1"/>
  <c r="AL39" i="24" s="1"/>
  <c r="AL31" i="24" a="1"/>
  <c r="AL31" i="24" s="1"/>
  <c r="AL10" i="24" a="1"/>
  <c r="AL10" i="24" s="1"/>
  <c r="AO11" i="24" a="1"/>
  <c r="AO11" i="24" s="1"/>
  <c r="AL19" i="24" a="1"/>
  <c r="AL19" i="24" s="1"/>
  <c r="AL7" i="24" a="1"/>
  <c r="AL7" i="24" s="1"/>
  <c r="AL18" i="24" a="1"/>
  <c r="AL18" i="24" s="1"/>
  <c r="AO21" i="24" a="1"/>
  <c r="AO21" i="24" s="1"/>
  <c r="AO29" i="24" a="1"/>
  <c r="AO29" i="24" s="1"/>
  <c r="AO32" i="24" a="1"/>
  <c r="AO32" i="24" s="1"/>
  <c r="AO19" i="24" a="1"/>
  <c r="AO19" i="24" s="1"/>
  <c r="AO7" i="24" a="1"/>
  <c r="AO7" i="24" s="1"/>
  <c r="AL11" i="24" a="1"/>
  <c r="AL11" i="24" s="1"/>
  <c r="AL20" i="24" a="1"/>
  <c r="AL20" i="24" s="1"/>
  <c r="AL16" i="24" a="1"/>
  <c r="AL16" i="24" s="1"/>
  <c r="AL4" i="24" a="1"/>
  <c r="AL4" i="24" s="1"/>
  <c r="AL9" i="24" a="1"/>
  <c r="AL9" i="24" s="1"/>
  <c r="AO15" i="24" a="1"/>
  <c r="AO15" i="24" s="1"/>
  <c r="AO23" i="24" a="1"/>
  <c r="AO23" i="24" s="1"/>
  <c r="AO26" i="24" a="1"/>
  <c r="AO26" i="24" s="1"/>
  <c r="AO13" i="24" a="1"/>
  <c r="AO13" i="24" s="1"/>
  <c r="AO30" i="24" a="1"/>
  <c r="AO30" i="24" s="1"/>
  <c r="AL14" i="24" a="1"/>
  <c r="AL14" i="24" s="1"/>
  <c r="AL37" i="24" a="1"/>
  <c r="AL37" i="24" s="1"/>
  <c r="AL34" i="24" a="1"/>
  <c r="AL34" i="24" s="1"/>
  <c r="AL3" i="24" a="1"/>
  <c r="AL3" i="24" s="1"/>
  <c r="AO9" i="24" a="1"/>
  <c r="AO9" i="24" s="1"/>
  <c r="AO17" i="24" a="1"/>
  <c r="AO17" i="24" s="1"/>
  <c r="AO20" i="24" a="1"/>
  <c r="AO20" i="24" s="1"/>
  <c r="AO40" i="24" a="1"/>
  <c r="AO40" i="24" s="1"/>
  <c r="AO18" i="24" a="1"/>
  <c r="AO18" i="24" s="1"/>
  <c r="AL38" i="24" a="1"/>
  <c r="AL38" i="24" s="1"/>
  <c r="AL40" i="24" a="1"/>
  <c r="AL40" i="24" s="1"/>
  <c r="AL13" i="24" a="1"/>
  <c r="AL13" i="24" s="1"/>
  <c r="AO33" i="24" a="1"/>
  <c r="AO33" i="24" s="1"/>
  <c r="AO39" i="24" a="1"/>
  <c r="AO39" i="24" s="1"/>
  <c r="AO5" i="24" a="1"/>
  <c r="AO5" i="24" s="1"/>
  <c r="AO37" i="24" a="1"/>
  <c r="AO37" i="24" s="1"/>
  <c r="AO22" i="24" a="1"/>
  <c r="AO22" i="24" s="1"/>
  <c r="AO2" i="24" a="1"/>
  <c r="AO2" i="24" s="1"/>
  <c r="AP2" i="24" s="1" a="1"/>
  <c r="AP2" i="24" s="1"/>
  <c r="AO35" i="24" a="1"/>
  <c r="AO35" i="24" s="1"/>
  <c r="AO38" i="24" a="1"/>
  <c r="AO38" i="24" s="1"/>
  <c r="AO31" i="24" a="1"/>
  <c r="AO31" i="24" s="1"/>
  <c r="AO16" i="24" a="1"/>
  <c r="AO16" i="24" s="1"/>
  <c r="AO8" i="24" a="1"/>
  <c r="AO8" i="24" s="1"/>
  <c r="AO4" i="24" a="1"/>
  <c r="AO4" i="24" s="1"/>
  <c r="AO10" i="24" a="1"/>
  <c r="AO10" i="24" s="1"/>
  <c r="AO3" i="24" a="1"/>
  <c r="AO3" i="24" s="1"/>
  <c r="AO25" i="24" a="1"/>
  <c r="AO25" i="24" s="1"/>
  <c r="AO28" i="24" a="1"/>
  <c r="AO28" i="24" s="1"/>
  <c r="AY2" i="24" a="1"/>
  <c r="AY2" i="24" s="1"/>
  <c r="T9" i="24" a="1"/>
  <c r="T9" i="24" s="1"/>
  <c r="U8" i="24"/>
  <c r="H9" i="28" a="1"/>
  <c r="H9" i="28" s="1"/>
  <c r="L9" i="28" s="1"/>
  <c r="F149" i="3"/>
  <c r="AC129" i="13" s="1"/>
  <c r="L131" i="10"/>
  <c r="F151" i="3"/>
  <c r="AC131" i="13" s="1"/>
  <c r="L129" i="10"/>
  <c r="H149" i="3"/>
  <c r="AE129" i="13" s="1"/>
  <c r="H151" i="3"/>
  <c r="AE131" i="13" s="1"/>
  <c r="G149" i="3"/>
  <c r="AD129" i="13" s="1"/>
  <c r="G151" i="3"/>
  <c r="AD131" i="13" s="1"/>
  <c r="L6" i="16"/>
  <c r="N6" i="16"/>
  <c r="J6" i="16"/>
  <c r="L5" i="16"/>
  <c r="N5" i="16"/>
  <c r="J5" i="16"/>
  <c r="F7" i="16"/>
  <c r="D51" i="3"/>
  <c r="AA31" i="13" s="1"/>
  <c r="E51" i="3"/>
  <c r="I51" i="3"/>
  <c r="D174" i="3"/>
  <c r="AA154" i="13" s="1"/>
  <c r="E174" i="3"/>
  <c r="I174" i="3"/>
  <c r="B51" i="3"/>
  <c r="Y31" i="13" s="1"/>
  <c r="B174" i="3"/>
  <c r="Y154" i="13" s="1"/>
  <c r="G154" i="10"/>
  <c r="H154" i="10"/>
  <c r="I154" i="10"/>
  <c r="B154" i="10"/>
  <c r="C154" i="10"/>
  <c r="D154" i="10"/>
  <c r="E154" i="10"/>
  <c r="G31" i="10"/>
  <c r="H31" i="10"/>
  <c r="I31" i="10"/>
  <c r="B31" i="10"/>
  <c r="C31" i="10"/>
  <c r="D31" i="10"/>
  <c r="E31" i="10"/>
  <c r="O51" i="3"/>
  <c r="J151" i="3"/>
  <c r="J149" i="3"/>
  <c r="M174" i="3"/>
  <c r="K149" i="3"/>
  <c r="M51" i="3"/>
  <c r="N51" i="3"/>
  <c r="N174" i="3"/>
  <c r="K151" i="3"/>
  <c r="L174" i="3"/>
  <c r="L51" i="3"/>
  <c r="O174" i="3"/>
  <c r="AB31" i="13" l="1"/>
  <c r="K31" i="10"/>
  <c r="AB154" i="13"/>
  <c r="K154" i="10"/>
  <c r="BN2" i="24" a="1"/>
  <c r="BN2" i="24" s="1"/>
  <c r="BN3" i="24" s="1" a="1"/>
  <c r="BN3" i="24" s="1"/>
  <c r="L9" i="1"/>
  <c r="J9" i="1"/>
  <c r="M9" i="1"/>
  <c r="AM3" i="24" a="1"/>
  <c r="AM3" i="24" s="1"/>
  <c r="AM4" i="24" s="1" a="1"/>
  <c r="AM4" i="24" s="1"/>
  <c r="AP3" i="24" a="1"/>
  <c r="AP3" i="24" s="1"/>
  <c r="AP4" i="24" s="1" a="1"/>
  <c r="AP4" i="24" s="1"/>
  <c r="AY3" i="24" a="1"/>
  <c r="AY3" i="24" s="1"/>
  <c r="AY4" i="24" s="1" a="1"/>
  <c r="AY4" i="24" s="1"/>
  <c r="BK3" i="24" a="1"/>
  <c r="BK3" i="24" s="1"/>
  <c r="BK4" i="24" s="1" a="1"/>
  <c r="BK4" i="24" s="1"/>
  <c r="AV3" i="24" a="1"/>
  <c r="AV3" i="24" s="1"/>
  <c r="AV4" i="24" s="1" a="1"/>
  <c r="AV4" i="24" s="1"/>
  <c r="AS3" i="24" a="1"/>
  <c r="AS3" i="24" s="1"/>
  <c r="AS4" i="24" s="1" a="1"/>
  <c r="AS4" i="24" s="1"/>
  <c r="BH3" i="24" a="1"/>
  <c r="BH3" i="24" s="1"/>
  <c r="BH4" i="24" s="1" a="1"/>
  <c r="BH4" i="24" s="1"/>
  <c r="BH5" i="24" s="1" a="1"/>
  <c r="BH5" i="24" s="1"/>
  <c r="BE3" i="24" a="1"/>
  <c r="BE3" i="24" s="1"/>
  <c r="BE4" i="24" s="1" a="1"/>
  <c r="BE4" i="24" s="1"/>
  <c r="BE5" i="24" s="1" a="1"/>
  <c r="BE5" i="24" s="1"/>
  <c r="BE6" i="24" s="1" a="1"/>
  <c r="BE6" i="24" s="1"/>
  <c r="BB3" i="24" a="1"/>
  <c r="BB3" i="24" s="1"/>
  <c r="BB4" i="24" s="1" a="1"/>
  <c r="BB4" i="24" s="1"/>
  <c r="BB5" i="24" s="1" a="1"/>
  <c r="BB5" i="24" s="1"/>
  <c r="M153" i="26"/>
  <c r="M155" i="26"/>
  <c r="T10" i="24" a="1"/>
  <c r="T10" i="24" s="1"/>
  <c r="U9" i="24"/>
  <c r="H10" i="28" a="1"/>
  <c r="H10" i="28" s="1"/>
  <c r="L10" i="28" s="1"/>
  <c r="F51" i="3"/>
  <c r="AC31" i="13" s="1"/>
  <c r="F174" i="3"/>
  <c r="AC154" i="13" s="1"/>
  <c r="L31" i="10"/>
  <c r="L154" i="10"/>
  <c r="G51" i="3"/>
  <c r="AD31" i="13" s="1"/>
  <c r="H174" i="3"/>
  <c r="AE154" i="13" s="1"/>
  <c r="H51" i="3"/>
  <c r="AE31" i="13" s="1"/>
  <c r="G174" i="3"/>
  <c r="AD154" i="13" s="1"/>
  <c r="E22" i="23"/>
  <c r="V24" i="1" s="1"/>
  <c r="V14" i="1"/>
  <c r="H15" i="3"/>
  <c r="V15" i="1" s="1"/>
  <c r="H13" i="3"/>
  <c r="V13" i="1" s="1"/>
  <c r="V5" i="1"/>
  <c r="E10" i="3"/>
  <c r="V6" i="1" s="1"/>
  <c r="E11" i="3"/>
  <c r="V7" i="1" s="1"/>
  <c r="V8" i="1"/>
  <c r="E13" i="3"/>
  <c r="V9" i="1" s="1"/>
  <c r="E14" i="3"/>
  <c r="V10" i="1" s="1"/>
  <c r="E15" i="3"/>
  <c r="V11" i="1" s="1"/>
  <c r="H12" i="3"/>
  <c r="V12" i="1" s="1"/>
  <c r="V26" i="1"/>
  <c r="V27" i="1"/>
  <c r="V28" i="1"/>
  <c r="V29" i="1"/>
  <c r="V30" i="1"/>
  <c r="V32" i="1"/>
  <c r="V33" i="1"/>
  <c r="V36" i="1"/>
  <c r="V37" i="1"/>
  <c r="V38" i="1"/>
  <c r="V39" i="1"/>
  <c r="V40" i="1"/>
  <c r="V41" i="1"/>
  <c r="V42" i="1"/>
  <c r="V43" i="1"/>
  <c r="V44" i="1"/>
  <c r="V45" i="1"/>
  <c r="V46" i="1"/>
  <c r="V47" i="1"/>
  <c r="V48" i="1"/>
  <c r="V49" i="1"/>
  <c r="V50" i="1"/>
  <c r="V51" i="1"/>
  <c r="V52" i="1"/>
  <c r="V53" i="1"/>
  <c r="V54" i="1"/>
  <c r="V57" i="1"/>
  <c r="V58" i="1"/>
  <c r="V60" i="1"/>
  <c r="V63" i="1"/>
  <c r="V64" i="1"/>
  <c r="V65" i="1"/>
  <c r="V66" i="1"/>
  <c r="V67" i="1"/>
  <c r="V68" i="1"/>
  <c r="V69" i="1"/>
  <c r="V72" i="1"/>
  <c r="V73" i="1"/>
  <c r="V74" i="1"/>
  <c r="V76" i="1"/>
  <c r="V77" i="1"/>
  <c r="V78" i="1"/>
  <c r="V79" i="1"/>
  <c r="V80" i="1"/>
  <c r="V81" i="1"/>
  <c r="V82" i="1"/>
  <c r="V84" i="1"/>
  <c r="V85" i="1"/>
  <c r="V86" i="1"/>
  <c r="V87" i="1"/>
  <c r="V88" i="1"/>
  <c r="V90" i="1"/>
  <c r="U24" i="1"/>
  <c r="T17" i="23"/>
  <c r="S17" i="23"/>
  <c r="R17" i="23"/>
  <c r="Q17" i="23"/>
  <c r="P17" i="23"/>
  <c r="O17" i="23"/>
  <c r="N17" i="23"/>
  <c r="M17" i="23"/>
  <c r="L17" i="23"/>
  <c r="K17" i="23"/>
  <c r="J17" i="23"/>
  <c r="I17" i="23"/>
  <c r="T16" i="23"/>
  <c r="S16" i="23"/>
  <c r="R16" i="23"/>
  <c r="Q16" i="23"/>
  <c r="P16" i="23"/>
  <c r="O16" i="23"/>
  <c r="N16" i="23"/>
  <c r="M16" i="23"/>
  <c r="L16" i="23"/>
  <c r="K16" i="23"/>
  <c r="J16" i="23"/>
  <c r="I16" i="23"/>
  <c r="T15" i="23"/>
  <c r="S15" i="23"/>
  <c r="R15" i="23"/>
  <c r="Q15" i="23"/>
  <c r="P15" i="23"/>
  <c r="O15" i="23"/>
  <c r="N15" i="23"/>
  <c r="M15" i="23"/>
  <c r="L15" i="23"/>
  <c r="K15" i="23"/>
  <c r="J15" i="23"/>
  <c r="I15" i="23"/>
  <c r="T14" i="23"/>
  <c r="S14" i="23"/>
  <c r="R14" i="23"/>
  <c r="Q14" i="23"/>
  <c r="P14" i="23"/>
  <c r="O14" i="23"/>
  <c r="N14" i="23"/>
  <c r="M14" i="23"/>
  <c r="L14" i="23"/>
  <c r="K14" i="23"/>
  <c r="J14" i="23"/>
  <c r="I14" i="23"/>
  <c r="H17" i="23"/>
  <c r="H16" i="23"/>
  <c r="H15" i="23"/>
  <c r="H14" i="23"/>
  <c r="E17" i="23"/>
  <c r="E16" i="23"/>
  <c r="E15" i="23"/>
  <c r="E14" i="23"/>
  <c r="O12" i="23"/>
  <c r="O11" i="23"/>
  <c r="N12" i="23"/>
  <c r="N11" i="23"/>
  <c r="M12" i="23"/>
  <c r="M11" i="23"/>
  <c r="L12" i="23"/>
  <c r="L11" i="23"/>
  <c r="K12" i="23"/>
  <c r="K11" i="23"/>
  <c r="J12" i="23"/>
  <c r="J11" i="23"/>
  <c r="I12" i="23"/>
  <c r="I11" i="23"/>
  <c r="H12" i="23"/>
  <c r="H11" i="23"/>
  <c r="G12" i="23"/>
  <c r="G11" i="23"/>
  <c r="F12" i="23"/>
  <c r="F11" i="23"/>
  <c r="K5" i="23"/>
  <c r="N5" i="23" s="1"/>
  <c r="J5" i="23"/>
  <c r="F7" i="23" s="1"/>
  <c r="F22" i="23"/>
  <c r="U54" i="13"/>
  <c r="T54" i="13"/>
  <c r="S54" i="13"/>
  <c r="R54" i="13"/>
  <c r="Q54" i="13"/>
  <c r="P54" i="13"/>
  <c r="O54" i="13"/>
  <c r="N54" i="13"/>
  <c r="M54" i="13"/>
  <c r="L54" i="13"/>
  <c r="U53" i="13"/>
  <c r="T53" i="13"/>
  <c r="S53" i="13"/>
  <c r="R53" i="13"/>
  <c r="Q53" i="13"/>
  <c r="P53" i="13"/>
  <c r="O53" i="13"/>
  <c r="N53" i="13"/>
  <c r="M53" i="13"/>
  <c r="L53" i="13"/>
  <c r="U52" i="13"/>
  <c r="T52" i="13"/>
  <c r="S52" i="13"/>
  <c r="R52" i="13"/>
  <c r="Q52" i="13"/>
  <c r="P52" i="13"/>
  <c r="O52" i="13"/>
  <c r="N52" i="13"/>
  <c r="M52" i="13"/>
  <c r="L52" i="13"/>
  <c r="U45" i="13"/>
  <c r="T45" i="13"/>
  <c r="S45" i="13"/>
  <c r="R45" i="13"/>
  <c r="Q45" i="13"/>
  <c r="P45" i="13"/>
  <c r="O45" i="13"/>
  <c r="N45" i="13"/>
  <c r="M45" i="13"/>
  <c r="L45" i="13"/>
  <c r="U44" i="13"/>
  <c r="T44" i="13"/>
  <c r="S44" i="13"/>
  <c r="R44" i="13"/>
  <c r="Q44" i="13"/>
  <c r="P44" i="13"/>
  <c r="O44" i="13"/>
  <c r="N44" i="13"/>
  <c r="M44" i="13"/>
  <c r="L44" i="13"/>
  <c r="U43" i="13"/>
  <c r="T43" i="13"/>
  <c r="S43" i="13"/>
  <c r="R43" i="13"/>
  <c r="Q43" i="13"/>
  <c r="P43" i="13"/>
  <c r="O43" i="13"/>
  <c r="N43" i="13"/>
  <c r="M43" i="13"/>
  <c r="L43" i="13"/>
  <c r="U36" i="13"/>
  <c r="T36" i="13"/>
  <c r="S36" i="13"/>
  <c r="R36" i="13"/>
  <c r="Q36" i="13"/>
  <c r="P36" i="13"/>
  <c r="O36" i="13"/>
  <c r="N36" i="13"/>
  <c r="M36" i="13"/>
  <c r="L36" i="13"/>
  <c r="U35" i="13"/>
  <c r="T35" i="13"/>
  <c r="S35" i="13"/>
  <c r="R35" i="13"/>
  <c r="Q35" i="13"/>
  <c r="P35" i="13"/>
  <c r="O35" i="13"/>
  <c r="N35" i="13"/>
  <c r="M35" i="13"/>
  <c r="L35" i="13"/>
  <c r="U34" i="13"/>
  <c r="T34" i="13"/>
  <c r="S34" i="13"/>
  <c r="R34" i="13"/>
  <c r="Q34" i="13"/>
  <c r="P34" i="13"/>
  <c r="O34" i="13"/>
  <c r="N34" i="13"/>
  <c r="M34" i="13"/>
  <c r="L34" i="13"/>
  <c r="U27" i="13"/>
  <c r="T27" i="13"/>
  <c r="S27" i="13"/>
  <c r="R27" i="13"/>
  <c r="Q27" i="13"/>
  <c r="P27" i="13"/>
  <c r="O27" i="13"/>
  <c r="N27" i="13"/>
  <c r="M27" i="13"/>
  <c r="L27" i="13"/>
  <c r="U26" i="13"/>
  <c r="T26" i="13"/>
  <c r="S26" i="13"/>
  <c r="R26" i="13"/>
  <c r="Q26" i="13"/>
  <c r="P26" i="13"/>
  <c r="O26" i="13"/>
  <c r="N26" i="13"/>
  <c r="M26" i="13"/>
  <c r="L26" i="13"/>
  <c r="U25" i="13"/>
  <c r="T25" i="13"/>
  <c r="S25" i="13"/>
  <c r="R25" i="13"/>
  <c r="Q25" i="13"/>
  <c r="P25" i="13"/>
  <c r="O25" i="13"/>
  <c r="N25" i="13"/>
  <c r="M25" i="13"/>
  <c r="L25" i="13"/>
  <c r="U18" i="13"/>
  <c r="T18" i="13"/>
  <c r="S18" i="13"/>
  <c r="R18" i="13"/>
  <c r="Q18" i="13"/>
  <c r="P18" i="13"/>
  <c r="O18" i="13"/>
  <c r="N18" i="13"/>
  <c r="M18" i="13"/>
  <c r="L18" i="13"/>
  <c r="U17" i="13"/>
  <c r="T17" i="13"/>
  <c r="S17" i="13"/>
  <c r="R17" i="13"/>
  <c r="Q17" i="13"/>
  <c r="P17" i="13"/>
  <c r="O17" i="13"/>
  <c r="N17" i="13"/>
  <c r="M17" i="13"/>
  <c r="L17" i="13"/>
  <c r="U16" i="13"/>
  <c r="T16" i="13"/>
  <c r="S16" i="13"/>
  <c r="R16" i="13"/>
  <c r="Q16" i="13"/>
  <c r="P16" i="13"/>
  <c r="O16" i="13"/>
  <c r="N16" i="13"/>
  <c r="M16" i="13"/>
  <c r="L16" i="13"/>
  <c r="U9" i="13"/>
  <c r="T9" i="13"/>
  <c r="S9" i="13"/>
  <c r="R9" i="13"/>
  <c r="Q9" i="13"/>
  <c r="P9" i="13"/>
  <c r="O9" i="13"/>
  <c r="N9" i="13"/>
  <c r="M9" i="13"/>
  <c r="L9" i="13"/>
  <c r="U8" i="13"/>
  <c r="T8" i="13"/>
  <c r="S8" i="13"/>
  <c r="R8" i="13"/>
  <c r="Q8" i="13"/>
  <c r="P8" i="13"/>
  <c r="O8" i="13"/>
  <c r="N8" i="13"/>
  <c r="M8" i="13"/>
  <c r="L8" i="13"/>
  <c r="U7" i="13"/>
  <c r="T7" i="13"/>
  <c r="S7" i="13"/>
  <c r="R7" i="13"/>
  <c r="Q7" i="13"/>
  <c r="P7" i="13"/>
  <c r="O7" i="13"/>
  <c r="N7" i="13"/>
  <c r="M7" i="13"/>
  <c r="L7" i="13"/>
  <c r="S16" i="3"/>
  <c r="R16" i="3"/>
  <c r="Q16" i="3"/>
  <c r="P16" i="3"/>
  <c r="O16" i="3"/>
  <c r="N16" i="3"/>
  <c r="M16" i="3"/>
  <c r="L16" i="3"/>
  <c r="K16" i="3"/>
  <c r="J16" i="3"/>
  <c r="S15" i="3"/>
  <c r="R15" i="3"/>
  <c r="Q15" i="3"/>
  <c r="P15" i="3"/>
  <c r="O15" i="3"/>
  <c r="N15" i="3"/>
  <c r="M15" i="3"/>
  <c r="L15" i="3"/>
  <c r="K15" i="3"/>
  <c r="J15" i="3"/>
  <c r="S14" i="3"/>
  <c r="R14" i="3"/>
  <c r="Q14" i="3"/>
  <c r="P14" i="3"/>
  <c r="O14" i="3"/>
  <c r="N14" i="3"/>
  <c r="M14" i="3"/>
  <c r="L14" i="3"/>
  <c r="K14" i="3"/>
  <c r="J14" i="3"/>
  <c r="K51" i="3"/>
  <c r="J174" i="3"/>
  <c r="K174" i="3"/>
  <c r="J51" i="3"/>
  <c r="BN4" i="24" l="1" a="1"/>
  <c r="BN4" i="24" s="1"/>
  <c r="AM5" i="24" a="1"/>
  <c r="AM5" i="24" s="1"/>
  <c r="AM6" i="24" s="1" a="1"/>
  <c r="AM6" i="24" s="1"/>
  <c r="AM7" i="24" s="1" a="1"/>
  <c r="AM7" i="24" s="1"/>
  <c r="AP5" i="24" a="1"/>
  <c r="AP5" i="24" s="1"/>
  <c r="AP6" i="24" s="1" a="1"/>
  <c r="AP6" i="24" s="1"/>
  <c r="BK5" i="24" a="1"/>
  <c r="BK5" i="24" s="1"/>
  <c r="BH6" i="24" a="1"/>
  <c r="BH6" i="24" s="1"/>
  <c r="BE7" i="24" a="1"/>
  <c r="BE7" i="24" s="1"/>
  <c r="BE8" i="24" s="1" a="1"/>
  <c r="BE8" i="24" s="1"/>
  <c r="BB6" i="24" a="1"/>
  <c r="BB6" i="24" s="1"/>
  <c r="BB7" i="24" s="1" a="1"/>
  <c r="BB7" i="24" s="1"/>
  <c r="AY5" i="24" a="1"/>
  <c r="AY5" i="24" s="1"/>
  <c r="AY6" i="24" s="1" a="1"/>
  <c r="AY6" i="24" s="1"/>
  <c r="AV5" i="24" a="1"/>
  <c r="AV5" i="24" s="1"/>
  <c r="AS5" i="24" a="1"/>
  <c r="AS5" i="24" s="1"/>
  <c r="G40" i="23"/>
  <c r="G25" i="23"/>
  <c r="G76" i="23"/>
  <c r="G44" i="23"/>
  <c r="G38" i="23"/>
  <c r="G30" i="23"/>
  <c r="G75" i="23"/>
  <c r="G58" i="23"/>
  <c r="G49" i="23"/>
  <c r="G43" i="23"/>
  <c r="G28" i="23"/>
  <c r="G52" i="23"/>
  <c r="G34" i="23"/>
  <c r="G83" i="23"/>
  <c r="G61" i="23"/>
  <c r="G48" i="23"/>
  <c r="G42" i="23"/>
  <c r="G27" i="23"/>
  <c r="G72" i="23"/>
  <c r="G47" i="23"/>
  <c r="G41" i="23"/>
  <c r="G35" i="23"/>
  <c r="G26" i="23"/>
  <c r="G71" i="23"/>
  <c r="G46" i="23"/>
  <c r="G84" i="23"/>
  <c r="G77" i="23"/>
  <c r="G70" i="23"/>
  <c r="G62" i="23"/>
  <c r="G51" i="23"/>
  <c r="G45" i="23"/>
  <c r="G39" i="23"/>
  <c r="G31" i="23"/>
  <c r="G24" i="23"/>
  <c r="M178" i="26"/>
  <c r="M55" i="26"/>
  <c r="V4" i="1"/>
  <c r="D4" i="11"/>
  <c r="D3" i="11"/>
  <c r="D2" i="11"/>
  <c r="C4" i="11"/>
  <c r="C2" i="11"/>
  <c r="B4" i="11"/>
  <c r="B3" i="11"/>
  <c r="B2" i="11"/>
  <c r="C3" i="11"/>
  <c r="T11" i="24" a="1"/>
  <c r="T11" i="24" s="1"/>
  <c r="U10" i="24"/>
  <c r="H11" i="28" a="1"/>
  <c r="H11" i="28" s="1"/>
  <c r="G22" i="23"/>
  <c r="G74" i="23"/>
  <c r="G64" i="23"/>
  <c r="G63" i="23"/>
  <c r="G56" i="23"/>
  <c r="G88" i="23"/>
  <c r="G79" i="23"/>
  <c r="G78" i="23"/>
  <c r="G80" i="23"/>
  <c r="G65" i="23"/>
  <c r="G37" i="23"/>
  <c r="G36" i="23"/>
  <c r="G85" i="23"/>
  <c r="G86" i="23"/>
  <c r="G55" i="23"/>
  <c r="G67" i="23"/>
  <c r="G82" i="23"/>
  <c r="G66" i="23"/>
  <c r="G50" i="23"/>
  <c r="M5" i="23"/>
  <c r="BN5" i="24" l="1" a="1"/>
  <c r="BN5" i="24" s="1"/>
  <c r="BN6" i="24" s="1" a="1"/>
  <c r="BN6" i="24" s="1"/>
  <c r="BK6" i="24" a="1"/>
  <c r="BK6" i="24" s="1"/>
  <c r="BH7" i="24" a="1"/>
  <c r="BH7" i="24" s="1"/>
  <c r="BE9" i="24" a="1"/>
  <c r="BE9" i="24" s="1"/>
  <c r="BB8" i="24" a="1"/>
  <c r="BB8" i="24" s="1"/>
  <c r="AY7" i="24" a="1"/>
  <c r="AY7" i="24" s="1"/>
  <c r="AY8" i="24" s="1" a="1"/>
  <c r="AY8" i="24" s="1"/>
  <c r="AV6" i="24" a="1"/>
  <c r="AV6" i="24" s="1"/>
  <c r="AS6" i="24" a="1"/>
  <c r="AS6" i="24" s="1"/>
  <c r="AS7" i="24" s="1" a="1"/>
  <c r="AS7" i="24" s="1"/>
  <c r="AP7" i="24" a="1"/>
  <c r="AP7" i="24" s="1"/>
  <c r="AM8" i="24" a="1"/>
  <c r="AM8" i="24" s="1"/>
  <c r="T12" i="24" a="1"/>
  <c r="T12" i="24" s="1"/>
  <c r="U11" i="24"/>
  <c r="L11" i="28"/>
  <c r="H12" i="28" a="1"/>
  <c r="H12" i="28" s="1"/>
  <c r="H13" i="28" s="1" a="1"/>
  <c r="H13" i="28" s="1"/>
  <c r="I123" i="3"/>
  <c r="I150" i="3"/>
  <c r="I164" i="3"/>
  <c r="I61" i="3"/>
  <c r="I144" i="3"/>
  <c r="I141" i="3"/>
  <c r="I56" i="3"/>
  <c r="I122" i="3"/>
  <c r="E23" i="3"/>
  <c r="I23" i="3"/>
  <c r="D24" i="3"/>
  <c r="AA4" i="13" s="1"/>
  <c r="E24" i="3"/>
  <c r="I24" i="3"/>
  <c r="D25" i="3"/>
  <c r="AA5" i="13" s="1"/>
  <c r="E25" i="3"/>
  <c r="I25" i="3"/>
  <c r="D26" i="3"/>
  <c r="AA6" i="13" s="1"/>
  <c r="E26" i="3"/>
  <c r="I26" i="3"/>
  <c r="D28" i="3"/>
  <c r="AA8" i="13" s="1"/>
  <c r="E28" i="3"/>
  <c r="I28" i="3"/>
  <c r="D31" i="3"/>
  <c r="AA11" i="13" s="1"/>
  <c r="E31" i="3"/>
  <c r="I31" i="3"/>
  <c r="D34" i="3"/>
  <c r="AA14" i="13" s="1"/>
  <c r="E34" i="3"/>
  <c r="I34" i="3"/>
  <c r="D35" i="3"/>
  <c r="AA15" i="13" s="1"/>
  <c r="E35" i="3"/>
  <c r="I35" i="3"/>
  <c r="D37" i="3"/>
  <c r="AA17" i="13" s="1"/>
  <c r="E37" i="3"/>
  <c r="I37" i="3"/>
  <c r="D38" i="3"/>
  <c r="AA18" i="13" s="1"/>
  <c r="E38" i="3"/>
  <c r="I38" i="3"/>
  <c r="D39" i="3"/>
  <c r="AA19" i="13" s="1"/>
  <c r="E39" i="3"/>
  <c r="I39" i="3"/>
  <c r="D40" i="3"/>
  <c r="AA20" i="13" s="1"/>
  <c r="E40" i="3"/>
  <c r="I40" i="3"/>
  <c r="D41" i="3"/>
  <c r="AA21" i="13" s="1"/>
  <c r="E41" i="3"/>
  <c r="I41" i="3"/>
  <c r="D42" i="3"/>
  <c r="AA22" i="13" s="1"/>
  <c r="E42" i="3"/>
  <c r="I42" i="3"/>
  <c r="D43" i="3"/>
  <c r="AA23" i="13" s="1"/>
  <c r="E43" i="3"/>
  <c r="I43" i="3"/>
  <c r="D45" i="3"/>
  <c r="AA25" i="13" s="1"/>
  <c r="E45" i="3"/>
  <c r="I45" i="3"/>
  <c r="D46" i="3"/>
  <c r="AA26" i="13" s="1"/>
  <c r="E46" i="3"/>
  <c r="I46" i="3"/>
  <c r="D47" i="3"/>
  <c r="AA27" i="13" s="1"/>
  <c r="E47" i="3"/>
  <c r="I47" i="3"/>
  <c r="D48" i="3"/>
  <c r="AA28" i="13" s="1"/>
  <c r="E48" i="3"/>
  <c r="I48" i="3"/>
  <c r="D49" i="3"/>
  <c r="AA29" i="13" s="1"/>
  <c r="E49" i="3"/>
  <c r="I49" i="3"/>
  <c r="D50" i="3"/>
  <c r="AA30" i="13" s="1"/>
  <c r="E50" i="3"/>
  <c r="I50" i="3"/>
  <c r="D52" i="3"/>
  <c r="AA32" i="13" s="1"/>
  <c r="E52" i="3"/>
  <c r="I52" i="3"/>
  <c r="D53" i="3"/>
  <c r="AA33" i="13" s="1"/>
  <c r="E53" i="3"/>
  <c r="I53" i="3"/>
  <c r="D54" i="3"/>
  <c r="AA34" i="13" s="1"/>
  <c r="E54" i="3"/>
  <c r="I54" i="3"/>
  <c r="D55" i="3"/>
  <c r="AA35" i="13" s="1"/>
  <c r="E55" i="3"/>
  <c r="I55" i="3"/>
  <c r="D58" i="3"/>
  <c r="AA38" i="13" s="1"/>
  <c r="E58" i="3"/>
  <c r="I58" i="3"/>
  <c r="D59" i="3"/>
  <c r="AA39" i="13" s="1"/>
  <c r="E59" i="3"/>
  <c r="I59" i="3"/>
  <c r="D63" i="3"/>
  <c r="AA43" i="13" s="1"/>
  <c r="E63" i="3"/>
  <c r="I63" i="3"/>
  <c r="D64" i="3"/>
  <c r="AA44" i="13" s="1"/>
  <c r="E64" i="3"/>
  <c r="I64" i="3"/>
  <c r="D65" i="3"/>
  <c r="AA45" i="13" s="1"/>
  <c r="E65" i="3"/>
  <c r="I65" i="3"/>
  <c r="D67" i="3"/>
  <c r="AA47" i="13" s="1"/>
  <c r="E67" i="3"/>
  <c r="I67" i="3"/>
  <c r="D68" i="3"/>
  <c r="AA48" i="13" s="1"/>
  <c r="E68" i="3"/>
  <c r="I68" i="3"/>
  <c r="D69" i="3"/>
  <c r="AA49" i="13" s="1"/>
  <c r="E69" i="3"/>
  <c r="I69" i="3"/>
  <c r="D71" i="3"/>
  <c r="AA51" i="13" s="1"/>
  <c r="E71" i="3"/>
  <c r="I71" i="3"/>
  <c r="D72" i="3"/>
  <c r="AA52" i="13" s="1"/>
  <c r="E72" i="3"/>
  <c r="I72" i="3"/>
  <c r="D73" i="3"/>
  <c r="AA53" i="13" s="1"/>
  <c r="E73" i="3"/>
  <c r="I73" i="3"/>
  <c r="D74" i="3"/>
  <c r="AA54" i="13" s="1"/>
  <c r="E74" i="3"/>
  <c r="I74" i="3"/>
  <c r="D75" i="3"/>
  <c r="AA55" i="13" s="1"/>
  <c r="E75" i="3"/>
  <c r="I75" i="3"/>
  <c r="D77" i="3"/>
  <c r="AA57" i="13" s="1"/>
  <c r="E77" i="3"/>
  <c r="I77" i="3"/>
  <c r="D78" i="3"/>
  <c r="AA58" i="13" s="1"/>
  <c r="E78" i="3"/>
  <c r="I78" i="3"/>
  <c r="I79" i="3"/>
  <c r="D80" i="3"/>
  <c r="AA60" i="13" s="1"/>
  <c r="E80" i="3"/>
  <c r="I80" i="3"/>
  <c r="D81" i="3"/>
  <c r="AA61" i="13" s="1"/>
  <c r="E81" i="3"/>
  <c r="I81" i="3"/>
  <c r="D82" i="3"/>
  <c r="AA62" i="13" s="1"/>
  <c r="E82" i="3"/>
  <c r="I82" i="3"/>
  <c r="D83" i="3"/>
  <c r="AA63" i="13" s="1"/>
  <c r="E83" i="3"/>
  <c r="I83" i="3"/>
  <c r="D84" i="3"/>
  <c r="AA64" i="13" s="1"/>
  <c r="E84" i="3"/>
  <c r="I84" i="3"/>
  <c r="D85" i="3"/>
  <c r="AA65" i="13" s="1"/>
  <c r="E85" i="3"/>
  <c r="I85" i="3"/>
  <c r="D86" i="3"/>
  <c r="AA66" i="13" s="1"/>
  <c r="E86" i="3"/>
  <c r="I86" i="3"/>
  <c r="D87" i="3"/>
  <c r="AA67" i="13" s="1"/>
  <c r="E87" i="3"/>
  <c r="I87" i="3"/>
  <c r="D88" i="3"/>
  <c r="AA68" i="13" s="1"/>
  <c r="E88" i="3"/>
  <c r="I88" i="3"/>
  <c r="D89" i="3"/>
  <c r="AA69" i="13" s="1"/>
  <c r="E89" i="3"/>
  <c r="I89" i="3"/>
  <c r="D90" i="3"/>
  <c r="AA70" i="13" s="1"/>
  <c r="E90" i="3"/>
  <c r="I90" i="3"/>
  <c r="D91" i="3"/>
  <c r="AA71" i="13" s="1"/>
  <c r="E91" i="3"/>
  <c r="I91" i="3"/>
  <c r="D92" i="3"/>
  <c r="AA72" i="13" s="1"/>
  <c r="E92" i="3"/>
  <c r="I92" i="3"/>
  <c r="D93" i="3"/>
  <c r="AA73" i="13" s="1"/>
  <c r="E93" i="3"/>
  <c r="I93" i="3"/>
  <c r="D94" i="3"/>
  <c r="AA74" i="13" s="1"/>
  <c r="E94" i="3"/>
  <c r="I94" i="3"/>
  <c r="D95" i="3"/>
  <c r="AA75" i="13" s="1"/>
  <c r="E95" i="3"/>
  <c r="I95" i="3"/>
  <c r="D96" i="3"/>
  <c r="AA76" i="13" s="1"/>
  <c r="E96" i="3"/>
  <c r="I96" i="3"/>
  <c r="D97" i="3"/>
  <c r="AA77" i="13" s="1"/>
  <c r="E97" i="3"/>
  <c r="I97" i="3"/>
  <c r="D98" i="3"/>
  <c r="AA78" i="13" s="1"/>
  <c r="E98" i="3"/>
  <c r="I98" i="3"/>
  <c r="D99" i="3"/>
  <c r="AA79" i="13" s="1"/>
  <c r="E99" i="3"/>
  <c r="I99" i="3"/>
  <c r="D100" i="3"/>
  <c r="AA80" i="13" s="1"/>
  <c r="E100" i="3"/>
  <c r="I100" i="3"/>
  <c r="D101" i="3"/>
  <c r="AA81" i="13" s="1"/>
  <c r="E101" i="3"/>
  <c r="I101" i="3"/>
  <c r="D103" i="3"/>
  <c r="AA83" i="13" s="1"/>
  <c r="E103" i="3"/>
  <c r="I103" i="3"/>
  <c r="D104" i="3"/>
  <c r="AA84" i="13" s="1"/>
  <c r="E104" i="3"/>
  <c r="I104" i="3"/>
  <c r="D105" i="3"/>
  <c r="AA85" i="13" s="1"/>
  <c r="E105" i="3"/>
  <c r="I105" i="3"/>
  <c r="D106" i="3"/>
  <c r="AA86" i="13" s="1"/>
  <c r="E106" i="3"/>
  <c r="I106" i="3"/>
  <c r="D108" i="3"/>
  <c r="AA88" i="13" s="1"/>
  <c r="E108" i="3"/>
  <c r="I108" i="3"/>
  <c r="D109" i="3"/>
  <c r="AA89" i="13" s="1"/>
  <c r="E109" i="3"/>
  <c r="I109" i="3"/>
  <c r="D110" i="3"/>
  <c r="AA90" i="13" s="1"/>
  <c r="E110" i="3"/>
  <c r="I110" i="3"/>
  <c r="D111" i="3"/>
  <c r="AA91" i="13" s="1"/>
  <c r="E111" i="3"/>
  <c r="I111" i="3"/>
  <c r="D112" i="3"/>
  <c r="AA92" i="13" s="1"/>
  <c r="E112" i="3"/>
  <c r="I112" i="3"/>
  <c r="D113" i="3"/>
  <c r="AA93" i="13" s="1"/>
  <c r="E113" i="3"/>
  <c r="I113" i="3"/>
  <c r="D114" i="3"/>
  <c r="AA94" i="13" s="1"/>
  <c r="E114" i="3"/>
  <c r="I114" i="3"/>
  <c r="D115" i="3"/>
  <c r="AA95" i="13" s="1"/>
  <c r="E115" i="3"/>
  <c r="I115" i="3"/>
  <c r="D116" i="3"/>
  <c r="AA96" i="13" s="1"/>
  <c r="E116" i="3"/>
  <c r="I116" i="3"/>
  <c r="D117" i="3"/>
  <c r="AA97" i="13" s="1"/>
  <c r="E117" i="3"/>
  <c r="I117" i="3"/>
  <c r="D118" i="3"/>
  <c r="AA98" i="13" s="1"/>
  <c r="E118" i="3"/>
  <c r="I118" i="3"/>
  <c r="D119" i="3"/>
  <c r="AA99" i="13" s="1"/>
  <c r="E119" i="3"/>
  <c r="I119" i="3"/>
  <c r="D120" i="3"/>
  <c r="AA100" i="13" s="1"/>
  <c r="E120" i="3"/>
  <c r="I120" i="3"/>
  <c r="D121" i="3"/>
  <c r="AA101" i="13" s="1"/>
  <c r="E121" i="3"/>
  <c r="I121" i="3"/>
  <c r="D124" i="3"/>
  <c r="AA104" i="13" s="1"/>
  <c r="E124" i="3"/>
  <c r="I124" i="3"/>
  <c r="D125" i="3"/>
  <c r="AA105" i="13" s="1"/>
  <c r="E125" i="3"/>
  <c r="I125" i="3"/>
  <c r="D126" i="3"/>
  <c r="AA106" i="13" s="1"/>
  <c r="E126" i="3"/>
  <c r="I126" i="3"/>
  <c r="D127" i="3"/>
  <c r="AA107" i="13" s="1"/>
  <c r="E127" i="3"/>
  <c r="I127" i="3"/>
  <c r="D128" i="3"/>
  <c r="AA108" i="13" s="1"/>
  <c r="E128" i="3"/>
  <c r="I128" i="3"/>
  <c r="D129" i="3"/>
  <c r="AA109" i="13" s="1"/>
  <c r="E129" i="3"/>
  <c r="I129" i="3"/>
  <c r="D130" i="3"/>
  <c r="AA110" i="13" s="1"/>
  <c r="E130" i="3"/>
  <c r="I130" i="3"/>
  <c r="D131" i="3"/>
  <c r="AA111" i="13" s="1"/>
  <c r="E131" i="3"/>
  <c r="I131" i="3"/>
  <c r="D133" i="3"/>
  <c r="AA113" i="13" s="1"/>
  <c r="E133" i="3"/>
  <c r="I133" i="3"/>
  <c r="D134" i="3"/>
  <c r="AA114" i="13" s="1"/>
  <c r="E134" i="3"/>
  <c r="I134" i="3"/>
  <c r="D136" i="3"/>
  <c r="AA116" i="13" s="1"/>
  <c r="E136" i="3"/>
  <c r="I136" i="3"/>
  <c r="D137" i="3"/>
  <c r="AA117" i="13" s="1"/>
  <c r="E137" i="3"/>
  <c r="I137" i="3"/>
  <c r="D138" i="3"/>
  <c r="AA118" i="13" s="1"/>
  <c r="E138" i="3"/>
  <c r="I138" i="3"/>
  <c r="D140" i="3"/>
  <c r="AA120" i="13" s="1"/>
  <c r="E140" i="3"/>
  <c r="I140" i="3"/>
  <c r="D142" i="3"/>
  <c r="AA122" i="13" s="1"/>
  <c r="E142" i="3"/>
  <c r="I142" i="3"/>
  <c r="D143" i="3"/>
  <c r="AA123" i="13" s="1"/>
  <c r="E143" i="3"/>
  <c r="I143" i="3"/>
  <c r="D145" i="3"/>
  <c r="AA125" i="13" s="1"/>
  <c r="E145" i="3"/>
  <c r="I145" i="3"/>
  <c r="D146" i="3"/>
  <c r="AA126" i="13" s="1"/>
  <c r="E146" i="3"/>
  <c r="I146" i="3"/>
  <c r="D147" i="3"/>
  <c r="AA127" i="13" s="1"/>
  <c r="E147" i="3"/>
  <c r="I147" i="3"/>
  <c r="D148" i="3"/>
  <c r="AA128" i="13" s="1"/>
  <c r="E148" i="3"/>
  <c r="I148" i="3"/>
  <c r="D152" i="3"/>
  <c r="AA132" i="13" s="1"/>
  <c r="E152" i="3"/>
  <c r="I152" i="3"/>
  <c r="D153" i="3"/>
  <c r="AA133" i="13" s="1"/>
  <c r="E153" i="3"/>
  <c r="I153" i="3"/>
  <c r="D154" i="3"/>
  <c r="AA134" i="13" s="1"/>
  <c r="E154" i="3"/>
  <c r="I154" i="3"/>
  <c r="D156" i="3"/>
  <c r="AA136" i="13" s="1"/>
  <c r="E156" i="3"/>
  <c r="I156" i="3"/>
  <c r="D157" i="3"/>
  <c r="AA137" i="13" s="1"/>
  <c r="E157" i="3"/>
  <c r="I157" i="3"/>
  <c r="D158" i="3"/>
  <c r="AA138" i="13" s="1"/>
  <c r="E158" i="3"/>
  <c r="I158" i="3"/>
  <c r="I162" i="3"/>
  <c r="D159" i="3"/>
  <c r="AA139" i="13" s="1"/>
  <c r="E159" i="3"/>
  <c r="I159" i="3"/>
  <c r="D160" i="3"/>
  <c r="AA140" i="13" s="1"/>
  <c r="E160" i="3"/>
  <c r="I160" i="3"/>
  <c r="D161" i="3"/>
  <c r="AA141" i="13" s="1"/>
  <c r="E161" i="3"/>
  <c r="I161" i="3"/>
  <c r="D163" i="3"/>
  <c r="AA143" i="13" s="1"/>
  <c r="E163" i="3"/>
  <c r="I163" i="3"/>
  <c r="D165" i="3"/>
  <c r="AA145" i="13" s="1"/>
  <c r="E165" i="3"/>
  <c r="I165" i="3"/>
  <c r="D166" i="3"/>
  <c r="AA146" i="13" s="1"/>
  <c r="E166" i="3"/>
  <c r="I166" i="3"/>
  <c r="D167" i="3"/>
  <c r="AA147" i="13" s="1"/>
  <c r="E167" i="3"/>
  <c r="I167" i="3"/>
  <c r="D168" i="3"/>
  <c r="AA148" i="13" s="1"/>
  <c r="E168" i="3"/>
  <c r="I168" i="3"/>
  <c r="D169" i="3"/>
  <c r="AA149" i="13" s="1"/>
  <c r="E169" i="3"/>
  <c r="I169" i="3"/>
  <c r="D170" i="3"/>
  <c r="AA150" i="13" s="1"/>
  <c r="E170" i="3"/>
  <c r="I170" i="3"/>
  <c r="D171" i="3"/>
  <c r="AA151" i="13" s="1"/>
  <c r="E171" i="3"/>
  <c r="I171" i="3"/>
  <c r="D172" i="3"/>
  <c r="AA152" i="13" s="1"/>
  <c r="E172" i="3"/>
  <c r="I172" i="3"/>
  <c r="D175" i="3"/>
  <c r="AA155" i="13" s="1"/>
  <c r="E175" i="3"/>
  <c r="I175" i="3"/>
  <c r="D176" i="3"/>
  <c r="AA156" i="13" s="1"/>
  <c r="E176" i="3"/>
  <c r="I176" i="3"/>
  <c r="D177" i="3"/>
  <c r="E177" i="3"/>
  <c r="K157" i="10" s="1"/>
  <c r="I177" i="3"/>
  <c r="D178" i="3"/>
  <c r="E178" i="3"/>
  <c r="K158" i="10" s="1"/>
  <c r="I178" i="3"/>
  <c r="D155" i="3"/>
  <c r="AA135" i="13" s="1"/>
  <c r="E155" i="3"/>
  <c r="I155" i="3"/>
  <c r="D173" i="3"/>
  <c r="AA153" i="13" s="1"/>
  <c r="E173" i="3"/>
  <c r="I173" i="3"/>
  <c r="B123" i="3"/>
  <c r="Y103" i="13" s="1"/>
  <c r="B150" i="3"/>
  <c r="Y130" i="13" s="1"/>
  <c r="B164" i="3"/>
  <c r="Y144" i="13" s="1"/>
  <c r="B61" i="3"/>
  <c r="Y41" i="13" s="1"/>
  <c r="B144" i="3"/>
  <c r="Y124" i="13" s="1"/>
  <c r="B141" i="3"/>
  <c r="Y121" i="13" s="1"/>
  <c r="B56" i="3"/>
  <c r="Y36" i="13" s="1"/>
  <c r="B122" i="3"/>
  <c r="Y102" i="13" s="1"/>
  <c r="B23" i="3"/>
  <c r="Y3" i="13" s="1"/>
  <c r="B24" i="3"/>
  <c r="Y4" i="13" s="1"/>
  <c r="B25" i="3"/>
  <c r="Y5" i="13" s="1"/>
  <c r="B26" i="3"/>
  <c r="Y6" i="13" s="1"/>
  <c r="B28" i="3"/>
  <c r="Y8" i="13" s="1"/>
  <c r="B31" i="3"/>
  <c r="Y11" i="13" s="1"/>
  <c r="B34" i="3"/>
  <c r="Y14" i="13" s="1"/>
  <c r="B35" i="3"/>
  <c r="Y15" i="13" s="1"/>
  <c r="B37" i="3"/>
  <c r="Y17" i="13" s="1"/>
  <c r="B38" i="3"/>
  <c r="Y18" i="13" s="1"/>
  <c r="B39" i="3"/>
  <c r="Y19" i="13" s="1"/>
  <c r="B40" i="3"/>
  <c r="Y20" i="13" s="1"/>
  <c r="B41" i="3"/>
  <c r="Y21" i="13" s="1"/>
  <c r="B42" i="3"/>
  <c r="Y22" i="13" s="1"/>
  <c r="B43" i="3"/>
  <c r="Y23" i="13" s="1"/>
  <c r="B45" i="3"/>
  <c r="Y25" i="13" s="1"/>
  <c r="B46" i="3"/>
  <c r="Y26" i="13" s="1"/>
  <c r="B47" i="3"/>
  <c r="Y27" i="13" s="1"/>
  <c r="B48" i="3"/>
  <c r="Y28" i="13" s="1"/>
  <c r="B49" i="3"/>
  <c r="Y29" i="13" s="1"/>
  <c r="B50" i="3"/>
  <c r="Y30" i="13" s="1"/>
  <c r="B52" i="3"/>
  <c r="Y32" i="13" s="1"/>
  <c r="B53" i="3"/>
  <c r="Y33" i="13" s="1"/>
  <c r="B54" i="3"/>
  <c r="Y34" i="13" s="1"/>
  <c r="B55" i="3"/>
  <c r="Y35" i="13" s="1"/>
  <c r="B58" i="3"/>
  <c r="Y38" i="13" s="1"/>
  <c r="B59" i="3"/>
  <c r="Y39" i="13" s="1"/>
  <c r="B63" i="3"/>
  <c r="Y43" i="13" s="1"/>
  <c r="B64" i="3"/>
  <c r="Y44" i="13" s="1"/>
  <c r="B65" i="3"/>
  <c r="Y45" i="13" s="1"/>
  <c r="B67" i="3"/>
  <c r="Y47" i="13" s="1"/>
  <c r="B68" i="3"/>
  <c r="Y48" i="13" s="1"/>
  <c r="B69" i="3"/>
  <c r="Y49" i="13" s="1"/>
  <c r="B71" i="3"/>
  <c r="Y51" i="13" s="1"/>
  <c r="B72" i="3"/>
  <c r="Y52" i="13" s="1"/>
  <c r="B73" i="3"/>
  <c r="Y53" i="13" s="1"/>
  <c r="B74" i="3"/>
  <c r="Y54" i="13" s="1"/>
  <c r="B75" i="3"/>
  <c r="Y55" i="13" s="1"/>
  <c r="B77" i="3"/>
  <c r="Y57" i="13" s="1"/>
  <c r="B78" i="3"/>
  <c r="Y58" i="13" s="1"/>
  <c r="B79" i="3"/>
  <c r="Y59" i="13" s="1"/>
  <c r="B80" i="3"/>
  <c r="Y60" i="13" s="1"/>
  <c r="B81" i="3"/>
  <c r="Y61" i="13" s="1"/>
  <c r="B82" i="3"/>
  <c r="Y62" i="13" s="1"/>
  <c r="B83" i="3"/>
  <c r="Y63" i="13" s="1"/>
  <c r="B84" i="3"/>
  <c r="Y64" i="13" s="1"/>
  <c r="B85" i="3"/>
  <c r="Y65" i="13" s="1"/>
  <c r="B86" i="3"/>
  <c r="Y66" i="13" s="1"/>
  <c r="B87" i="3"/>
  <c r="Y67" i="13" s="1"/>
  <c r="B88" i="3"/>
  <c r="Y68" i="13" s="1"/>
  <c r="B89" i="3"/>
  <c r="Y69" i="13" s="1"/>
  <c r="B90" i="3"/>
  <c r="Y70" i="13" s="1"/>
  <c r="B91" i="3"/>
  <c r="Y71" i="13" s="1"/>
  <c r="B92" i="3"/>
  <c r="Y72" i="13" s="1"/>
  <c r="B93" i="3"/>
  <c r="Y73" i="13" s="1"/>
  <c r="B94" i="3"/>
  <c r="Y74" i="13" s="1"/>
  <c r="B95" i="3"/>
  <c r="Y75" i="13" s="1"/>
  <c r="B96" i="3"/>
  <c r="Y76" i="13" s="1"/>
  <c r="B97" i="3"/>
  <c r="Y77" i="13" s="1"/>
  <c r="B98" i="3"/>
  <c r="Y78" i="13" s="1"/>
  <c r="B99" i="3"/>
  <c r="Y79" i="13" s="1"/>
  <c r="B100" i="3"/>
  <c r="Y80" i="13" s="1"/>
  <c r="B101" i="3"/>
  <c r="Y81" i="13" s="1"/>
  <c r="B103" i="3"/>
  <c r="Y83" i="13" s="1"/>
  <c r="B104" i="3"/>
  <c r="Y84" i="13" s="1"/>
  <c r="B105" i="3"/>
  <c r="Y85" i="13" s="1"/>
  <c r="B106" i="3"/>
  <c r="Y86" i="13" s="1"/>
  <c r="B108" i="3"/>
  <c r="Y88" i="13" s="1"/>
  <c r="B109" i="3"/>
  <c r="Y89" i="13" s="1"/>
  <c r="B110" i="3"/>
  <c r="Y90" i="13" s="1"/>
  <c r="B111" i="3"/>
  <c r="Y91" i="13" s="1"/>
  <c r="B112" i="3"/>
  <c r="Y92" i="13" s="1"/>
  <c r="B113" i="3"/>
  <c r="Y93" i="13" s="1"/>
  <c r="B114" i="3"/>
  <c r="Y94" i="13" s="1"/>
  <c r="B115" i="3"/>
  <c r="Y95" i="13" s="1"/>
  <c r="B116" i="3"/>
  <c r="Y96" i="13" s="1"/>
  <c r="B117" i="3"/>
  <c r="Y97" i="13" s="1"/>
  <c r="B118" i="3"/>
  <c r="Y98" i="13" s="1"/>
  <c r="B119" i="3"/>
  <c r="Y99" i="13" s="1"/>
  <c r="B120" i="3"/>
  <c r="Y100" i="13" s="1"/>
  <c r="B121" i="3"/>
  <c r="Y101" i="13" s="1"/>
  <c r="B124" i="3"/>
  <c r="Y104" i="13" s="1"/>
  <c r="B125" i="3"/>
  <c r="Y105" i="13" s="1"/>
  <c r="B126" i="3"/>
  <c r="Y106" i="13" s="1"/>
  <c r="B127" i="3"/>
  <c r="Y107" i="13" s="1"/>
  <c r="B128" i="3"/>
  <c r="Y108" i="13" s="1"/>
  <c r="B129" i="3"/>
  <c r="Y109" i="13" s="1"/>
  <c r="B130" i="3"/>
  <c r="Y110" i="13" s="1"/>
  <c r="B131" i="3"/>
  <c r="Y111" i="13" s="1"/>
  <c r="B133" i="3"/>
  <c r="Y113" i="13" s="1"/>
  <c r="B134" i="3"/>
  <c r="Y114" i="13" s="1"/>
  <c r="B136" i="3"/>
  <c r="Y116" i="13" s="1"/>
  <c r="B137" i="3"/>
  <c r="Y117" i="13" s="1"/>
  <c r="B138" i="3"/>
  <c r="Y118" i="13" s="1"/>
  <c r="B140" i="3"/>
  <c r="Y120" i="13" s="1"/>
  <c r="B142" i="3"/>
  <c r="Y122" i="13" s="1"/>
  <c r="B143" i="3"/>
  <c r="Y123" i="13" s="1"/>
  <c r="B145" i="3"/>
  <c r="Y125" i="13" s="1"/>
  <c r="B146" i="3"/>
  <c r="Y126" i="13" s="1"/>
  <c r="B147" i="3"/>
  <c r="Y127" i="13" s="1"/>
  <c r="B148" i="3"/>
  <c r="Y128" i="13" s="1"/>
  <c r="B152" i="3"/>
  <c r="Y132" i="13" s="1"/>
  <c r="B153" i="3"/>
  <c r="Y133" i="13" s="1"/>
  <c r="B154" i="3"/>
  <c r="Y134" i="13" s="1"/>
  <c r="B156" i="3"/>
  <c r="Y136" i="13" s="1"/>
  <c r="B157" i="3"/>
  <c r="Y137" i="13" s="1"/>
  <c r="B158" i="3"/>
  <c r="Y138" i="13" s="1"/>
  <c r="B162" i="3"/>
  <c r="Y142" i="13" s="1"/>
  <c r="B159" i="3"/>
  <c r="Y139" i="13" s="1"/>
  <c r="B160" i="3"/>
  <c r="Y140" i="13" s="1"/>
  <c r="B161" i="3"/>
  <c r="Y141" i="13" s="1"/>
  <c r="B163" i="3"/>
  <c r="Y143" i="13" s="1"/>
  <c r="B165" i="3"/>
  <c r="Y145" i="13" s="1"/>
  <c r="B166" i="3"/>
  <c r="Y146" i="13" s="1"/>
  <c r="B167" i="3"/>
  <c r="Y147" i="13" s="1"/>
  <c r="B168" i="3"/>
  <c r="Y148" i="13" s="1"/>
  <c r="B169" i="3"/>
  <c r="Y149" i="13" s="1"/>
  <c r="B170" i="3"/>
  <c r="Y150" i="13" s="1"/>
  <c r="B171" i="3"/>
  <c r="Y151" i="13" s="1"/>
  <c r="B172" i="3"/>
  <c r="Y152" i="13" s="1"/>
  <c r="B175" i="3"/>
  <c r="Y155" i="13" s="1"/>
  <c r="B176" i="3"/>
  <c r="Y156" i="13" s="1"/>
  <c r="B177" i="3"/>
  <c r="B178" i="3"/>
  <c r="B173" i="3"/>
  <c r="Y153" i="13" s="1"/>
  <c r="B153" i="10"/>
  <c r="C153" i="10"/>
  <c r="D153" i="10"/>
  <c r="E153" i="10"/>
  <c r="G153" i="10"/>
  <c r="H153" i="10"/>
  <c r="I153" i="10"/>
  <c r="E23" i="17"/>
  <c r="H25" i="17" s="1"/>
  <c r="F23" i="17"/>
  <c r="J25" i="17" s="1"/>
  <c r="G23" i="17"/>
  <c r="L25" i="17" s="1"/>
  <c r="H23" i="17"/>
  <c r="N25" i="17" s="1"/>
  <c r="I23" i="17"/>
  <c r="P25" i="17" s="1"/>
  <c r="J23" i="17"/>
  <c r="R25" i="17" s="1"/>
  <c r="K23" i="17"/>
  <c r="T25" i="17" s="1"/>
  <c r="L23" i="17"/>
  <c r="V25" i="17" s="1"/>
  <c r="D23" i="17"/>
  <c r="F25" i="17" s="1"/>
  <c r="L24" i="17"/>
  <c r="U25" i="17" s="1"/>
  <c r="K24" i="17"/>
  <c r="S25" i="17" s="1"/>
  <c r="J24" i="17"/>
  <c r="Q25" i="17" s="1"/>
  <c r="I24" i="17"/>
  <c r="O25" i="17" s="1"/>
  <c r="H24" i="17"/>
  <c r="M25" i="17" s="1"/>
  <c r="G24" i="17"/>
  <c r="K25" i="17" s="1"/>
  <c r="F24" i="17"/>
  <c r="I25" i="17" s="1"/>
  <c r="E24" i="17"/>
  <c r="G25" i="17" s="1"/>
  <c r="D24" i="17"/>
  <c r="E25" i="17" s="1"/>
  <c r="O173" i="3"/>
  <c r="L173" i="3"/>
  <c r="N173" i="3"/>
  <c r="M173" i="3"/>
  <c r="J160" i="1" l="1"/>
  <c r="Y158" i="13"/>
  <c r="J159" i="1"/>
  <c r="Y157" i="13"/>
  <c r="AB58" i="13"/>
  <c r="K58" i="10"/>
  <c r="AB48" i="13"/>
  <c r="K48" i="10"/>
  <c r="AB38" i="13"/>
  <c r="K38" i="10"/>
  <c r="AB29" i="13"/>
  <c r="K29" i="10"/>
  <c r="AB18" i="13"/>
  <c r="K18" i="10"/>
  <c r="AB137" i="13"/>
  <c r="K137" i="10"/>
  <c r="AB134" i="13"/>
  <c r="K134" i="10"/>
  <c r="AB132" i="13"/>
  <c r="K132" i="10"/>
  <c r="AB127" i="13"/>
  <c r="K127" i="10"/>
  <c r="AB125" i="13"/>
  <c r="K125" i="10"/>
  <c r="AB122" i="13"/>
  <c r="K122" i="10"/>
  <c r="AB118" i="13"/>
  <c r="K118" i="10"/>
  <c r="AB116" i="13"/>
  <c r="K116" i="10"/>
  <c r="AB113" i="13"/>
  <c r="K113" i="10"/>
  <c r="AB110" i="13"/>
  <c r="K110" i="10"/>
  <c r="AB108" i="13"/>
  <c r="K108" i="10"/>
  <c r="AB106" i="13"/>
  <c r="K106" i="10"/>
  <c r="AB104" i="13"/>
  <c r="K104" i="10"/>
  <c r="AB100" i="13"/>
  <c r="K100" i="10"/>
  <c r="AB98" i="13"/>
  <c r="K98" i="10"/>
  <c r="AB96" i="13"/>
  <c r="K96" i="10"/>
  <c r="AB94" i="13"/>
  <c r="K94" i="10"/>
  <c r="AB92" i="13"/>
  <c r="K92" i="10"/>
  <c r="AB90" i="13"/>
  <c r="K90" i="10"/>
  <c r="AB88" i="13"/>
  <c r="K88" i="10"/>
  <c r="AB85" i="13"/>
  <c r="K85" i="10"/>
  <c r="AB83" i="13"/>
  <c r="K83" i="10"/>
  <c r="AB80" i="13"/>
  <c r="K80" i="10"/>
  <c r="AB78" i="13"/>
  <c r="K78" i="10"/>
  <c r="AB76" i="13"/>
  <c r="K76" i="10"/>
  <c r="AB74" i="13"/>
  <c r="K74" i="10"/>
  <c r="AB72" i="13"/>
  <c r="K72" i="10"/>
  <c r="AB70" i="13"/>
  <c r="K70" i="10"/>
  <c r="AB68" i="13"/>
  <c r="K68" i="10"/>
  <c r="AB66" i="13"/>
  <c r="K66" i="10"/>
  <c r="AB64" i="13"/>
  <c r="K64" i="10"/>
  <c r="AB62" i="13"/>
  <c r="K62" i="10"/>
  <c r="AB60" i="13"/>
  <c r="K60" i="10"/>
  <c r="AB51" i="13"/>
  <c r="K51" i="10"/>
  <c r="AB57" i="13"/>
  <c r="K57" i="10"/>
  <c r="AB54" i="13"/>
  <c r="K54" i="10"/>
  <c r="AB52" i="13"/>
  <c r="K52" i="10"/>
  <c r="AB49" i="13"/>
  <c r="K49" i="10"/>
  <c r="AB47" i="13"/>
  <c r="K47" i="10"/>
  <c r="AB44" i="13"/>
  <c r="K44" i="10"/>
  <c r="AB39" i="13"/>
  <c r="K39" i="10"/>
  <c r="AB35" i="13"/>
  <c r="K35" i="10"/>
  <c r="AB33" i="13"/>
  <c r="K33" i="10"/>
  <c r="AB30" i="13"/>
  <c r="K30" i="10"/>
  <c r="AB28" i="13"/>
  <c r="K28" i="10"/>
  <c r="AB26" i="13"/>
  <c r="K26" i="10"/>
  <c r="AB23" i="13"/>
  <c r="K23" i="10"/>
  <c r="AB21" i="13"/>
  <c r="K21" i="10"/>
  <c r="AB19" i="13"/>
  <c r="K19" i="10"/>
  <c r="AB17" i="13"/>
  <c r="K17" i="10"/>
  <c r="AB14" i="13"/>
  <c r="K14" i="10"/>
  <c r="AB8" i="13"/>
  <c r="K8" i="10"/>
  <c r="AB5" i="13"/>
  <c r="K5" i="10"/>
  <c r="AB3" i="13"/>
  <c r="K3" i="10"/>
  <c r="AB153" i="13"/>
  <c r="K153" i="10"/>
  <c r="AB156" i="13"/>
  <c r="K156" i="10"/>
  <c r="AB152" i="13"/>
  <c r="K152" i="10"/>
  <c r="AB150" i="13"/>
  <c r="K150" i="10"/>
  <c r="AB148" i="13"/>
  <c r="K148" i="10"/>
  <c r="AB146" i="13"/>
  <c r="K146" i="10"/>
  <c r="AB143" i="13"/>
  <c r="K143" i="10"/>
  <c r="AB140" i="13"/>
  <c r="K140" i="10"/>
  <c r="AB53" i="13"/>
  <c r="K53" i="10"/>
  <c r="AB43" i="13"/>
  <c r="K43" i="10"/>
  <c r="AB32" i="13"/>
  <c r="K32" i="10"/>
  <c r="AB25" i="13"/>
  <c r="K25" i="10"/>
  <c r="AB20" i="13"/>
  <c r="K20" i="10"/>
  <c r="AB11" i="13"/>
  <c r="K11" i="10"/>
  <c r="AB4" i="13"/>
  <c r="K4" i="10"/>
  <c r="AB155" i="13"/>
  <c r="K155" i="10"/>
  <c r="AB138" i="13"/>
  <c r="K138" i="10"/>
  <c r="AB136" i="13"/>
  <c r="K136" i="10"/>
  <c r="AB133" i="13"/>
  <c r="K133" i="10"/>
  <c r="AB128" i="13"/>
  <c r="K128" i="10"/>
  <c r="AB126" i="13"/>
  <c r="K126" i="10"/>
  <c r="AB123" i="13"/>
  <c r="K123" i="10"/>
  <c r="AB120" i="13"/>
  <c r="K120" i="10"/>
  <c r="AB117" i="13"/>
  <c r="K117" i="10"/>
  <c r="AB114" i="13"/>
  <c r="K114" i="10"/>
  <c r="AB111" i="13"/>
  <c r="K111" i="10"/>
  <c r="AB109" i="13"/>
  <c r="K109" i="10"/>
  <c r="AB107" i="13"/>
  <c r="K107" i="10"/>
  <c r="AB105" i="13"/>
  <c r="K105" i="10"/>
  <c r="AB101" i="13"/>
  <c r="K101" i="10"/>
  <c r="AB99" i="13"/>
  <c r="K99" i="10"/>
  <c r="AB97" i="13"/>
  <c r="K97" i="10"/>
  <c r="AB95" i="13"/>
  <c r="K95" i="10"/>
  <c r="AB93" i="13"/>
  <c r="K93" i="10"/>
  <c r="AB91" i="13"/>
  <c r="K91" i="10"/>
  <c r="AB89" i="13"/>
  <c r="K89" i="10"/>
  <c r="AB86" i="13"/>
  <c r="K86" i="10"/>
  <c r="AB84" i="13"/>
  <c r="K84" i="10"/>
  <c r="AB81" i="13"/>
  <c r="K81" i="10"/>
  <c r="AB79" i="13"/>
  <c r="K79" i="10"/>
  <c r="AB77" i="13"/>
  <c r="K77" i="10"/>
  <c r="AB75" i="13"/>
  <c r="K75" i="10"/>
  <c r="AB73" i="13"/>
  <c r="K73" i="10"/>
  <c r="AB71" i="13"/>
  <c r="K71" i="10"/>
  <c r="AB69" i="13"/>
  <c r="K69" i="10"/>
  <c r="AB67" i="13"/>
  <c r="K67" i="10"/>
  <c r="AB65" i="13"/>
  <c r="K65" i="10"/>
  <c r="AB63" i="13"/>
  <c r="K63" i="10"/>
  <c r="AB61" i="13"/>
  <c r="K61" i="10"/>
  <c r="AB55" i="13"/>
  <c r="K55" i="10"/>
  <c r="AB45" i="13"/>
  <c r="K45" i="10"/>
  <c r="AB34" i="13"/>
  <c r="K34" i="10"/>
  <c r="AB27" i="13"/>
  <c r="K27" i="10"/>
  <c r="AB22" i="13"/>
  <c r="K22" i="10"/>
  <c r="AB15" i="13"/>
  <c r="K15" i="10"/>
  <c r="AB6" i="13"/>
  <c r="K6" i="10"/>
  <c r="AB135" i="13"/>
  <c r="K135" i="10"/>
  <c r="AB151" i="13"/>
  <c r="K151" i="10"/>
  <c r="AB149" i="13"/>
  <c r="K149" i="10"/>
  <c r="AB147" i="13"/>
  <c r="K147" i="10"/>
  <c r="AB145" i="13"/>
  <c r="K145" i="10"/>
  <c r="AB141" i="13"/>
  <c r="K141" i="10"/>
  <c r="AB139" i="13"/>
  <c r="K139" i="10"/>
  <c r="M160" i="1"/>
  <c r="AB158" i="13"/>
  <c r="L159" i="1"/>
  <c r="AA157" i="13"/>
  <c r="L160" i="1"/>
  <c r="AA158" i="13"/>
  <c r="M159" i="1"/>
  <c r="AB157" i="13"/>
  <c r="M158" i="1"/>
  <c r="J158" i="1"/>
  <c r="L158" i="1"/>
  <c r="L14" i="10"/>
  <c r="L15" i="10"/>
  <c r="L11" i="10"/>
  <c r="J157" i="1"/>
  <c r="J156" i="1"/>
  <c r="L156" i="1"/>
  <c r="M157" i="1"/>
  <c r="L157" i="1"/>
  <c r="M156" i="1"/>
  <c r="J116" i="1"/>
  <c r="J44" i="1"/>
  <c r="M126" i="1"/>
  <c r="M121" i="1"/>
  <c r="L151" i="1"/>
  <c r="L126" i="1"/>
  <c r="L121" i="1"/>
  <c r="M34" i="1"/>
  <c r="J80" i="1"/>
  <c r="M151" i="1"/>
  <c r="L34" i="1"/>
  <c r="M116" i="1"/>
  <c r="M80" i="1"/>
  <c r="L116" i="1"/>
  <c r="L80" i="1"/>
  <c r="M44" i="1"/>
  <c r="J151" i="1"/>
  <c r="L44" i="1"/>
  <c r="BN7" i="24" a="1"/>
  <c r="BN7" i="24" s="1"/>
  <c r="J40" i="1"/>
  <c r="J11" i="1"/>
  <c r="J128" i="1"/>
  <c r="L128" i="1"/>
  <c r="L139" i="1"/>
  <c r="L141" i="1"/>
  <c r="J35" i="1"/>
  <c r="J85" i="1"/>
  <c r="J110" i="1"/>
  <c r="J126" i="1"/>
  <c r="M29" i="1"/>
  <c r="M38" i="1"/>
  <c r="M54" i="1"/>
  <c r="M100" i="1"/>
  <c r="L29" i="1"/>
  <c r="L38" i="1"/>
  <c r="L54" i="1"/>
  <c r="L100" i="1"/>
  <c r="M110" i="1"/>
  <c r="M118" i="1"/>
  <c r="M127" i="1"/>
  <c r="J13" i="1"/>
  <c r="J132" i="1"/>
  <c r="M11" i="1"/>
  <c r="M13" i="1"/>
  <c r="L110" i="1"/>
  <c r="L118" i="1"/>
  <c r="L127" i="1"/>
  <c r="J29" i="1"/>
  <c r="J38" i="1"/>
  <c r="J54" i="1"/>
  <c r="L5" i="1"/>
  <c r="L11" i="1"/>
  <c r="L13" i="1"/>
  <c r="M35" i="1"/>
  <c r="M40" i="1"/>
  <c r="M48" i="1"/>
  <c r="M57" i="1"/>
  <c r="M85" i="1"/>
  <c r="M101" i="1"/>
  <c r="J48" i="1"/>
  <c r="L35" i="1"/>
  <c r="L40" i="1"/>
  <c r="L48" i="1"/>
  <c r="L57" i="1"/>
  <c r="L85" i="1"/>
  <c r="L101" i="1"/>
  <c r="M128" i="1"/>
  <c r="M139" i="1"/>
  <c r="M141" i="1"/>
  <c r="BK7" i="24" a="1"/>
  <c r="BK7" i="24" s="1"/>
  <c r="BH8" i="24" a="1"/>
  <c r="BH8" i="24" s="1"/>
  <c r="BH9" i="24" s="1" a="1"/>
  <c r="BH9" i="24" s="1"/>
  <c r="BE10" i="24" a="1"/>
  <c r="BE10" i="24" s="1"/>
  <c r="BE11" i="24" s="1" a="1"/>
  <c r="BE11" i="24" s="1"/>
  <c r="BB9" i="24" a="1"/>
  <c r="BB9" i="24" s="1"/>
  <c r="AY9" i="24" a="1"/>
  <c r="AY9" i="24" s="1"/>
  <c r="AV7" i="24" a="1"/>
  <c r="AV7" i="24" s="1"/>
  <c r="AS8" i="24" a="1"/>
  <c r="AS8" i="24" s="1"/>
  <c r="AP8" i="24" a="1"/>
  <c r="AP8" i="24" s="1"/>
  <c r="AP9" i="24" s="1" a="1"/>
  <c r="AP9" i="24" s="1"/>
  <c r="AM9" i="24" a="1"/>
  <c r="AM9" i="24" s="1"/>
  <c r="J102" i="1"/>
  <c r="J74" i="1"/>
  <c r="J49" i="1"/>
  <c r="J118" i="1"/>
  <c r="J154" i="1"/>
  <c r="J146" i="1"/>
  <c r="J138" i="1"/>
  <c r="J133" i="1"/>
  <c r="J114" i="1"/>
  <c r="J107" i="1"/>
  <c r="J99" i="1"/>
  <c r="J93" i="1"/>
  <c r="J79" i="1"/>
  <c r="J67" i="1"/>
  <c r="J61" i="1"/>
  <c r="J55" i="1"/>
  <c r="J47" i="1"/>
  <c r="J37" i="1"/>
  <c r="J28" i="1"/>
  <c r="J22" i="1"/>
  <c r="J16" i="1"/>
  <c r="J7" i="1"/>
  <c r="J121" i="1"/>
  <c r="J140" i="1"/>
  <c r="J108" i="1"/>
  <c r="J81" i="1"/>
  <c r="J56" i="1"/>
  <c r="J23" i="1"/>
  <c r="J137" i="1"/>
  <c r="J113" i="1"/>
  <c r="J98" i="1"/>
  <c r="J78" i="1"/>
  <c r="J60" i="1"/>
  <c r="J36" i="1"/>
  <c r="J21" i="1"/>
  <c r="J39" i="1"/>
  <c r="J144" i="1"/>
  <c r="J120" i="1"/>
  <c r="J77" i="1"/>
  <c r="J71" i="1"/>
  <c r="J65" i="1"/>
  <c r="J59" i="1"/>
  <c r="J52" i="1"/>
  <c r="J45" i="1"/>
  <c r="J33" i="1"/>
  <c r="J26" i="1"/>
  <c r="J20" i="1"/>
  <c r="J14" i="1"/>
  <c r="J5" i="1"/>
  <c r="J141" i="1"/>
  <c r="J147" i="1"/>
  <c r="J115" i="1"/>
  <c r="J88" i="1"/>
  <c r="J62" i="1"/>
  <c r="J30" i="1"/>
  <c r="J17" i="1"/>
  <c r="J8" i="1"/>
  <c r="J153" i="1"/>
  <c r="J131" i="1"/>
  <c r="J106" i="1"/>
  <c r="J86" i="1"/>
  <c r="J46" i="1"/>
  <c r="J15" i="1"/>
  <c r="J130" i="1"/>
  <c r="J112" i="1"/>
  <c r="J91" i="1"/>
  <c r="J84" i="1"/>
  <c r="J149" i="1"/>
  <c r="J143" i="1"/>
  <c r="J129" i="1"/>
  <c r="J119" i="1"/>
  <c r="J111" i="1"/>
  <c r="J90" i="1"/>
  <c r="J83" i="1"/>
  <c r="J76" i="1"/>
  <c r="J70" i="1"/>
  <c r="J58" i="1"/>
  <c r="J51" i="1"/>
  <c r="J43" i="1"/>
  <c r="J32" i="1"/>
  <c r="J25" i="1"/>
  <c r="J19" i="1"/>
  <c r="J12" i="1"/>
  <c r="J100" i="1"/>
  <c r="J127" i="1"/>
  <c r="J155" i="1"/>
  <c r="J124" i="1"/>
  <c r="J94" i="1"/>
  <c r="J68" i="1"/>
  <c r="J41" i="1"/>
  <c r="J145" i="1"/>
  <c r="J122" i="1"/>
  <c r="J92" i="1"/>
  <c r="J72" i="1"/>
  <c r="J53" i="1"/>
  <c r="J27" i="1"/>
  <c r="J6" i="1"/>
  <c r="J152" i="1"/>
  <c r="J105" i="1"/>
  <c r="J97" i="1"/>
  <c r="J150" i="1"/>
  <c r="J148" i="1"/>
  <c r="J142" i="1"/>
  <c r="J135" i="1"/>
  <c r="J125" i="1"/>
  <c r="J117" i="1"/>
  <c r="J103" i="1"/>
  <c r="J95" i="1"/>
  <c r="J89" i="1"/>
  <c r="J82" i="1"/>
  <c r="J75" i="1"/>
  <c r="J69" i="1"/>
  <c r="J63" i="1"/>
  <c r="J57" i="1"/>
  <c r="J50" i="1"/>
  <c r="J42" i="1"/>
  <c r="J31" i="1"/>
  <c r="J24" i="1"/>
  <c r="J18" i="1"/>
  <c r="J10" i="1"/>
  <c r="J34" i="1"/>
  <c r="J101" i="1"/>
  <c r="J139" i="1"/>
  <c r="J136" i="1"/>
  <c r="J134" i="1"/>
  <c r="J123" i="1"/>
  <c r="J109" i="1"/>
  <c r="J104" i="1"/>
  <c r="J96" i="1"/>
  <c r="J87" i="1"/>
  <c r="J73" i="1"/>
  <c r="J66" i="1"/>
  <c r="J64" i="1"/>
  <c r="L132" i="1"/>
  <c r="L131" i="1"/>
  <c r="L124" i="1"/>
  <c r="L119" i="1"/>
  <c r="L113" i="1"/>
  <c r="L106" i="1"/>
  <c r="M150" i="1"/>
  <c r="M155" i="1"/>
  <c r="M153" i="1"/>
  <c r="M149" i="1"/>
  <c r="M147" i="1"/>
  <c r="M145" i="1"/>
  <c r="M143" i="1"/>
  <c r="M140" i="1"/>
  <c r="M137" i="1"/>
  <c r="L55" i="1"/>
  <c r="L52" i="1"/>
  <c r="L50" i="1"/>
  <c r="L47" i="1"/>
  <c r="L45" i="1"/>
  <c r="L42" i="1"/>
  <c r="L37" i="1"/>
  <c r="L33" i="1"/>
  <c r="L31" i="1"/>
  <c r="L28" i="1"/>
  <c r="L26" i="1"/>
  <c r="L24" i="1"/>
  <c r="L22" i="1"/>
  <c r="L20" i="1"/>
  <c r="L18" i="1"/>
  <c r="L16" i="1"/>
  <c r="L14" i="1"/>
  <c r="L10" i="1"/>
  <c r="L7" i="1"/>
  <c r="L150" i="1"/>
  <c r="L149" i="1"/>
  <c r="L143" i="1"/>
  <c r="L140" i="1"/>
  <c r="L137" i="1"/>
  <c r="M135" i="1"/>
  <c r="M133" i="1"/>
  <c r="M130" i="1"/>
  <c r="M125" i="1"/>
  <c r="M123" i="1"/>
  <c r="M120" i="1"/>
  <c r="M117" i="1"/>
  <c r="M114" i="1"/>
  <c r="M112" i="1"/>
  <c r="M109" i="1"/>
  <c r="M107" i="1"/>
  <c r="M105" i="1"/>
  <c r="M103" i="1"/>
  <c r="M99" i="1"/>
  <c r="M97" i="1"/>
  <c r="M95" i="1"/>
  <c r="M93" i="1"/>
  <c r="M91" i="1"/>
  <c r="M89" i="1"/>
  <c r="M87" i="1"/>
  <c r="M84" i="1"/>
  <c r="M82" i="1"/>
  <c r="M79" i="1"/>
  <c r="M77" i="1"/>
  <c r="M75" i="1"/>
  <c r="M73" i="1"/>
  <c r="M71" i="1"/>
  <c r="M69" i="1"/>
  <c r="M67" i="1"/>
  <c r="M65" i="1"/>
  <c r="M63" i="1"/>
  <c r="M61" i="1"/>
  <c r="M59" i="1"/>
  <c r="L154" i="1"/>
  <c r="L155" i="1"/>
  <c r="L147" i="1"/>
  <c r="L133" i="1"/>
  <c r="L125" i="1"/>
  <c r="L120" i="1"/>
  <c r="L114" i="1"/>
  <c r="L109" i="1"/>
  <c r="L105" i="1"/>
  <c r="L99" i="1"/>
  <c r="L95" i="1"/>
  <c r="L93" i="1"/>
  <c r="L89" i="1"/>
  <c r="L87" i="1"/>
  <c r="L84" i="1"/>
  <c r="L82" i="1"/>
  <c r="L79" i="1"/>
  <c r="L77" i="1"/>
  <c r="L75" i="1"/>
  <c r="L73" i="1"/>
  <c r="L71" i="1"/>
  <c r="L69" i="1"/>
  <c r="L67" i="1"/>
  <c r="L65" i="1"/>
  <c r="L63" i="1"/>
  <c r="L61" i="1"/>
  <c r="L59" i="1"/>
  <c r="M56" i="1"/>
  <c r="M53" i="1"/>
  <c r="M51" i="1"/>
  <c r="M49" i="1"/>
  <c r="M46" i="1"/>
  <c r="M43" i="1"/>
  <c r="M41" i="1"/>
  <c r="M36" i="1"/>
  <c r="M32" i="1"/>
  <c r="M30" i="1"/>
  <c r="M27" i="1"/>
  <c r="M25" i="1"/>
  <c r="M23" i="1"/>
  <c r="M21" i="1"/>
  <c r="M19" i="1"/>
  <c r="M17" i="1"/>
  <c r="M15" i="1"/>
  <c r="M12" i="1"/>
  <c r="M8" i="1"/>
  <c r="M6" i="1"/>
  <c r="L152" i="1"/>
  <c r="L153" i="1"/>
  <c r="L145" i="1"/>
  <c r="L135" i="1"/>
  <c r="L130" i="1"/>
  <c r="L123" i="1"/>
  <c r="L117" i="1"/>
  <c r="L112" i="1"/>
  <c r="L107" i="1"/>
  <c r="L103" i="1"/>
  <c r="L97" i="1"/>
  <c r="L91" i="1"/>
  <c r="M132" i="1"/>
  <c r="M154" i="1"/>
  <c r="M152" i="1"/>
  <c r="M148" i="1"/>
  <c r="M146" i="1"/>
  <c r="M144" i="1"/>
  <c r="M142" i="1"/>
  <c r="M138" i="1"/>
  <c r="M136" i="1"/>
  <c r="L56" i="1"/>
  <c r="L53" i="1"/>
  <c r="L51" i="1"/>
  <c r="L49" i="1"/>
  <c r="L46" i="1"/>
  <c r="L43" i="1"/>
  <c r="L41" i="1"/>
  <c r="L36" i="1"/>
  <c r="L32" i="1"/>
  <c r="L30" i="1"/>
  <c r="L27" i="1"/>
  <c r="L25" i="1"/>
  <c r="L23" i="1"/>
  <c r="L21" i="1"/>
  <c r="L19" i="1"/>
  <c r="L17" i="1"/>
  <c r="L15" i="1"/>
  <c r="L12" i="1"/>
  <c r="L8" i="1"/>
  <c r="L6" i="1"/>
  <c r="L148" i="1"/>
  <c r="L146" i="1"/>
  <c r="L144" i="1"/>
  <c r="L142" i="1"/>
  <c r="L138" i="1"/>
  <c r="L136" i="1"/>
  <c r="M134" i="1"/>
  <c r="M131" i="1"/>
  <c r="M129" i="1"/>
  <c r="M124" i="1"/>
  <c r="M122" i="1"/>
  <c r="M119" i="1"/>
  <c r="M115" i="1"/>
  <c r="M113" i="1"/>
  <c r="M111" i="1"/>
  <c r="M108" i="1"/>
  <c r="M106" i="1"/>
  <c r="M104" i="1"/>
  <c r="M102" i="1"/>
  <c r="M98" i="1"/>
  <c r="M96" i="1"/>
  <c r="M94" i="1"/>
  <c r="M92" i="1"/>
  <c r="M90" i="1"/>
  <c r="M88" i="1"/>
  <c r="M86" i="1"/>
  <c r="M83" i="1"/>
  <c r="M81" i="1"/>
  <c r="M78" i="1"/>
  <c r="M76" i="1"/>
  <c r="M74" i="1"/>
  <c r="M72" i="1"/>
  <c r="M70" i="1"/>
  <c r="M68" i="1"/>
  <c r="M66" i="1"/>
  <c r="M64" i="1"/>
  <c r="M62" i="1"/>
  <c r="M60" i="1"/>
  <c r="M58" i="1"/>
  <c r="L134" i="1"/>
  <c r="L129" i="1"/>
  <c r="L122" i="1"/>
  <c r="L115" i="1"/>
  <c r="L111" i="1"/>
  <c r="L108" i="1"/>
  <c r="L104" i="1"/>
  <c r="L102" i="1"/>
  <c r="L98" i="1"/>
  <c r="L96" i="1"/>
  <c r="L94" i="1"/>
  <c r="L92" i="1"/>
  <c r="L90" i="1"/>
  <c r="L88" i="1"/>
  <c r="L86" i="1"/>
  <c r="L83" i="1"/>
  <c r="L81" i="1"/>
  <c r="L78" i="1"/>
  <c r="L76" i="1"/>
  <c r="L74" i="1"/>
  <c r="L72" i="1"/>
  <c r="L70" i="1"/>
  <c r="L68" i="1"/>
  <c r="L66" i="1"/>
  <c r="L64" i="1"/>
  <c r="L62" i="1"/>
  <c r="L60" i="1"/>
  <c r="L58" i="1"/>
  <c r="M55" i="1"/>
  <c r="M52" i="1"/>
  <c r="M50" i="1"/>
  <c r="M47" i="1"/>
  <c r="M45" i="1"/>
  <c r="M42" i="1"/>
  <c r="M37" i="1"/>
  <c r="M33" i="1"/>
  <c r="M31" i="1"/>
  <c r="M28" i="1"/>
  <c r="M26" i="1"/>
  <c r="M24" i="1"/>
  <c r="M22" i="1"/>
  <c r="M20" i="1"/>
  <c r="M18" i="1"/>
  <c r="M16" i="1"/>
  <c r="M14" i="1"/>
  <c r="M10" i="1"/>
  <c r="M7" i="1"/>
  <c r="M5" i="1"/>
  <c r="L141" i="10"/>
  <c r="L142" i="10"/>
  <c r="L135" i="10"/>
  <c r="T13" i="24" a="1"/>
  <c r="T13" i="24" s="1"/>
  <c r="U12" i="24"/>
  <c r="L12" i="28"/>
  <c r="F11" i="17"/>
  <c r="F10" i="17"/>
  <c r="F9" i="17"/>
  <c r="F8" i="17"/>
  <c r="BN8" i="24" l="1" a="1"/>
  <c r="BN8" i="24" s="1"/>
  <c r="BK8" i="24" a="1"/>
  <c r="BK8" i="24" s="1"/>
  <c r="BK9" i="24" s="1" a="1"/>
  <c r="BK9" i="24" s="1"/>
  <c r="BK10" i="24" s="1" a="1"/>
  <c r="BK10" i="24" s="1"/>
  <c r="BK11" i="24" s="1" a="1"/>
  <c r="BK11" i="24" s="1"/>
  <c r="BH10" i="24" a="1"/>
  <c r="BH10" i="24" s="1"/>
  <c r="BE12" i="24" a="1"/>
  <c r="BE12" i="24" s="1"/>
  <c r="BE13" i="24" s="1" a="1"/>
  <c r="BE13" i="24" s="1"/>
  <c r="BE14" i="24" s="1" a="1"/>
  <c r="BE14" i="24" s="1"/>
  <c r="BE15" i="24" s="1" a="1"/>
  <c r="BE15" i="24" s="1"/>
  <c r="BE16" i="24" s="1" a="1"/>
  <c r="BE16" i="24" s="1"/>
  <c r="BE17" i="24" s="1" a="1"/>
  <c r="BE17" i="24" s="1"/>
  <c r="BE18" i="24" s="1" a="1"/>
  <c r="BE18" i="24" s="1"/>
  <c r="BE19" i="24" s="1" a="1"/>
  <c r="BE19" i="24" s="1"/>
  <c r="BE20" i="24" s="1" a="1"/>
  <c r="BE20" i="24" s="1"/>
  <c r="BE21" i="24" s="1" a="1"/>
  <c r="BE21" i="24" s="1"/>
  <c r="BE22" i="24" s="1" a="1"/>
  <c r="BE22" i="24" s="1"/>
  <c r="BE23" i="24" s="1" a="1"/>
  <c r="BE23" i="24" s="1"/>
  <c r="BE24" i="24" s="1" a="1"/>
  <c r="BE24" i="24" s="1"/>
  <c r="BE25" i="24" s="1" a="1"/>
  <c r="BE25" i="24" s="1"/>
  <c r="BE26" i="24" s="1" a="1"/>
  <c r="BE26" i="24" s="1"/>
  <c r="BE27" i="24" s="1" a="1"/>
  <c r="BE27" i="24" s="1"/>
  <c r="BE28" i="24" s="1" a="1"/>
  <c r="BE28" i="24" s="1"/>
  <c r="BE29" i="24" s="1" a="1"/>
  <c r="BE29" i="24" s="1"/>
  <c r="BE30" i="24" s="1" a="1"/>
  <c r="BE30" i="24" s="1"/>
  <c r="BE31" i="24" s="1" a="1"/>
  <c r="BE31" i="24" s="1"/>
  <c r="BE32" i="24" s="1" a="1"/>
  <c r="BE32" i="24" s="1"/>
  <c r="BE33" i="24" s="1" a="1"/>
  <c r="BE33" i="24" s="1"/>
  <c r="BE34" i="24" s="1" a="1"/>
  <c r="BE34" i="24" s="1"/>
  <c r="BE35" i="24" s="1" a="1"/>
  <c r="BE35" i="24" s="1"/>
  <c r="BE36" i="24" s="1" a="1"/>
  <c r="BE36" i="24" s="1"/>
  <c r="BE37" i="24" s="1" a="1"/>
  <c r="BE37" i="24" s="1"/>
  <c r="BE38" i="24" s="1" a="1"/>
  <c r="BE38" i="24" s="1"/>
  <c r="BE39" i="24" s="1" a="1"/>
  <c r="BE39" i="24" s="1"/>
  <c r="BE40" i="24" s="1" a="1"/>
  <c r="BE40" i="24" s="1"/>
  <c r="BB10" i="24" a="1"/>
  <c r="BB10" i="24" s="1"/>
  <c r="AY10" i="24" a="1"/>
  <c r="AY10" i="24" s="1"/>
  <c r="AY11" i="24" s="1" a="1"/>
  <c r="AY11" i="24" s="1"/>
  <c r="AY12" i="24" s="1" a="1"/>
  <c r="AY12" i="24" s="1"/>
  <c r="AV8" i="24" a="1"/>
  <c r="AV8" i="24" s="1"/>
  <c r="AV9" i="24" s="1" a="1"/>
  <c r="AV9" i="24" s="1"/>
  <c r="AV10" i="24" s="1" a="1"/>
  <c r="AV10" i="24" s="1"/>
  <c r="AS9" i="24" a="1"/>
  <c r="AS9" i="24" s="1"/>
  <c r="AP10" i="24" a="1"/>
  <c r="AP10" i="24" s="1"/>
  <c r="AM10" i="24" a="1"/>
  <c r="AM10" i="24" s="1"/>
  <c r="T14" i="24" a="1"/>
  <c r="T14" i="24" s="1"/>
  <c r="U13" i="24"/>
  <c r="L13" i="28"/>
  <c r="H14" i="28" a="1"/>
  <c r="H14" i="28" s="1"/>
  <c r="AB15" i="17"/>
  <c r="CM19" i="17"/>
  <c r="CA19" i="17"/>
  <c r="BO19" i="17"/>
  <c r="BC19" i="17"/>
  <c r="AQ19" i="17"/>
  <c r="AE19" i="17"/>
  <c r="S19" i="17"/>
  <c r="Q19" i="17"/>
  <c r="P19" i="17"/>
  <c r="AW19" i="17"/>
  <c r="BF19" i="17"/>
  <c r="CB19" i="17"/>
  <c r="CL19" i="17"/>
  <c r="BZ19" i="17"/>
  <c r="BN19" i="17"/>
  <c r="BB19" i="17"/>
  <c r="AP19" i="17"/>
  <c r="AD19" i="17"/>
  <c r="R19" i="17"/>
  <c r="AN19" i="17"/>
  <c r="AK19" i="17"/>
  <c r="AT19" i="17"/>
  <c r="BP19" i="17"/>
  <c r="CK19" i="17"/>
  <c r="BY19" i="17"/>
  <c r="BM19" i="17"/>
  <c r="BA19" i="17"/>
  <c r="AO19" i="17"/>
  <c r="AC19" i="17"/>
  <c r="AZ19" i="17"/>
  <c r="BU19" i="17"/>
  <c r="BR19" i="17"/>
  <c r="I19" i="17"/>
  <c r="CJ19" i="17"/>
  <c r="BX19" i="17"/>
  <c r="BL19" i="17"/>
  <c r="AB19" i="17"/>
  <c r="V19" i="17"/>
  <c r="AF19" i="17"/>
  <c r="CI19" i="17"/>
  <c r="BW19" i="17"/>
  <c r="BK19" i="17"/>
  <c r="AY19" i="17"/>
  <c r="AM19" i="17"/>
  <c r="AA19" i="17"/>
  <c r="O19" i="17"/>
  <c r="N19" i="17"/>
  <c r="Y19" i="17"/>
  <c r="AS19" i="17"/>
  <c r="CH19" i="17"/>
  <c r="BV19" i="17"/>
  <c r="BJ19" i="17"/>
  <c r="AX19" i="17"/>
  <c r="AL19" i="17"/>
  <c r="Z19" i="17"/>
  <c r="BI19" i="17"/>
  <c r="M19" i="17"/>
  <c r="J19" i="17"/>
  <c r="AR19" i="17"/>
  <c r="CG19" i="17"/>
  <c r="T19" i="17"/>
  <c r="CF19" i="17"/>
  <c r="BT19" i="17"/>
  <c r="BH19" i="17"/>
  <c r="AV19" i="17"/>
  <c r="AJ19" i="17"/>
  <c r="X19" i="17"/>
  <c r="L19" i="17"/>
  <c r="W19" i="17"/>
  <c r="CD19" i="17"/>
  <c r="U19" i="17"/>
  <c r="CE19" i="17"/>
  <c r="BS19" i="17"/>
  <c r="BG19" i="17"/>
  <c r="AU19" i="17"/>
  <c r="AI19" i="17"/>
  <c r="K19" i="17"/>
  <c r="AH19" i="17"/>
  <c r="BD19" i="17"/>
  <c r="CC19" i="17"/>
  <c r="BQ19" i="17"/>
  <c r="BE19" i="17"/>
  <c r="AG19" i="17"/>
  <c r="H19" i="17"/>
  <c r="F15" i="17"/>
  <c r="D14" i="17"/>
  <c r="D15" i="17"/>
  <c r="P16" i="17"/>
  <c r="I15" i="17"/>
  <c r="E15" i="17"/>
  <c r="H14" i="17"/>
  <c r="P15" i="17"/>
  <c r="Q16" i="17"/>
  <c r="W14" i="17"/>
  <c r="N15" i="17"/>
  <c r="T15" i="17"/>
  <c r="AE16" i="17"/>
  <c r="U15" i="17"/>
  <c r="D19" i="17"/>
  <c r="V15" i="17"/>
  <c r="I16" i="17"/>
  <c r="W16" i="17"/>
  <c r="J15" i="17"/>
  <c r="X16" i="17"/>
  <c r="K15" i="17"/>
  <c r="Y16" i="17"/>
  <c r="L14" i="17"/>
  <c r="Z15" i="17"/>
  <c r="O15" i="17"/>
  <c r="AA15" i="17"/>
  <c r="G19" i="17"/>
  <c r="P14" i="17"/>
  <c r="S16" i="17"/>
  <c r="Z16" i="17"/>
  <c r="L16" i="17"/>
  <c r="T16" i="17"/>
  <c r="D16" i="17"/>
  <c r="E16" i="17"/>
  <c r="F16" i="17"/>
  <c r="M16" i="17"/>
  <c r="AB16" i="17"/>
  <c r="J16" i="17"/>
  <c r="K16" i="17"/>
  <c r="G16" i="17"/>
  <c r="U16" i="17"/>
  <c r="AC16" i="17"/>
  <c r="R16" i="17"/>
  <c r="AA16" i="17"/>
  <c r="N16" i="17"/>
  <c r="AD16" i="17"/>
  <c r="H16" i="17"/>
  <c r="O16" i="17"/>
  <c r="V16" i="17"/>
  <c r="AC15" i="17"/>
  <c r="W15" i="17"/>
  <c r="G15" i="17"/>
  <c r="L15" i="17"/>
  <c r="R15" i="17"/>
  <c r="AD15" i="17"/>
  <c r="C19" i="17"/>
  <c r="X15" i="17"/>
  <c r="M15" i="17"/>
  <c r="Q15" i="17"/>
  <c r="H15" i="17"/>
  <c r="Y15" i="17"/>
  <c r="AE15" i="17"/>
  <c r="F19" i="17"/>
  <c r="S15" i="17"/>
  <c r="AB14" i="17"/>
  <c r="X14" i="17"/>
  <c r="E14" i="17"/>
  <c r="Q14" i="17"/>
  <c r="AC14" i="17"/>
  <c r="J14" i="17"/>
  <c r="AD14" i="17"/>
  <c r="G14" i="17"/>
  <c r="S14" i="17"/>
  <c r="AE14" i="17"/>
  <c r="I14" i="17"/>
  <c r="U14" i="17"/>
  <c r="B19" i="17"/>
  <c r="N14" i="17"/>
  <c r="V14" i="17"/>
  <c r="E19" i="17"/>
  <c r="K14" i="17"/>
  <c r="AA14" i="17"/>
  <c r="T14" i="17"/>
  <c r="M14" i="17"/>
  <c r="Y14" i="17"/>
  <c r="F14" i="17"/>
  <c r="R14" i="17"/>
  <c r="Z14" i="17"/>
  <c r="O14" i="17"/>
  <c r="B16" i="17"/>
  <c r="C16" i="17"/>
  <c r="C14" i="17"/>
  <c r="B15" i="17"/>
  <c r="B14" i="17"/>
  <c r="C15" i="17"/>
  <c r="B23" i="16" a="1"/>
  <c r="B23" i="16" s="1"/>
  <c r="B24" i="16" a="1"/>
  <c r="B24" i="16" s="1"/>
  <c r="B25" i="16" a="1"/>
  <c r="B25" i="16" s="1"/>
  <c r="B26" i="16" a="1"/>
  <c r="B26" i="16" s="1"/>
  <c r="B27" i="16" a="1"/>
  <c r="B27" i="16" s="1"/>
  <c r="B28" i="16" a="1"/>
  <c r="B28" i="16" s="1"/>
  <c r="B29" i="16" a="1"/>
  <c r="B29" i="16" s="1"/>
  <c r="B30" i="16" a="1"/>
  <c r="B30" i="16" s="1"/>
  <c r="B31" i="16" a="1"/>
  <c r="B31" i="16" s="1"/>
  <c r="B32" i="16" a="1"/>
  <c r="B32" i="16" s="1"/>
  <c r="B33" i="16" a="1"/>
  <c r="B33" i="16" s="1"/>
  <c r="B34" i="16" a="1"/>
  <c r="B34" i="16" s="1"/>
  <c r="B35" i="16" a="1"/>
  <c r="B35" i="16" s="1"/>
  <c r="B36" i="16" a="1"/>
  <c r="B36" i="16" s="1"/>
  <c r="B37" i="16" a="1"/>
  <c r="B37" i="16" s="1"/>
  <c r="B38" i="16" a="1"/>
  <c r="B38" i="16" s="1"/>
  <c r="B39" i="16" a="1"/>
  <c r="B39" i="16" s="1"/>
  <c r="B40" i="16" a="1"/>
  <c r="B40" i="16" s="1"/>
  <c r="B41" i="16" a="1"/>
  <c r="B41" i="16" s="1"/>
  <c r="B42" i="16" a="1"/>
  <c r="B42" i="16" s="1"/>
  <c r="B43" i="16" a="1"/>
  <c r="B43" i="16" s="1"/>
  <c r="B44" i="16" a="1"/>
  <c r="B44" i="16" s="1"/>
  <c r="B45" i="16" a="1"/>
  <c r="B45" i="16" s="1"/>
  <c r="B46" i="16" a="1"/>
  <c r="B46" i="16" s="1"/>
  <c r="B47" i="16" a="1"/>
  <c r="B47" i="16" s="1"/>
  <c r="B48" i="16" a="1"/>
  <c r="B48" i="16" s="1"/>
  <c r="B49" i="16" a="1"/>
  <c r="B49" i="16" s="1"/>
  <c r="B50" i="16" a="1"/>
  <c r="B50" i="16" s="1"/>
  <c r="B51" i="16" a="1"/>
  <c r="B51" i="16" s="1"/>
  <c r="B52" i="16" a="1"/>
  <c r="B52" i="16" s="1"/>
  <c r="B53" i="16" a="1"/>
  <c r="B53" i="16" s="1"/>
  <c r="B54" i="16" a="1"/>
  <c r="B54" i="16" s="1"/>
  <c r="B55" i="16" a="1"/>
  <c r="B55" i="16" s="1"/>
  <c r="B56" i="16" a="1"/>
  <c r="B56" i="16" s="1"/>
  <c r="B57" i="16" a="1"/>
  <c r="B57" i="16" s="1"/>
  <c r="B58" i="16" a="1"/>
  <c r="B58" i="16" s="1"/>
  <c r="B59" i="16" a="1"/>
  <c r="B59" i="16" s="1"/>
  <c r="B60" i="16" a="1"/>
  <c r="B60" i="16" s="1"/>
  <c r="B61" i="16" a="1"/>
  <c r="B61" i="16" s="1"/>
  <c r="B62" i="16" a="1"/>
  <c r="B62" i="16" s="1"/>
  <c r="B63" i="16" a="1"/>
  <c r="B63" i="16" s="1"/>
  <c r="B64" i="16" a="1"/>
  <c r="B64" i="16" s="1"/>
  <c r="B65" i="16" a="1"/>
  <c r="B65" i="16" s="1"/>
  <c r="B66" i="16" a="1"/>
  <c r="B66" i="16" s="1"/>
  <c r="B67" i="16" a="1"/>
  <c r="B67" i="16" s="1"/>
  <c r="B68" i="16" a="1"/>
  <c r="B68" i="16" s="1"/>
  <c r="B69" i="16" a="1"/>
  <c r="B69" i="16" s="1"/>
  <c r="B70" i="16" a="1"/>
  <c r="B70" i="16" s="1"/>
  <c r="B71" i="16" a="1"/>
  <c r="B71" i="16" s="1"/>
  <c r="B72" i="16" a="1"/>
  <c r="B72" i="16" s="1"/>
  <c r="B73" i="16" a="1"/>
  <c r="B73" i="16" s="1"/>
  <c r="B74" i="16" a="1"/>
  <c r="B74" i="16" s="1"/>
  <c r="B75" i="16" a="1"/>
  <c r="B75" i="16" s="1"/>
  <c r="B76" i="16" a="1"/>
  <c r="B76" i="16" s="1"/>
  <c r="B77" i="16" a="1"/>
  <c r="B77" i="16" s="1"/>
  <c r="B78" i="16" a="1"/>
  <c r="B78" i="16" s="1"/>
  <c r="B79" i="16" a="1"/>
  <c r="B79" i="16" s="1"/>
  <c r="B80" i="16" a="1"/>
  <c r="B80" i="16" s="1"/>
  <c r="B81" i="16" a="1"/>
  <c r="B81" i="16" s="1"/>
  <c r="B82" i="16" a="1"/>
  <c r="B82" i="16" s="1"/>
  <c r="B83" i="16" a="1"/>
  <c r="B83" i="16" s="1"/>
  <c r="B84" i="16" a="1"/>
  <c r="B84" i="16" s="1"/>
  <c r="B85" i="16" a="1"/>
  <c r="B85" i="16" s="1"/>
  <c r="B86" i="16" a="1"/>
  <c r="B86" i="16" s="1"/>
  <c r="B87" i="16" a="1"/>
  <c r="B87" i="16" s="1"/>
  <c r="B88" i="16" a="1"/>
  <c r="B88" i="16" s="1"/>
  <c r="B89" i="16" a="1"/>
  <c r="B89" i="16" s="1"/>
  <c r="B90" i="16" a="1"/>
  <c r="B90" i="16" s="1"/>
  <c r="B91" i="16" a="1"/>
  <c r="B91" i="16" s="1"/>
  <c r="B92" i="16" a="1"/>
  <c r="B92" i="16" s="1"/>
  <c r="B93" i="16" a="1"/>
  <c r="B93" i="16" s="1"/>
  <c r="B94" i="16" a="1"/>
  <c r="B94" i="16" s="1"/>
  <c r="B95" i="16" a="1"/>
  <c r="B95" i="16" s="1"/>
  <c r="B96" i="16" a="1"/>
  <c r="B96" i="16" s="1"/>
  <c r="B97" i="16" a="1"/>
  <c r="B97" i="16" s="1"/>
  <c r="B98" i="16" a="1"/>
  <c r="B98" i="16" s="1"/>
  <c r="B99" i="16" a="1"/>
  <c r="B99" i="16" s="1"/>
  <c r="B100" i="16" a="1"/>
  <c r="B100" i="16" s="1"/>
  <c r="B101" i="16" a="1"/>
  <c r="B101" i="16" s="1"/>
  <c r="B102" i="16" a="1"/>
  <c r="B102" i="16" s="1"/>
  <c r="B103" i="16" a="1"/>
  <c r="B103" i="16" s="1"/>
  <c r="B104" i="16" a="1"/>
  <c r="B104" i="16" s="1"/>
  <c r="B105" i="16" a="1"/>
  <c r="B105" i="16" s="1"/>
  <c r="B106" i="16" a="1"/>
  <c r="B106" i="16" s="1"/>
  <c r="B107" i="16" a="1"/>
  <c r="B107" i="16" s="1"/>
  <c r="B108" i="16" a="1"/>
  <c r="B108" i="16" s="1"/>
  <c r="B109" i="16" a="1"/>
  <c r="B109" i="16" s="1"/>
  <c r="B110" i="16" a="1"/>
  <c r="B110" i="16" s="1"/>
  <c r="B111" i="16" a="1"/>
  <c r="B111" i="16" s="1"/>
  <c r="B112" i="16" a="1"/>
  <c r="B112" i="16" s="1"/>
  <c r="B113" i="16" a="1"/>
  <c r="B113" i="16" s="1"/>
  <c r="B114" i="16" a="1"/>
  <c r="B114" i="16" s="1"/>
  <c r="B115" i="16" a="1"/>
  <c r="B115" i="16" s="1"/>
  <c r="B116" i="16" a="1"/>
  <c r="B116" i="16" s="1"/>
  <c r="B117" i="16" a="1"/>
  <c r="B117" i="16" s="1"/>
  <c r="B118" i="16" a="1"/>
  <c r="B118" i="16" s="1"/>
  <c r="B119" i="16" a="1"/>
  <c r="B119" i="16" s="1"/>
  <c r="B120" i="16" a="1"/>
  <c r="B120" i="16" s="1"/>
  <c r="B121" i="16" a="1"/>
  <c r="B121" i="16" s="1"/>
  <c r="B122" i="16" a="1"/>
  <c r="B122" i="16" s="1"/>
  <c r="B123" i="16" a="1"/>
  <c r="B123" i="16" s="1"/>
  <c r="B124" i="16" a="1"/>
  <c r="B124" i="16" s="1"/>
  <c r="B125" i="16" a="1"/>
  <c r="B125" i="16" s="1"/>
  <c r="B126" i="16" a="1"/>
  <c r="B126" i="16" s="1"/>
  <c r="B127" i="16" a="1"/>
  <c r="B127" i="16" s="1"/>
  <c r="B128" i="16" a="1"/>
  <c r="B128" i="16" s="1"/>
  <c r="B129" i="16" a="1"/>
  <c r="B129" i="16" s="1"/>
  <c r="B130" i="16" a="1"/>
  <c r="B130" i="16" s="1"/>
  <c r="B131" i="16" a="1"/>
  <c r="B131" i="16" s="1"/>
  <c r="B132" i="16" a="1"/>
  <c r="B132" i="16" s="1"/>
  <c r="B133" i="16" a="1"/>
  <c r="B133" i="16" s="1"/>
  <c r="B134" i="16" a="1"/>
  <c r="B134" i="16" s="1"/>
  <c r="B135" i="16" a="1"/>
  <c r="B135" i="16" s="1"/>
  <c r="B136" i="16" a="1"/>
  <c r="B136" i="16" s="1"/>
  <c r="B137" i="16" a="1"/>
  <c r="B137" i="16" s="1"/>
  <c r="B138" i="16" a="1"/>
  <c r="B138" i="16" s="1"/>
  <c r="B139" i="16" a="1"/>
  <c r="B139" i="16" s="1"/>
  <c r="B140" i="16" a="1"/>
  <c r="B140" i="16" s="1"/>
  <c r="B141" i="16" a="1"/>
  <c r="B141" i="16" s="1"/>
  <c r="B142" i="16" a="1"/>
  <c r="B142" i="16" s="1"/>
  <c r="B143" i="16" a="1"/>
  <c r="B143" i="16" s="1"/>
  <c r="B144" i="16" a="1"/>
  <c r="B144" i="16" s="1"/>
  <c r="B145" i="16" a="1"/>
  <c r="B145" i="16" s="1"/>
  <c r="B146" i="16" a="1"/>
  <c r="B146" i="16" s="1"/>
  <c r="B147" i="16" a="1"/>
  <c r="B147" i="16" s="1"/>
  <c r="B148" i="16" a="1"/>
  <c r="B148" i="16" s="1"/>
  <c r="B149" i="16" a="1"/>
  <c r="B149" i="16" s="1"/>
  <c r="B150" i="16" a="1"/>
  <c r="B150" i="16" s="1"/>
  <c r="B151" i="16" a="1"/>
  <c r="B151" i="16" s="1"/>
  <c r="B152" i="16" a="1"/>
  <c r="B152" i="16" s="1"/>
  <c r="B153" i="16" a="1"/>
  <c r="B153" i="16" s="1"/>
  <c r="B154" i="16" a="1"/>
  <c r="B154" i="16" s="1"/>
  <c r="B155" i="16" a="1"/>
  <c r="B155" i="16" s="1"/>
  <c r="B156" i="16" a="1"/>
  <c r="B156" i="16" s="1"/>
  <c r="B157" i="16" a="1"/>
  <c r="B157" i="16" s="1"/>
  <c r="B158" i="16" a="1"/>
  <c r="B158" i="16" s="1"/>
  <c r="B159" i="16" a="1"/>
  <c r="B159" i="16" s="1"/>
  <c r="B160" i="16" a="1"/>
  <c r="B160" i="16" s="1"/>
  <c r="B161" i="16" a="1"/>
  <c r="B161" i="16" s="1"/>
  <c r="B162" i="16" a="1"/>
  <c r="B162" i="16" s="1"/>
  <c r="B163" i="16" a="1"/>
  <c r="B163" i="16" s="1"/>
  <c r="B164" i="16" a="1"/>
  <c r="B164" i="16" s="1"/>
  <c r="B165" i="16" a="1"/>
  <c r="B165" i="16" s="1"/>
  <c r="B166" i="16" a="1"/>
  <c r="B166" i="16" s="1"/>
  <c r="B167" i="16" a="1"/>
  <c r="B167" i="16" s="1"/>
  <c r="B168" i="16" a="1"/>
  <c r="B168" i="16" s="1"/>
  <c r="B169" i="16" a="1"/>
  <c r="B169" i="16" s="1"/>
  <c r="B170" i="16" a="1"/>
  <c r="B170" i="16" s="1"/>
  <c r="B171" i="16" a="1"/>
  <c r="B171" i="16" s="1"/>
  <c r="B172" i="16" a="1"/>
  <c r="B172" i="16" s="1"/>
  <c r="B173" i="16" a="1"/>
  <c r="B173" i="16" s="1"/>
  <c r="B174" i="16" a="1"/>
  <c r="B174" i="16" s="1"/>
  <c r="B175" i="16" a="1"/>
  <c r="B175" i="16" s="1"/>
  <c r="B176" i="16" a="1"/>
  <c r="B176" i="16" s="1"/>
  <c r="B177" i="16" a="1"/>
  <c r="B177" i="16" s="1"/>
  <c r="B178" i="16" a="1"/>
  <c r="B178" i="16" s="1"/>
  <c r="B179" i="16" a="1"/>
  <c r="B179" i="16" s="1"/>
  <c r="B180" i="16" a="1"/>
  <c r="B180" i="16" s="1"/>
  <c r="B181" i="16" a="1"/>
  <c r="B181" i="16" s="1"/>
  <c r="B182" i="16" a="1"/>
  <c r="B182" i="16" s="1"/>
  <c r="B183" i="16" a="1"/>
  <c r="B183" i="16" s="1"/>
  <c r="B184" i="16" a="1"/>
  <c r="B184" i="16" s="1"/>
  <c r="B185" i="16" a="1"/>
  <c r="B185" i="16" s="1"/>
  <c r="B186" i="16" a="1"/>
  <c r="B186" i="16" s="1"/>
  <c r="B187" i="16" a="1"/>
  <c r="B187" i="16" s="1"/>
  <c r="B188" i="16" a="1"/>
  <c r="B188" i="16" s="1"/>
  <c r="B189" i="16" a="1"/>
  <c r="B189" i="16" s="1"/>
  <c r="B190" i="16" a="1"/>
  <c r="B190" i="16" s="1"/>
  <c r="B191" i="16" a="1"/>
  <c r="B191" i="16" s="1"/>
  <c r="B192" i="16" a="1"/>
  <c r="B192" i="16" s="1"/>
  <c r="B193" i="16" a="1"/>
  <c r="B193" i="16" s="1"/>
  <c r="B194" i="16" a="1"/>
  <c r="B194" i="16" s="1"/>
  <c r="B195" i="16" a="1"/>
  <c r="B195" i="16" s="1"/>
  <c r="B196" i="16" a="1"/>
  <c r="B196" i="16" s="1"/>
  <c r="B197" i="16" a="1"/>
  <c r="B197" i="16" s="1"/>
  <c r="B198" i="16" a="1"/>
  <c r="B198" i="16" s="1"/>
  <c r="B199" i="16" a="1"/>
  <c r="B199" i="16" s="1"/>
  <c r="B200" i="16" a="1"/>
  <c r="B200" i="16" s="1"/>
  <c r="BN9" i="24" l="1" a="1"/>
  <c r="BN9" i="24" s="1"/>
  <c r="BK12" i="24" a="1"/>
  <c r="BK12" i="24" s="1"/>
  <c r="BK13" i="24" s="1" a="1"/>
  <c r="BK13" i="24" s="1"/>
  <c r="BH11" i="24" a="1"/>
  <c r="BH11" i="24" s="1"/>
  <c r="BH12" i="24" s="1" a="1"/>
  <c r="BH12" i="24" s="1"/>
  <c r="BH13" i="24" s="1" a="1"/>
  <c r="BH13" i="24" s="1"/>
  <c r="BH14" i="24" s="1" a="1"/>
  <c r="BH14" i="24" s="1"/>
  <c r="BH15" i="24" s="1" a="1"/>
  <c r="BH15" i="24" s="1"/>
  <c r="BH16" i="24" s="1" a="1"/>
  <c r="BH16" i="24" s="1"/>
  <c r="BH17" i="24" s="1" a="1"/>
  <c r="BH17" i="24" s="1"/>
  <c r="BH18" i="24" s="1" a="1"/>
  <c r="BH18" i="24" s="1"/>
  <c r="BH19" i="24" s="1" a="1"/>
  <c r="BH19" i="24" s="1"/>
  <c r="BH20" i="24" s="1" a="1"/>
  <c r="BH20" i="24" s="1"/>
  <c r="BH21" i="24" s="1" a="1"/>
  <c r="BH21" i="24" s="1"/>
  <c r="BH22" i="24" s="1" a="1"/>
  <c r="BH22" i="24" s="1"/>
  <c r="BB11" i="24" a="1"/>
  <c r="BB11" i="24" s="1"/>
  <c r="BB12" i="24" s="1" a="1"/>
  <c r="BB12" i="24" s="1"/>
  <c r="BB13" i="24" s="1" a="1"/>
  <c r="BB13" i="24" s="1"/>
  <c r="AY13" i="24" a="1"/>
  <c r="AY13" i="24" s="1"/>
  <c r="AY14" i="24" s="1" a="1"/>
  <c r="AY14" i="24" s="1"/>
  <c r="AY15" i="24" s="1" a="1"/>
  <c r="AY15" i="24" s="1"/>
  <c r="AY16" i="24" s="1" a="1"/>
  <c r="AY16" i="24" s="1"/>
  <c r="AY17" i="24" s="1" a="1"/>
  <c r="AY17" i="24" s="1"/>
  <c r="AY18" i="24" s="1" a="1"/>
  <c r="AY18" i="24" s="1"/>
  <c r="AY19" i="24" s="1" a="1"/>
  <c r="AY19" i="24" s="1"/>
  <c r="AY20" i="24" s="1" a="1"/>
  <c r="AY20" i="24" s="1"/>
  <c r="AY21" i="24" s="1" a="1"/>
  <c r="AY21" i="24" s="1"/>
  <c r="AY22" i="24" s="1" a="1"/>
  <c r="AY22" i="24" s="1"/>
  <c r="AY23" i="24" s="1" a="1"/>
  <c r="AY23" i="24" s="1"/>
  <c r="AY24" i="24" s="1" a="1"/>
  <c r="AY24" i="24" s="1"/>
  <c r="AY25" i="24" s="1" a="1"/>
  <c r="AY25" i="24" s="1"/>
  <c r="AY26" i="24" s="1" a="1"/>
  <c r="AY26" i="24" s="1"/>
  <c r="AY27" i="24" s="1" a="1"/>
  <c r="AY27" i="24" s="1"/>
  <c r="AY28" i="24" s="1" a="1"/>
  <c r="AY28" i="24" s="1"/>
  <c r="AY29" i="24" s="1" a="1"/>
  <c r="AY29" i="24" s="1"/>
  <c r="AY30" i="24" s="1" a="1"/>
  <c r="AY30" i="24" s="1"/>
  <c r="AY31" i="24" s="1" a="1"/>
  <c r="AY31" i="24" s="1"/>
  <c r="AY32" i="24" s="1" a="1"/>
  <c r="AY32" i="24" s="1"/>
  <c r="AY33" i="24" s="1" a="1"/>
  <c r="AY33" i="24" s="1"/>
  <c r="AY34" i="24" s="1" a="1"/>
  <c r="AY34" i="24" s="1"/>
  <c r="AY35" i="24" s="1" a="1"/>
  <c r="AY35" i="24" s="1"/>
  <c r="AY36" i="24" s="1" a="1"/>
  <c r="AY36" i="24" s="1"/>
  <c r="AY37" i="24" s="1" a="1"/>
  <c r="AY37" i="24" s="1"/>
  <c r="AY38" i="24" s="1" a="1"/>
  <c r="AY38" i="24" s="1"/>
  <c r="AY39" i="24" s="1" a="1"/>
  <c r="AY39" i="24" s="1"/>
  <c r="AY40" i="24" s="1" a="1"/>
  <c r="AY40" i="24" s="1"/>
  <c r="AV11" i="24" a="1"/>
  <c r="AV11" i="24" s="1"/>
  <c r="AV12" i="24" s="1" a="1"/>
  <c r="AV12" i="24" s="1"/>
  <c r="AV13" i="24" s="1" a="1"/>
  <c r="AV13" i="24" s="1"/>
  <c r="AV14" i="24" s="1" a="1"/>
  <c r="AV14" i="24" s="1"/>
  <c r="AV15" i="24" s="1" a="1"/>
  <c r="AV15" i="24" s="1"/>
  <c r="AV16" i="24" s="1" a="1"/>
  <c r="AV16" i="24" s="1"/>
  <c r="AV17" i="24" s="1" a="1"/>
  <c r="AV17" i="24" s="1"/>
  <c r="AV18" i="24" s="1" a="1"/>
  <c r="AV18" i="24" s="1"/>
  <c r="AV19" i="24" s="1" a="1"/>
  <c r="AV19" i="24" s="1"/>
  <c r="AV20" i="24" s="1" a="1"/>
  <c r="AV20" i="24" s="1"/>
  <c r="AV21" i="24" s="1" a="1"/>
  <c r="AV21" i="24" s="1"/>
  <c r="AV22" i="24" s="1" a="1"/>
  <c r="AV22" i="24" s="1"/>
  <c r="AV23" i="24" s="1" a="1"/>
  <c r="AV23" i="24" s="1"/>
  <c r="AV24" i="24" s="1" a="1"/>
  <c r="AV24" i="24" s="1"/>
  <c r="AV25" i="24" s="1" a="1"/>
  <c r="AV25" i="24" s="1"/>
  <c r="AV26" i="24" s="1" a="1"/>
  <c r="AV26" i="24" s="1"/>
  <c r="AV27" i="24" s="1" a="1"/>
  <c r="AV27" i="24" s="1"/>
  <c r="AV28" i="24" s="1" a="1"/>
  <c r="AV28" i="24" s="1"/>
  <c r="AV29" i="24" s="1" a="1"/>
  <c r="AV29" i="24" s="1"/>
  <c r="AV30" i="24" s="1" a="1"/>
  <c r="AV30" i="24" s="1"/>
  <c r="AV31" i="24" s="1" a="1"/>
  <c r="AV31" i="24" s="1"/>
  <c r="AV32" i="24" s="1" a="1"/>
  <c r="AV32" i="24" s="1"/>
  <c r="AV33" i="24" s="1" a="1"/>
  <c r="AV33" i="24" s="1"/>
  <c r="AV34" i="24" s="1" a="1"/>
  <c r="AV34" i="24" s="1"/>
  <c r="AV35" i="24" s="1" a="1"/>
  <c r="AV35" i="24" s="1"/>
  <c r="AV36" i="24" s="1" a="1"/>
  <c r="AV36" i="24" s="1"/>
  <c r="AV37" i="24" s="1" a="1"/>
  <c r="AV37" i="24" s="1"/>
  <c r="AV38" i="24" s="1" a="1"/>
  <c r="AV38" i="24" s="1"/>
  <c r="AV39" i="24" s="1" a="1"/>
  <c r="AV39" i="24" s="1"/>
  <c r="AV40" i="24" s="1" a="1"/>
  <c r="AV40" i="24" s="1"/>
  <c r="AS10" i="24" a="1"/>
  <c r="AS10" i="24" s="1"/>
  <c r="AS11" i="24" s="1" a="1"/>
  <c r="AS11" i="24" s="1"/>
  <c r="AP11" i="24" a="1"/>
  <c r="AP11" i="24" s="1"/>
  <c r="AP12" i="24" s="1" a="1"/>
  <c r="AP12" i="24" s="1"/>
  <c r="AP13" i="24" s="1" a="1"/>
  <c r="AP13" i="24" s="1"/>
  <c r="AP14" i="24" s="1" a="1"/>
  <c r="AP14" i="24" s="1"/>
  <c r="AP15" i="24" s="1" a="1"/>
  <c r="AP15" i="24" s="1"/>
  <c r="AP16" i="24" s="1" a="1"/>
  <c r="AP16" i="24" s="1"/>
  <c r="AP17" i="24" s="1" a="1"/>
  <c r="AP17" i="24" s="1"/>
  <c r="AP18" i="24" s="1" a="1"/>
  <c r="AP18" i="24" s="1"/>
  <c r="AP19" i="24" s="1" a="1"/>
  <c r="AP19" i="24" s="1"/>
  <c r="AP20" i="24" s="1" a="1"/>
  <c r="AP20" i="24" s="1"/>
  <c r="AP21" i="24" s="1" a="1"/>
  <c r="AP21" i="24" s="1"/>
  <c r="AP22" i="24" s="1" a="1"/>
  <c r="AP22" i="24" s="1"/>
  <c r="AP23" i="24" s="1" a="1"/>
  <c r="AP23" i="24" s="1"/>
  <c r="AP24" i="24" s="1" a="1"/>
  <c r="AP24" i="24" s="1"/>
  <c r="AP25" i="24" s="1" a="1"/>
  <c r="AP25" i="24" s="1"/>
  <c r="AP26" i="24" s="1" a="1"/>
  <c r="AP26" i="24" s="1"/>
  <c r="AP27" i="24" s="1" a="1"/>
  <c r="AP27" i="24" s="1"/>
  <c r="AP28" i="24" s="1" a="1"/>
  <c r="AP28" i="24" s="1"/>
  <c r="AP29" i="24" s="1" a="1"/>
  <c r="AP29" i="24" s="1"/>
  <c r="AP30" i="24" s="1" a="1"/>
  <c r="AP30" i="24" s="1"/>
  <c r="AP31" i="24" s="1" a="1"/>
  <c r="AP31" i="24" s="1"/>
  <c r="AP32" i="24" s="1" a="1"/>
  <c r="AP32" i="24" s="1"/>
  <c r="AP33" i="24" s="1" a="1"/>
  <c r="AP33" i="24" s="1"/>
  <c r="AP34" i="24" s="1" a="1"/>
  <c r="AP34" i="24" s="1"/>
  <c r="AP35" i="24" s="1" a="1"/>
  <c r="AP35" i="24" s="1"/>
  <c r="AP36" i="24" s="1" a="1"/>
  <c r="AP36" i="24" s="1"/>
  <c r="AP37" i="24" s="1" a="1"/>
  <c r="AP37" i="24" s="1"/>
  <c r="AP38" i="24" s="1" a="1"/>
  <c r="AP38" i="24" s="1"/>
  <c r="AP39" i="24" s="1" a="1"/>
  <c r="AP39" i="24" s="1"/>
  <c r="AP40" i="24" s="1" a="1"/>
  <c r="AP40" i="24" s="1"/>
  <c r="AM11" i="24" a="1"/>
  <c r="AM11" i="24" s="1"/>
  <c r="T15" i="24" a="1"/>
  <c r="T15" i="24" s="1"/>
  <c r="U14" i="24"/>
  <c r="H15" i="28" a="1"/>
  <c r="H15" i="28" s="1"/>
  <c r="L14" i="28"/>
  <c r="F178" i="16"/>
  <c r="H178" i="16"/>
  <c r="J178" i="16"/>
  <c r="F46" i="16"/>
  <c r="H46" i="16"/>
  <c r="J46" i="16"/>
  <c r="H93" i="16"/>
  <c r="J93" i="16"/>
  <c r="F93" i="16"/>
  <c r="H200" i="16"/>
  <c r="F200" i="16"/>
  <c r="J200" i="16"/>
  <c r="F188" i="16"/>
  <c r="J188" i="16"/>
  <c r="H188" i="16"/>
  <c r="L176" i="16"/>
  <c r="F176" i="16"/>
  <c r="J176" i="16"/>
  <c r="H176" i="16"/>
  <c r="H164" i="16"/>
  <c r="F164" i="16"/>
  <c r="J164" i="16"/>
  <c r="F152" i="16"/>
  <c r="J152" i="16"/>
  <c r="H152" i="16"/>
  <c r="H140" i="16"/>
  <c r="F140" i="16"/>
  <c r="J140" i="16"/>
  <c r="F128" i="16"/>
  <c r="J128" i="16"/>
  <c r="H128" i="16"/>
  <c r="F116" i="16"/>
  <c r="J116" i="16"/>
  <c r="H116" i="16"/>
  <c r="H104" i="16"/>
  <c r="F104" i="16"/>
  <c r="J104" i="16"/>
  <c r="H92" i="16"/>
  <c r="F92" i="16"/>
  <c r="J92" i="16"/>
  <c r="H80" i="16"/>
  <c r="F80" i="16"/>
  <c r="J80" i="16"/>
  <c r="H68" i="16"/>
  <c r="F68" i="16"/>
  <c r="J68" i="16"/>
  <c r="L56" i="16"/>
  <c r="F56" i="16"/>
  <c r="J56" i="16"/>
  <c r="H56" i="16"/>
  <c r="L44" i="16"/>
  <c r="F44" i="16"/>
  <c r="J44" i="16"/>
  <c r="H44" i="16"/>
  <c r="H32" i="16"/>
  <c r="F32" i="16"/>
  <c r="J32" i="16"/>
  <c r="F106" i="16"/>
  <c r="H106" i="16"/>
  <c r="J106" i="16"/>
  <c r="H165" i="16"/>
  <c r="J165" i="16"/>
  <c r="F165" i="16"/>
  <c r="H57" i="16"/>
  <c r="J57" i="16"/>
  <c r="F57" i="16"/>
  <c r="H199" i="16"/>
  <c r="F199" i="16"/>
  <c r="J199" i="16"/>
  <c r="F187" i="16"/>
  <c r="J187" i="16"/>
  <c r="H187" i="16"/>
  <c r="H175" i="16"/>
  <c r="F175" i="16"/>
  <c r="J175" i="16"/>
  <c r="H163" i="16"/>
  <c r="F163" i="16"/>
  <c r="J163" i="16"/>
  <c r="H151" i="16"/>
  <c r="F151" i="16"/>
  <c r="J151" i="16"/>
  <c r="H139" i="16"/>
  <c r="F139" i="16"/>
  <c r="J139" i="16"/>
  <c r="H127" i="16"/>
  <c r="F127" i="16"/>
  <c r="J127" i="16"/>
  <c r="L115" i="16"/>
  <c r="H115" i="16"/>
  <c r="F115" i="16"/>
  <c r="J115" i="16"/>
  <c r="H103" i="16"/>
  <c r="F103" i="16"/>
  <c r="J103" i="16"/>
  <c r="H91" i="16"/>
  <c r="F91" i="16"/>
  <c r="J91" i="16"/>
  <c r="H79" i="16"/>
  <c r="F79" i="16"/>
  <c r="J79" i="16"/>
  <c r="H67" i="16"/>
  <c r="F67" i="16"/>
  <c r="J67" i="16"/>
  <c r="H55" i="16"/>
  <c r="F55" i="16"/>
  <c r="J55" i="16"/>
  <c r="H43" i="16"/>
  <c r="F43" i="16"/>
  <c r="J43" i="16"/>
  <c r="H31" i="16"/>
  <c r="F31" i="16"/>
  <c r="J31" i="16"/>
  <c r="F94" i="16"/>
  <c r="H94" i="16"/>
  <c r="J94" i="16"/>
  <c r="H153" i="16"/>
  <c r="J153" i="16"/>
  <c r="F153" i="16"/>
  <c r="H45" i="16"/>
  <c r="J45" i="16"/>
  <c r="F45" i="16"/>
  <c r="F198" i="16"/>
  <c r="H198" i="16"/>
  <c r="J198" i="16"/>
  <c r="F186" i="16"/>
  <c r="H186" i="16"/>
  <c r="J186" i="16"/>
  <c r="L174" i="16"/>
  <c r="F174" i="16"/>
  <c r="H174" i="16"/>
  <c r="J174" i="16"/>
  <c r="L162" i="16"/>
  <c r="F162" i="16"/>
  <c r="H162" i="16"/>
  <c r="J162" i="16"/>
  <c r="L150" i="16"/>
  <c r="F150" i="16"/>
  <c r="H150" i="16"/>
  <c r="J150" i="16"/>
  <c r="F138" i="16"/>
  <c r="H138" i="16"/>
  <c r="J138" i="16"/>
  <c r="F126" i="16"/>
  <c r="H126" i="16"/>
  <c r="J126" i="16"/>
  <c r="F114" i="16"/>
  <c r="H114" i="16"/>
  <c r="J114" i="16"/>
  <c r="F102" i="16"/>
  <c r="H102" i="16"/>
  <c r="J102" i="16"/>
  <c r="L90" i="16"/>
  <c r="F90" i="16"/>
  <c r="H90" i="16"/>
  <c r="J90" i="16"/>
  <c r="L78" i="16"/>
  <c r="F78" i="16"/>
  <c r="H78" i="16"/>
  <c r="J78" i="16"/>
  <c r="F66" i="16"/>
  <c r="H66" i="16"/>
  <c r="J66" i="16"/>
  <c r="L54" i="16"/>
  <c r="F54" i="16"/>
  <c r="H54" i="16"/>
  <c r="J54" i="16"/>
  <c r="F42" i="16"/>
  <c r="H42" i="16"/>
  <c r="J42" i="16"/>
  <c r="F30" i="16"/>
  <c r="H30" i="16"/>
  <c r="J30" i="16"/>
  <c r="F82" i="16"/>
  <c r="H82" i="16"/>
  <c r="J82" i="16"/>
  <c r="H141" i="16"/>
  <c r="J141" i="16"/>
  <c r="F141" i="16"/>
  <c r="H33" i="16"/>
  <c r="J33" i="16"/>
  <c r="F33" i="16"/>
  <c r="H185" i="16"/>
  <c r="J185" i="16"/>
  <c r="F185" i="16"/>
  <c r="H173" i="16"/>
  <c r="J173" i="16"/>
  <c r="F173" i="16"/>
  <c r="H161" i="16"/>
  <c r="J161" i="16"/>
  <c r="F161" i="16"/>
  <c r="H149" i="16"/>
  <c r="J149" i="16"/>
  <c r="F149" i="16"/>
  <c r="H137" i="16"/>
  <c r="J137" i="16"/>
  <c r="F137" i="16"/>
  <c r="H125" i="16"/>
  <c r="J125" i="16"/>
  <c r="F125" i="16"/>
  <c r="L113" i="16"/>
  <c r="H113" i="16"/>
  <c r="J113" i="16"/>
  <c r="F113" i="16"/>
  <c r="H101" i="16"/>
  <c r="J101" i="16"/>
  <c r="F101" i="16"/>
  <c r="H89" i="16"/>
  <c r="J89" i="16"/>
  <c r="F89" i="16"/>
  <c r="H77" i="16"/>
  <c r="J77" i="16"/>
  <c r="F77" i="16"/>
  <c r="H65" i="16"/>
  <c r="J65" i="16"/>
  <c r="F65" i="16"/>
  <c r="H53" i="16"/>
  <c r="J53" i="16"/>
  <c r="F53" i="16"/>
  <c r="H41" i="16"/>
  <c r="J41" i="16"/>
  <c r="F41" i="16"/>
  <c r="H29" i="16"/>
  <c r="J29" i="16"/>
  <c r="F29" i="16"/>
  <c r="F142" i="16"/>
  <c r="H142" i="16"/>
  <c r="J142" i="16"/>
  <c r="H189" i="16"/>
  <c r="J189" i="16"/>
  <c r="F189" i="16"/>
  <c r="H69" i="16"/>
  <c r="J69" i="16"/>
  <c r="F69" i="16"/>
  <c r="H196" i="16"/>
  <c r="F196" i="16"/>
  <c r="J196" i="16"/>
  <c r="H184" i="16"/>
  <c r="F184" i="16"/>
  <c r="J184" i="16"/>
  <c r="H172" i="16"/>
  <c r="F172" i="16"/>
  <c r="J172" i="16"/>
  <c r="H160" i="16"/>
  <c r="F160" i="16"/>
  <c r="J160" i="16"/>
  <c r="F148" i="16"/>
  <c r="J148" i="16"/>
  <c r="H148" i="16"/>
  <c r="H136" i="16"/>
  <c r="F136" i="16"/>
  <c r="J136" i="16"/>
  <c r="H124" i="16"/>
  <c r="F124" i="16"/>
  <c r="J124" i="16"/>
  <c r="H112" i="16"/>
  <c r="F112" i="16"/>
  <c r="J112" i="16"/>
  <c r="F100" i="16"/>
  <c r="J100" i="16"/>
  <c r="H100" i="16"/>
  <c r="H88" i="16"/>
  <c r="F88" i="16"/>
  <c r="J88" i="16"/>
  <c r="H76" i="16"/>
  <c r="F76" i="16"/>
  <c r="J76" i="16"/>
  <c r="H64" i="16"/>
  <c r="F64" i="16"/>
  <c r="J64" i="16"/>
  <c r="H52" i="16"/>
  <c r="F52" i="16"/>
  <c r="J52" i="16"/>
  <c r="H40" i="16"/>
  <c r="F40" i="16"/>
  <c r="J40" i="16"/>
  <c r="L28" i="16"/>
  <c r="H28" i="16"/>
  <c r="F28" i="16"/>
  <c r="J28" i="16"/>
  <c r="F190" i="16"/>
  <c r="H190" i="16"/>
  <c r="J190" i="16"/>
  <c r="F70" i="16"/>
  <c r="H70" i="16"/>
  <c r="J70" i="16"/>
  <c r="H117" i="16"/>
  <c r="J117" i="16"/>
  <c r="F117" i="16"/>
  <c r="H197" i="16"/>
  <c r="J197" i="16"/>
  <c r="F197" i="16"/>
  <c r="H183" i="16"/>
  <c r="F183" i="16"/>
  <c r="J183" i="16"/>
  <c r="H171" i="16"/>
  <c r="F171" i="16"/>
  <c r="J171" i="16"/>
  <c r="H159" i="16"/>
  <c r="F159" i="16"/>
  <c r="J159" i="16"/>
  <c r="H147" i="16"/>
  <c r="F147" i="16"/>
  <c r="J147" i="16"/>
  <c r="H135" i="16"/>
  <c r="F135" i="16"/>
  <c r="J135" i="16"/>
  <c r="H123" i="16"/>
  <c r="F123" i="16"/>
  <c r="J123" i="16"/>
  <c r="H111" i="16"/>
  <c r="F111" i="16"/>
  <c r="J111" i="16"/>
  <c r="H99" i="16"/>
  <c r="F99" i="16"/>
  <c r="J99" i="16"/>
  <c r="H87" i="16"/>
  <c r="F87" i="16"/>
  <c r="J87" i="16"/>
  <c r="H75" i="16"/>
  <c r="F75" i="16"/>
  <c r="J75" i="16"/>
  <c r="H63" i="16"/>
  <c r="F63" i="16"/>
  <c r="J63" i="16"/>
  <c r="H51" i="16"/>
  <c r="F51" i="16"/>
  <c r="J51" i="16"/>
  <c r="H39" i="16"/>
  <c r="F39" i="16"/>
  <c r="J39" i="16"/>
  <c r="H27" i="16"/>
  <c r="F27" i="16"/>
  <c r="J27" i="16"/>
  <c r="F166" i="16"/>
  <c r="H166" i="16"/>
  <c r="J166" i="16"/>
  <c r="F58" i="16"/>
  <c r="H58" i="16"/>
  <c r="J58" i="16"/>
  <c r="H105" i="16"/>
  <c r="J105" i="16"/>
  <c r="F105" i="16"/>
  <c r="H195" i="16"/>
  <c r="F195" i="16"/>
  <c r="J195" i="16"/>
  <c r="F194" i="16"/>
  <c r="H194" i="16"/>
  <c r="J194" i="16"/>
  <c r="F182" i="16"/>
  <c r="H182" i="16"/>
  <c r="J182" i="16"/>
  <c r="F170" i="16"/>
  <c r="H170" i="16"/>
  <c r="J170" i="16"/>
  <c r="F158" i="16"/>
  <c r="H158" i="16"/>
  <c r="J158" i="16"/>
  <c r="F146" i="16"/>
  <c r="H146" i="16"/>
  <c r="J146" i="16"/>
  <c r="F134" i="16"/>
  <c r="H134" i="16"/>
  <c r="J134" i="16"/>
  <c r="F122" i="16"/>
  <c r="H122" i="16"/>
  <c r="J122" i="16"/>
  <c r="F110" i="16"/>
  <c r="H110" i="16"/>
  <c r="J110" i="16"/>
  <c r="F98" i="16"/>
  <c r="H98" i="16"/>
  <c r="J98" i="16"/>
  <c r="F86" i="16"/>
  <c r="H86" i="16"/>
  <c r="J86" i="16"/>
  <c r="F74" i="16"/>
  <c r="H74" i="16"/>
  <c r="J74" i="16"/>
  <c r="L62" i="16"/>
  <c r="F62" i="16"/>
  <c r="H62" i="16"/>
  <c r="J62" i="16"/>
  <c r="L50" i="16"/>
  <c r="F50" i="16"/>
  <c r="H50" i="16"/>
  <c r="J50" i="16"/>
  <c r="F38" i="16"/>
  <c r="H38" i="16"/>
  <c r="J38" i="16"/>
  <c r="F26" i="16"/>
  <c r="H26" i="16"/>
  <c r="J26" i="16"/>
  <c r="F118" i="16"/>
  <c r="H118" i="16"/>
  <c r="J118" i="16"/>
  <c r="H22" i="16"/>
  <c r="F22" i="16"/>
  <c r="J22" i="16"/>
  <c r="H81" i="16"/>
  <c r="J81" i="16"/>
  <c r="F81" i="16"/>
  <c r="H193" i="16"/>
  <c r="J193" i="16"/>
  <c r="F193" i="16"/>
  <c r="H181" i="16"/>
  <c r="J181" i="16"/>
  <c r="F181" i="16"/>
  <c r="L169" i="16"/>
  <c r="H169" i="16"/>
  <c r="J169" i="16"/>
  <c r="F169" i="16"/>
  <c r="H157" i="16"/>
  <c r="J157" i="16"/>
  <c r="F157" i="16"/>
  <c r="H145" i="16"/>
  <c r="J145" i="16"/>
  <c r="F145" i="16"/>
  <c r="H133" i="16"/>
  <c r="J133" i="16"/>
  <c r="F133" i="16"/>
  <c r="H121" i="16"/>
  <c r="J121" i="16"/>
  <c r="F121" i="16"/>
  <c r="H109" i="16"/>
  <c r="J109" i="16"/>
  <c r="F109" i="16"/>
  <c r="H97" i="16"/>
  <c r="J97" i="16"/>
  <c r="F97" i="16"/>
  <c r="H85" i="16"/>
  <c r="J85" i="16"/>
  <c r="F85" i="16"/>
  <c r="H73" i="16"/>
  <c r="J73" i="16"/>
  <c r="F73" i="16"/>
  <c r="H61" i="16"/>
  <c r="J61" i="16"/>
  <c r="F61" i="16"/>
  <c r="H49" i="16"/>
  <c r="J49" i="16"/>
  <c r="F49" i="16"/>
  <c r="H37" i="16"/>
  <c r="J37" i="16"/>
  <c r="F37" i="16"/>
  <c r="H25" i="16"/>
  <c r="J25" i="16"/>
  <c r="F25" i="16"/>
  <c r="F154" i="16"/>
  <c r="H154" i="16"/>
  <c r="J154" i="16"/>
  <c r="F34" i="16"/>
  <c r="H34" i="16"/>
  <c r="J34" i="16"/>
  <c r="H129" i="16"/>
  <c r="J129" i="16"/>
  <c r="F129" i="16"/>
  <c r="H180" i="16"/>
  <c r="F180" i="16"/>
  <c r="J180" i="16"/>
  <c r="F168" i="16"/>
  <c r="J168" i="16"/>
  <c r="H168" i="16"/>
  <c r="H156" i="16"/>
  <c r="F156" i="16"/>
  <c r="J156" i="16"/>
  <c r="H144" i="16"/>
  <c r="F144" i="16"/>
  <c r="J144" i="16"/>
  <c r="F132" i="16"/>
  <c r="J132" i="16"/>
  <c r="H132" i="16"/>
  <c r="H120" i="16"/>
  <c r="F120" i="16"/>
  <c r="J120" i="16"/>
  <c r="H108" i="16"/>
  <c r="F108" i="16"/>
  <c r="J108" i="16"/>
  <c r="F96" i="16"/>
  <c r="J96" i="16"/>
  <c r="H96" i="16"/>
  <c r="H84" i="16"/>
  <c r="F84" i="16"/>
  <c r="J84" i="16"/>
  <c r="F72" i="16"/>
  <c r="J72" i="16"/>
  <c r="H72" i="16"/>
  <c r="H60" i="16"/>
  <c r="F60" i="16"/>
  <c r="J60" i="16"/>
  <c r="H48" i="16"/>
  <c r="F48" i="16"/>
  <c r="J48" i="16"/>
  <c r="F36" i="16"/>
  <c r="J36" i="16"/>
  <c r="H36" i="16"/>
  <c r="F24" i="16"/>
  <c r="H24" i="16"/>
  <c r="J24" i="16"/>
  <c r="F130" i="16"/>
  <c r="H130" i="16"/>
  <c r="J130" i="16"/>
  <c r="H177" i="16"/>
  <c r="J177" i="16"/>
  <c r="F177" i="16"/>
  <c r="H192" i="16"/>
  <c r="F192" i="16"/>
  <c r="J192" i="16"/>
  <c r="H191" i="16"/>
  <c r="F191" i="16"/>
  <c r="J191" i="16"/>
  <c r="H179" i="16"/>
  <c r="F179" i="16"/>
  <c r="J179" i="16"/>
  <c r="H167" i="16"/>
  <c r="F167" i="16"/>
  <c r="J167" i="16"/>
  <c r="H155" i="16"/>
  <c r="F155" i="16"/>
  <c r="J155" i="16"/>
  <c r="L143" i="16"/>
  <c r="H143" i="16"/>
  <c r="F143" i="16"/>
  <c r="J143" i="16"/>
  <c r="H131" i="16"/>
  <c r="F131" i="16"/>
  <c r="J131" i="16"/>
  <c r="H119" i="16"/>
  <c r="F119" i="16"/>
  <c r="J119" i="16"/>
  <c r="H107" i="16"/>
  <c r="F107" i="16"/>
  <c r="J107" i="16"/>
  <c r="H95" i="16"/>
  <c r="F95" i="16"/>
  <c r="J95" i="16"/>
  <c r="H83" i="16"/>
  <c r="F83" i="16"/>
  <c r="J83" i="16"/>
  <c r="H71" i="16"/>
  <c r="F71" i="16"/>
  <c r="J71" i="16"/>
  <c r="H59" i="16"/>
  <c r="F59" i="16"/>
  <c r="J59" i="16"/>
  <c r="H47" i="16"/>
  <c r="F47" i="16"/>
  <c r="J47" i="16"/>
  <c r="H35" i="16"/>
  <c r="F35" i="16"/>
  <c r="J35" i="16"/>
  <c r="F23" i="16"/>
  <c r="H23" i="16"/>
  <c r="J23" i="16"/>
  <c r="L200" i="16"/>
  <c r="L104" i="16"/>
  <c r="L66" i="16"/>
  <c r="L42" i="16"/>
  <c r="L30" i="16"/>
  <c r="L138" i="16"/>
  <c r="L126" i="16"/>
  <c r="L125" i="16"/>
  <c r="L163" i="16"/>
  <c r="L151" i="16"/>
  <c r="L39" i="16"/>
  <c r="L110" i="16"/>
  <c r="L188" i="16"/>
  <c r="L164" i="16"/>
  <c r="L97" i="16"/>
  <c r="L85" i="16"/>
  <c r="L25" i="16"/>
  <c r="L156" i="16"/>
  <c r="L144" i="16"/>
  <c r="L120" i="16"/>
  <c r="L96" i="16"/>
  <c r="L84" i="16"/>
  <c r="L60" i="16"/>
  <c r="L48" i="16"/>
  <c r="L36" i="16"/>
  <c r="L24" i="16"/>
  <c r="L152" i="16"/>
  <c r="L194" i="16"/>
  <c r="L182" i="16"/>
  <c r="L146" i="16"/>
  <c r="L23" i="16"/>
  <c r="L107" i="16"/>
  <c r="L59" i="16"/>
  <c r="L47" i="16"/>
  <c r="L83" i="16"/>
  <c r="L140" i="16"/>
  <c r="L128" i="16"/>
  <c r="L116" i="16"/>
  <c r="L92" i="16"/>
  <c r="L80" i="16"/>
  <c r="L68" i="16"/>
  <c r="L32" i="16"/>
  <c r="L119" i="16"/>
  <c r="L95" i="16"/>
  <c r="L127" i="16"/>
  <c r="L103" i="16"/>
  <c r="L91" i="16"/>
  <c r="L79" i="16"/>
  <c r="L67" i="16"/>
  <c r="L55" i="16"/>
  <c r="L43" i="16"/>
  <c r="L31" i="16"/>
  <c r="L114" i="16"/>
  <c r="L102" i="16"/>
  <c r="L161" i="16"/>
  <c r="L137" i="16"/>
  <c r="L101" i="16"/>
  <c r="L89" i="16"/>
  <c r="L77" i="16"/>
  <c r="L65" i="16"/>
  <c r="L53" i="16"/>
  <c r="L41" i="16"/>
  <c r="L29" i="16"/>
  <c r="L72" i="16"/>
  <c r="L132" i="16"/>
  <c r="L71" i="16"/>
  <c r="L35" i="16"/>
  <c r="L27" i="16"/>
  <c r="L186" i="16"/>
  <c r="L131" i="16"/>
  <c r="L170" i="16"/>
  <c r="L158" i="16"/>
  <c r="L134" i="16"/>
  <c r="L122" i="16"/>
  <c r="L98" i="16"/>
  <c r="L86" i="16"/>
  <c r="L74" i="16"/>
  <c r="L38" i="16"/>
  <c r="L26" i="16"/>
  <c r="L155" i="16"/>
  <c r="L168" i="16"/>
  <c r="L145" i="16"/>
  <c r="L133" i="16"/>
  <c r="L109" i="16"/>
  <c r="L73" i="16"/>
  <c r="L61" i="16"/>
  <c r="L49" i="16"/>
  <c r="L37" i="16"/>
  <c r="L180" i="16"/>
  <c r="L108" i="16"/>
  <c r="L33" i="16"/>
  <c r="L184" i="16"/>
  <c r="L112" i="16"/>
  <c r="L76" i="16"/>
  <c r="L40" i="16"/>
  <c r="L196" i="16"/>
  <c r="L160" i="16"/>
  <c r="L136" i="16"/>
  <c r="L100" i="16"/>
  <c r="L64" i="16"/>
  <c r="L183" i="16"/>
  <c r="L159" i="16"/>
  <c r="L135" i="16"/>
  <c r="L123" i="16"/>
  <c r="L99" i="16"/>
  <c r="L87" i="16"/>
  <c r="L75" i="16"/>
  <c r="L63" i="16"/>
  <c r="L51" i="16"/>
  <c r="L172" i="16"/>
  <c r="L148" i="16"/>
  <c r="L124" i="16"/>
  <c r="L88" i="16"/>
  <c r="L52" i="16"/>
  <c r="L195" i="16"/>
  <c r="L171" i="16"/>
  <c r="L147" i="16"/>
  <c r="L111" i="16"/>
  <c r="L190" i="16"/>
  <c r="L178" i="16"/>
  <c r="L166" i="16"/>
  <c r="L154" i="16"/>
  <c r="L142" i="16"/>
  <c r="L130" i="16"/>
  <c r="L118" i="16"/>
  <c r="L106" i="16"/>
  <c r="L94" i="16"/>
  <c r="L82" i="16"/>
  <c r="L70" i="16"/>
  <c r="L58" i="16"/>
  <c r="L46" i="16"/>
  <c r="L189" i="16"/>
  <c r="L177" i="16"/>
  <c r="L165" i="16"/>
  <c r="L153" i="16"/>
  <c r="L141" i="16"/>
  <c r="L129" i="16"/>
  <c r="L117" i="16"/>
  <c r="L105" i="16"/>
  <c r="L93" i="16"/>
  <c r="L81" i="16"/>
  <c r="L69" i="16"/>
  <c r="L57" i="16"/>
  <c r="L45" i="16"/>
  <c r="L34" i="16"/>
  <c r="L197" i="16"/>
  <c r="L191" i="16"/>
  <c r="L185" i="16"/>
  <c r="L175" i="16"/>
  <c r="L181" i="16"/>
  <c r="L139" i="16"/>
  <c r="L199" i="16"/>
  <c r="L193" i="16"/>
  <c r="L187" i="16"/>
  <c r="L198" i="16"/>
  <c r="L192" i="16"/>
  <c r="L173" i="16"/>
  <c r="L121" i="16"/>
  <c r="L167" i="16"/>
  <c r="L157" i="16"/>
  <c r="L149" i="16"/>
  <c r="L179" i="16"/>
  <c r="L22" i="16"/>
  <c r="A39" i="11"/>
  <c r="BN10" i="24" l="1" a="1"/>
  <c r="BN10" i="24" s="1"/>
  <c r="BN11" i="24" s="1" a="1"/>
  <c r="BN11" i="24" s="1"/>
  <c r="BN12" i="24" s="1" a="1"/>
  <c r="BN12" i="24" s="1"/>
  <c r="BN13" i="24" s="1" a="1"/>
  <c r="BN13" i="24" s="1"/>
  <c r="BN14" i="24" s="1" a="1"/>
  <c r="BN14" i="24" s="1"/>
  <c r="BN15" i="24" s="1" a="1"/>
  <c r="BN15" i="24" s="1"/>
  <c r="BN16" i="24" s="1" a="1"/>
  <c r="BN16" i="24" s="1"/>
  <c r="BN17" i="24" s="1" a="1"/>
  <c r="BN17" i="24" s="1"/>
  <c r="BN18" i="24" s="1" a="1"/>
  <c r="BN18" i="24" s="1"/>
  <c r="BN19" i="24" s="1" a="1"/>
  <c r="BN19" i="24" s="1"/>
  <c r="BN20" i="24" s="1" a="1"/>
  <c r="BN20" i="24" s="1"/>
  <c r="BN21" i="24" s="1" a="1"/>
  <c r="BN21" i="24" s="1"/>
  <c r="BN22" i="24" s="1" a="1"/>
  <c r="BN22" i="24" s="1"/>
  <c r="BN23" i="24" s="1" a="1"/>
  <c r="BN23" i="24" s="1"/>
  <c r="BN24" i="24" s="1" a="1"/>
  <c r="BN24" i="24" s="1"/>
  <c r="BN25" i="24" s="1" a="1"/>
  <c r="BN25" i="24" s="1"/>
  <c r="BN26" i="24" s="1" a="1"/>
  <c r="BN26" i="24" s="1"/>
  <c r="BN27" i="24" s="1" a="1"/>
  <c r="BN27" i="24" s="1"/>
  <c r="BN28" i="24" s="1" a="1"/>
  <c r="BN28" i="24" s="1"/>
  <c r="BN29" i="24" s="1" a="1"/>
  <c r="BN29" i="24" s="1"/>
  <c r="BN30" i="24" s="1" a="1"/>
  <c r="BN30" i="24" s="1"/>
  <c r="BN31" i="24" s="1" a="1"/>
  <c r="BN31" i="24" s="1"/>
  <c r="BN32" i="24" s="1" a="1"/>
  <c r="BN32" i="24" s="1"/>
  <c r="BN33" i="24" s="1" a="1"/>
  <c r="BN33" i="24" s="1"/>
  <c r="BN34" i="24" s="1" a="1"/>
  <c r="BN34" i="24" s="1"/>
  <c r="BN35" i="24" s="1" a="1"/>
  <c r="BN35" i="24" s="1"/>
  <c r="BN36" i="24" s="1" a="1"/>
  <c r="BN36" i="24" s="1"/>
  <c r="BN37" i="24" s="1" a="1"/>
  <c r="BN37" i="24" s="1"/>
  <c r="BN38" i="24" s="1" a="1"/>
  <c r="BN38" i="24" s="1"/>
  <c r="BN39" i="24" s="1" a="1"/>
  <c r="BN39" i="24" s="1"/>
  <c r="BN40" i="24" s="1" a="1"/>
  <c r="BN40" i="24" s="1"/>
  <c r="BK14" i="24" a="1"/>
  <c r="BK14" i="24" s="1"/>
  <c r="BK15" i="24" s="1" a="1"/>
  <c r="BK15" i="24" s="1"/>
  <c r="BK16" i="24" s="1" a="1"/>
  <c r="BK16" i="24" s="1"/>
  <c r="BK17" i="24" s="1" a="1"/>
  <c r="BK17" i="24" s="1"/>
  <c r="BK18" i="24" s="1" a="1"/>
  <c r="BK18" i="24" s="1"/>
  <c r="BK19" i="24" s="1" a="1"/>
  <c r="BK19" i="24" s="1"/>
  <c r="BK20" i="24" s="1" a="1"/>
  <c r="BK20" i="24" s="1"/>
  <c r="BK21" i="24" s="1" a="1"/>
  <c r="BK21" i="24" s="1"/>
  <c r="BK22" i="24" s="1" a="1"/>
  <c r="BK22" i="24" s="1"/>
  <c r="BK23" i="24" s="1" a="1"/>
  <c r="BK23" i="24" s="1"/>
  <c r="BK24" i="24" s="1" a="1"/>
  <c r="BK24" i="24" s="1"/>
  <c r="BK25" i="24" s="1" a="1"/>
  <c r="BK25" i="24" s="1"/>
  <c r="BK26" i="24" s="1" a="1"/>
  <c r="BK26" i="24" s="1"/>
  <c r="BK27" i="24" s="1" a="1"/>
  <c r="BK27" i="24" s="1"/>
  <c r="BK28" i="24" s="1" a="1"/>
  <c r="BK28" i="24" s="1"/>
  <c r="BK29" i="24" s="1" a="1"/>
  <c r="BK29" i="24" s="1"/>
  <c r="BK30" i="24" s="1" a="1"/>
  <c r="BK30" i="24" s="1"/>
  <c r="BK31" i="24" s="1" a="1"/>
  <c r="BK31" i="24" s="1"/>
  <c r="BK32" i="24" s="1" a="1"/>
  <c r="BK32" i="24" s="1"/>
  <c r="BK33" i="24" s="1" a="1"/>
  <c r="BK33" i="24" s="1"/>
  <c r="BK34" i="24" s="1" a="1"/>
  <c r="BK34" i="24" s="1"/>
  <c r="BK35" i="24" s="1" a="1"/>
  <c r="BK35" i="24" s="1"/>
  <c r="BK36" i="24" s="1" a="1"/>
  <c r="BK36" i="24" s="1"/>
  <c r="BK37" i="24" s="1" a="1"/>
  <c r="BK37" i="24" s="1"/>
  <c r="BK38" i="24" s="1" a="1"/>
  <c r="BK38" i="24" s="1"/>
  <c r="BK39" i="24" s="1" a="1"/>
  <c r="BK39" i="24" s="1"/>
  <c r="BK40" i="24" s="1" a="1"/>
  <c r="BK40" i="24" s="1"/>
  <c r="BH23" i="24" a="1"/>
  <c r="BH23" i="24" s="1"/>
  <c r="BH24" i="24" s="1" a="1"/>
  <c r="BH24" i="24" s="1"/>
  <c r="BH25" i="24" s="1" a="1"/>
  <c r="BH25" i="24" s="1"/>
  <c r="BH26" i="24" s="1" a="1"/>
  <c r="BH26" i="24" s="1"/>
  <c r="BH27" i="24" s="1" a="1"/>
  <c r="BH27" i="24" s="1"/>
  <c r="BH28" i="24" s="1" a="1"/>
  <c r="BH28" i="24" s="1"/>
  <c r="BH29" i="24" s="1" a="1"/>
  <c r="BH29" i="24" s="1"/>
  <c r="BH30" i="24" s="1" a="1"/>
  <c r="BH30" i="24" s="1"/>
  <c r="BH31" i="24" s="1" a="1"/>
  <c r="BH31" i="24" s="1"/>
  <c r="BH32" i="24" s="1" a="1"/>
  <c r="BH32" i="24" s="1"/>
  <c r="BH33" i="24" s="1" a="1"/>
  <c r="BH33" i="24" s="1"/>
  <c r="BH34" i="24" s="1" a="1"/>
  <c r="BH34" i="24" s="1"/>
  <c r="BH35" i="24" s="1" a="1"/>
  <c r="BH35" i="24" s="1"/>
  <c r="BH36" i="24" s="1" a="1"/>
  <c r="BH36" i="24" s="1"/>
  <c r="BH37" i="24" s="1" a="1"/>
  <c r="BH37" i="24" s="1"/>
  <c r="BH38" i="24" s="1" a="1"/>
  <c r="BH38" i="24" s="1"/>
  <c r="BH39" i="24" s="1" a="1"/>
  <c r="BH39" i="24" s="1"/>
  <c r="BH40" i="24" s="1" a="1"/>
  <c r="BH40" i="24" s="1"/>
  <c r="BB14" i="24" a="1"/>
  <c r="BB14" i="24" s="1"/>
  <c r="BB15" i="24" s="1" a="1"/>
  <c r="BB15" i="24" s="1"/>
  <c r="BB16" i="24" s="1" a="1"/>
  <c r="BB16" i="24" s="1"/>
  <c r="BB17" i="24" s="1" a="1"/>
  <c r="BB17" i="24" s="1"/>
  <c r="BB18" i="24" s="1" a="1"/>
  <c r="BB18" i="24" s="1"/>
  <c r="BB19" i="24" s="1" a="1"/>
  <c r="BB19" i="24" s="1"/>
  <c r="BB20" i="24" s="1" a="1"/>
  <c r="BB20" i="24" s="1"/>
  <c r="BB21" i="24" s="1" a="1"/>
  <c r="BB21" i="24" s="1"/>
  <c r="BB22" i="24" s="1" a="1"/>
  <c r="BB22" i="24" s="1"/>
  <c r="BB23" i="24" s="1" a="1"/>
  <c r="BB23" i="24" s="1"/>
  <c r="BB24" i="24" s="1" a="1"/>
  <c r="BB24" i="24" s="1"/>
  <c r="BB25" i="24" s="1" a="1"/>
  <c r="BB25" i="24" s="1"/>
  <c r="BB26" i="24" s="1" a="1"/>
  <c r="BB26" i="24" s="1"/>
  <c r="BB27" i="24" s="1" a="1"/>
  <c r="BB27" i="24" s="1"/>
  <c r="BB28" i="24" s="1" a="1"/>
  <c r="BB28" i="24" s="1"/>
  <c r="BB29" i="24" s="1" a="1"/>
  <c r="BB29" i="24" s="1"/>
  <c r="BB30" i="24" s="1" a="1"/>
  <c r="BB30" i="24" s="1"/>
  <c r="BB31" i="24" s="1" a="1"/>
  <c r="BB31" i="24" s="1"/>
  <c r="BB32" i="24" s="1" a="1"/>
  <c r="BB32" i="24" s="1"/>
  <c r="BB33" i="24" s="1" a="1"/>
  <c r="BB33" i="24" s="1"/>
  <c r="BB34" i="24" s="1" a="1"/>
  <c r="BB34" i="24" s="1"/>
  <c r="BB35" i="24" s="1" a="1"/>
  <c r="BB35" i="24" s="1"/>
  <c r="BB36" i="24" s="1" a="1"/>
  <c r="BB36" i="24" s="1"/>
  <c r="BB37" i="24" s="1" a="1"/>
  <c r="BB37" i="24" s="1"/>
  <c r="BB38" i="24" s="1" a="1"/>
  <c r="BB38" i="24" s="1"/>
  <c r="BB39" i="24" s="1" a="1"/>
  <c r="BB39" i="24" s="1"/>
  <c r="BB40" i="24" s="1" a="1"/>
  <c r="BB40" i="24" s="1"/>
  <c r="AS12" i="24" a="1"/>
  <c r="AS12" i="24" s="1"/>
  <c r="AM12" i="24" a="1"/>
  <c r="AM12" i="24" s="1"/>
  <c r="T16" i="24" a="1"/>
  <c r="T16" i="24" s="1"/>
  <c r="U15" i="24"/>
  <c r="H16" i="28" a="1"/>
  <c r="H16" i="28" s="1"/>
  <c r="L15" i="28"/>
  <c r="U100" i="9"/>
  <c r="J128" i="3"/>
  <c r="J163" i="3"/>
  <c r="J109" i="3"/>
  <c r="J117" i="3"/>
  <c r="J96" i="3"/>
  <c r="J49" i="3"/>
  <c r="J125" i="3"/>
  <c r="J37" i="3"/>
  <c r="J83" i="3"/>
  <c r="J154" i="3"/>
  <c r="J143" i="3"/>
  <c r="J24" i="3"/>
  <c r="J179" i="3"/>
  <c r="J31" i="3"/>
  <c r="J164" i="3"/>
  <c r="J47" i="3"/>
  <c r="J170" i="3"/>
  <c r="J82" i="3"/>
  <c r="J138" i="3"/>
  <c r="J42" i="3"/>
  <c r="J145" i="3"/>
  <c r="J68" i="3"/>
  <c r="J87" i="3"/>
  <c r="J67" i="3"/>
  <c r="J52" i="3"/>
  <c r="J28" i="3"/>
  <c r="J123" i="3"/>
  <c r="J103" i="3"/>
  <c r="J160" i="3"/>
  <c r="J63" i="3"/>
  <c r="J78" i="3"/>
  <c r="J137" i="3"/>
  <c r="J58" i="3"/>
  <c r="J134" i="3"/>
  <c r="J131" i="3"/>
  <c r="J54" i="3"/>
  <c r="J99" i="3"/>
  <c r="J144" i="3"/>
  <c r="J110" i="3"/>
  <c r="J65" i="3"/>
  <c r="J84" i="3"/>
  <c r="J171" i="3"/>
  <c r="J48" i="3"/>
  <c r="J75" i="3"/>
  <c r="J93" i="3"/>
  <c r="J56" i="3"/>
  <c r="J94" i="3"/>
  <c r="J97" i="3"/>
  <c r="J153" i="3"/>
  <c r="J98" i="3"/>
  <c r="J29" i="3"/>
  <c r="J136" i="3"/>
  <c r="J155" i="3"/>
  <c r="J61" i="3"/>
  <c r="J34" i="3"/>
  <c r="J53" i="3"/>
  <c r="J100" i="3"/>
  <c r="J116" i="3"/>
  <c r="J142" i="3"/>
  <c r="J119" i="3"/>
  <c r="J50" i="3"/>
  <c r="J73" i="3"/>
  <c r="J150" i="3"/>
  <c r="J86" i="3"/>
  <c r="J147" i="3"/>
  <c r="J148" i="3"/>
  <c r="J64" i="3"/>
  <c r="J111" i="3"/>
  <c r="J156" i="3"/>
  <c r="J162" i="3"/>
  <c r="J161" i="3"/>
  <c r="J72" i="3"/>
  <c r="J166" i="3"/>
  <c r="J88" i="3"/>
  <c r="J121" i="3"/>
  <c r="J169" i="3"/>
  <c r="J26" i="3"/>
  <c r="J91" i="3"/>
  <c r="J157" i="3"/>
  <c r="J159" i="3"/>
  <c r="J77" i="3"/>
  <c r="J106" i="3"/>
  <c r="J69" i="3"/>
  <c r="J38" i="3"/>
  <c r="J79" i="3"/>
  <c r="J45" i="3"/>
  <c r="J141" i="3"/>
  <c r="J39" i="3"/>
  <c r="J74" i="3"/>
  <c r="J126" i="3"/>
  <c r="J55" i="3"/>
  <c r="J23" i="3"/>
  <c r="J129" i="3"/>
  <c r="J168" i="3"/>
  <c r="J152" i="3"/>
  <c r="J90" i="3"/>
  <c r="J92" i="3"/>
  <c r="J35" i="3"/>
  <c r="J40" i="3"/>
  <c r="J71" i="3"/>
  <c r="J104" i="3"/>
  <c r="J178" i="3"/>
  <c r="J127" i="3"/>
  <c r="J140" i="3"/>
  <c r="J43" i="3"/>
  <c r="J165" i="3"/>
  <c r="J105" i="3"/>
  <c r="J118" i="3"/>
  <c r="J133" i="3"/>
  <c r="J46" i="3"/>
  <c r="J158" i="3"/>
  <c r="J176" i="3"/>
  <c r="J101" i="3"/>
  <c r="J146" i="3"/>
  <c r="J81" i="3"/>
  <c r="J130" i="3"/>
  <c r="J124" i="3"/>
  <c r="J122" i="3"/>
  <c r="J41" i="3"/>
  <c r="J167" i="3"/>
  <c r="J113" i="3"/>
  <c r="J108" i="3"/>
  <c r="J115" i="3"/>
  <c r="J177" i="3"/>
  <c r="J95" i="3"/>
  <c r="J25" i="3"/>
  <c r="J175" i="3"/>
  <c r="J114" i="3"/>
  <c r="J85" i="3"/>
  <c r="J112" i="3"/>
  <c r="J59" i="3"/>
  <c r="AS13" i="24" l="1" a="1"/>
  <c r="AS13" i="24" s="1"/>
  <c r="AM13" i="24" a="1"/>
  <c r="AM13" i="24" s="1"/>
  <c r="T17" i="24" a="1"/>
  <c r="T17" i="24" s="1"/>
  <c r="U16" i="24"/>
  <c r="H17" i="28" a="1"/>
  <c r="H17" i="28" s="1"/>
  <c r="L16" i="28"/>
  <c r="L153" i="10"/>
  <c r="L152" i="10"/>
  <c r="L60" i="10"/>
  <c r="L151" i="10"/>
  <c r="L145" i="10"/>
  <c r="L137" i="10"/>
  <c r="L134" i="10"/>
  <c r="L120" i="10"/>
  <c r="L111" i="10"/>
  <c r="L105" i="10"/>
  <c r="L97" i="10"/>
  <c r="L90" i="10"/>
  <c r="L93" i="10"/>
  <c r="L80" i="10"/>
  <c r="L71" i="10"/>
  <c r="L65" i="10"/>
  <c r="L58" i="10"/>
  <c r="L51" i="10"/>
  <c r="L43" i="10"/>
  <c r="L30" i="10"/>
  <c r="L25" i="10"/>
  <c r="L18" i="10"/>
  <c r="L6" i="10"/>
  <c r="L121" i="10"/>
  <c r="L159" i="10"/>
  <c r="L150" i="10"/>
  <c r="L136" i="10"/>
  <c r="L127" i="10"/>
  <c r="L118" i="10"/>
  <c r="L110" i="10"/>
  <c r="L104" i="10"/>
  <c r="L96" i="10"/>
  <c r="L89" i="10"/>
  <c r="L88" i="10"/>
  <c r="L76" i="10"/>
  <c r="L70" i="10"/>
  <c r="L64" i="10"/>
  <c r="L57" i="10"/>
  <c r="L49" i="10"/>
  <c r="L39" i="10"/>
  <c r="L29" i="10"/>
  <c r="L23" i="10"/>
  <c r="L17" i="10"/>
  <c r="L5" i="10"/>
  <c r="L124" i="10"/>
  <c r="L158" i="10"/>
  <c r="L149" i="10"/>
  <c r="L140" i="10"/>
  <c r="L133" i="10"/>
  <c r="L126" i="10"/>
  <c r="L117" i="10"/>
  <c r="L109" i="10"/>
  <c r="L101" i="10"/>
  <c r="L95" i="10"/>
  <c r="L86" i="10"/>
  <c r="L81" i="10"/>
  <c r="L75" i="10"/>
  <c r="L69" i="10"/>
  <c r="L63" i="10"/>
  <c r="L55" i="10"/>
  <c r="L48" i="10"/>
  <c r="L38" i="10"/>
  <c r="L33" i="10"/>
  <c r="L22" i="10"/>
  <c r="L4" i="10"/>
  <c r="L41" i="10"/>
  <c r="L157" i="10"/>
  <c r="L148" i="10"/>
  <c r="L139" i="10"/>
  <c r="L132" i="10"/>
  <c r="L125" i="10"/>
  <c r="L116" i="10"/>
  <c r="L108" i="10"/>
  <c r="L100" i="10"/>
  <c r="L94" i="10"/>
  <c r="L85" i="10"/>
  <c r="L79" i="10"/>
  <c r="L74" i="10"/>
  <c r="L68" i="10"/>
  <c r="L62" i="10"/>
  <c r="L54" i="10"/>
  <c r="L47" i="10"/>
  <c r="L35" i="10"/>
  <c r="L28" i="10"/>
  <c r="L21" i="10"/>
  <c r="L3" i="10"/>
  <c r="L144" i="10"/>
  <c r="L156" i="10"/>
  <c r="L147" i="10"/>
  <c r="L128" i="10"/>
  <c r="L123" i="10"/>
  <c r="L114" i="10"/>
  <c r="L107" i="10"/>
  <c r="L99" i="10"/>
  <c r="L92" i="10"/>
  <c r="L84" i="10"/>
  <c r="L78" i="10"/>
  <c r="L73" i="10"/>
  <c r="L67" i="10"/>
  <c r="L61" i="10"/>
  <c r="L53" i="10"/>
  <c r="L45" i="10"/>
  <c r="L34" i="10"/>
  <c r="L27" i="10"/>
  <c r="L20" i="10"/>
  <c r="L102" i="10"/>
  <c r="L130" i="10"/>
  <c r="L155" i="10"/>
  <c r="L146" i="10"/>
  <c r="L138" i="10"/>
  <c r="L143" i="10"/>
  <c r="L122" i="10"/>
  <c r="L113" i="10"/>
  <c r="L106" i="10"/>
  <c r="L98" i="10"/>
  <c r="L91" i="10"/>
  <c r="L83" i="10"/>
  <c r="L77" i="10"/>
  <c r="L72" i="10"/>
  <c r="L66" i="10"/>
  <c r="L59" i="10"/>
  <c r="L52" i="10"/>
  <c r="L44" i="10"/>
  <c r="L32" i="10"/>
  <c r="L26" i="10"/>
  <c r="L19" i="10"/>
  <c r="L8" i="10"/>
  <c r="L36" i="10"/>
  <c r="L103" i="10"/>
  <c r="G152" i="10"/>
  <c r="H152" i="10"/>
  <c r="I152" i="10"/>
  <c r="B152" i="10"/>
  <c r="C152" i="10"/>
  <c r="D152" i="10"/>
  <c r="E152" i="10"/>
  <c r="G60" i="10"/>
  <c r="H60" i="10"/>
  <c r="I60" i="10"/>
  <c r="B60" i="10"/>
  <c r="C60" i="10"/>
  <c r="D60" i="10"/>
  <c r="E60" i="10"/>
  <c r="K79" i="3"/>
  <c r="K179" i="3"/>
  <c r="K39" i="3"/>
  <c r="K58" i="3"/>
  <c r="K29" i="3"/>
  <c r="AS14" i="24" l="1" a="1"/>
  <c r="AS14" i="24" s="1"/>
  <c r="AM14" i="24" a="1"/>
  <c r="AM14" i="24" s="1"/>
  <c r="T18" i="24" a="1"/>
  <c r="T18" i="24" s="1"/>
  <c r="U17" i="24"/>
  <c r="H18" i="28" a="1"/>
  <c r="H18" i="28" s="1"/>
  <c r="L17" i="28"/>
  <c r="E33" i="11"/>
  <c r="D33" i="11"/>
  <c r="E32" i="11"/>
  <c r="D32" i="11"/>
  <c r="E31" i="11"/>
  <c r="D31" i="11"/>
  <c r="E29" i="11"/>
  <c r="D29" i="11"/>
  <c r="E28" i="11"/>
  <c r="D28" i="11"/>
  <c r="E27" i="11"/>
  <c r="D27" i="11"/>
  <c r="E25" i="11"/>
  <c r="D25" i="11"/>
  <c r="E24" i="11"/>
  <c r="D24" i="11"/>
  <c r="E23" i="11"/>
  <c r="D23" i="11"/>
  <c r="E21" i="11"/>
  <c r="E20" i="11"/>
  <c r="E19" i="11"/>
  <c r="D21" i="11"/>
  <c r="D20" i="11"/>
  <c r="D19" i="11"/>
  <c r="E17" i="11"/>
  <c r="E16" i="11"/>
  <c r="E15" i="11"/>
  <c r="D17" i="11"/>
  <c r="D16" i="11"/>
  <c r="D15" i="11"/>
  <c r="E13" i="11"/>
  <c r="E12" i="11"/>
  <c r="E11" i="11"/>
  <c r="D13" i="11"/>
  <c r="D12" i="11"/>
  <c r="D11" i="11"/>
  <c r="E9" i="11"/>
  <c r="E8" i="11"/>
  <c r="E7" i="11"/>
  <c r="D9" i="11"/>
  <c r="D8" i="11"/>
  <c r="D7" i="11"/>
  <c r="K155" i="3"/>
  <c r="K152" i="3"/>
  <c r="K125" i="3"/>
  <c r="K170" i="3"/>
  <c r="K122" i="3"/>
  <c r="K65" i="3"/>
  <c r="K117" i="3"/>
  <c r="K173" i="3"/>
  <c r="K83" i="3"/>
  <c r="K46" i="3"/>
  <c r="K136" i="3"/>
  <c r="K91" i="3"/>
  <c r="K38" i="3"/>
  <c r="K89" i="3"/>
  <c r="K90" i="3"/>
  <c r="K92" i="3"/>
  <c r="K109" i="3"/>
  <c r="K110" i="3"/>
  <c r="K142" i="3"/>
  <c r="K94" i="3"/>
  <c r="K67" i="3"/>
  <c r="K168" i="3"/>
  <c r="J172" i="3"/>
  <c r="K143" i="3"/>
  <c r="K144" i="3"/>
  <c r="J89" i="3"/>
  <c r="K64" i="3"/>
  <c r="K176" i="3"/>
  <c r="K40" i="3"/>
  <c r="K154" i="3"/>
  <c r="K72" i="3"/>
  <c r="K169" i="3"/>
  <c r="K86" i="3"/>
  <c r="K80" i="3"/>
  <c r="N80" i="3"/>
  <c r="K158" i="3"/>
  <c r="K113" i="3"/>
  <c r="K178" i="3"/>
  <c r="K77" i="3"/>
  <c r="K105" i="3"/>
  <c r="K165" i="3"/>
  <c r="K47" i="3"/>
  <c r="K88" i="3"/>
  <c r="K115" i="3"/>
  <c r="K108" i="3"/>
  <c r="K95" i="3"/>
  <c r="K159" i="3"/>
  <c r="K164" i="3"/>
  <c r="K120" i="3"/>
  <c r="K129" i="3"/>
  <c r="K42" i="3"/>
  <c r="K52" i="3"/>
  <c r="K163" i="3"/>
  <c r="K26" i="3"/>
  <c r="K146" i="3"/>
  <c r="K147" i="3"/>
  <c r="K84" i="3"/>
  <c r="K73" i="3"/>
  <c r="K74" i="3"/>
  <c r="K133" i="3"/>
  <c r="K103" i="3"/>
  <c r="K166" i="3"/>
  <c r="K161" i="3"/>
  <c r="K59" i="3"/>
  <c r="K177" i="3"/>
  <c r="K157" i="3"/>
  <c r="K119" i="3"/>
  <c r="M172" i="3"/>
  <c r="K78" i="3"/>
  <c r="K99" i="3"/>
  <c r="K112" i="3"/>
  <c r="K75" i="3"/>
  <c r="K145" i="3"/>
  <c r="K71" i="3"/>
  <c r="N172" i="3"/>
  <c r="K81" i="3"/>
  <c r="K35" i="3"/>
  <c r="K137" i="3"/>
  <c r="K63" i="3"/>
  <c r="K93" i="3"/>
  <c r="K96" i="3"/>
  <c r="K167" i="3"/>
  <c r="K69" i="3"/>
  <c r="K45" i="3"/>
  <c r="K141" i="3"/>
  <c r="O80" i="3"/>
  <c r="K127" i="3"/>
  <c r="K160" i="3"/>
  <c r="K172" i="3"/>
  <c r="K85" i="3"/>
  <c r="K114" i="3"/>
  <c r="K138" i="3"/>
  <c r="K104" i="3"/>
  <c r="K101" i="3"/>
  <c r="K162" i="3"/>
  <c r="K54" i="3"/>
  <c r="K37" i="3"/>
  <c r="L172" i="3"/>
  <c r="K98" i="3"/>
  <c r="K128" i="3"/>
  <c r="K25" i="3"/>
  <c r="K24" i="3"/>
  <c r="K68" i="3"/>
  <c r="J120" i="3"/>
  <c r="K150" i="3"/>
  <c r="K56" i="3"/>
  <c r="K28" i="3"/>
  <c r="M80" i="3"/>
  <c r="K49" i="3"/>
  <c r="K126" i="3"/>
  <c r="K111" i="3"/>
  <c r="K87" i="3"/>
  <c r="K23" i="3"/>
  <c r="K97" i="3"/>
  <c r="K48" i="3"/>
  <c r="O172" i="3"/>
  <c r="K148" i="3"/>
  <c r="K106" i="3"/>
  <c r="J173" i="3"/>
  <c r="K100" i="3"/>
  <c r="L80" i="3"/>
  <c r="K131" i="3"/>
  <c r="K61" i="3"/>
  <c r="K55" i="3"/>
  <c r="K156" i="3"/>
  <c r="K82" i="3"/>
  <c r="K43" i="3"/>
  <c r="K121" i="3"/>
  <c r="K50" i="3"/>
  <c r="K118" i="3"/>
  <c r="K134" i="3"/>
  <c r="K53" i="3"/>
  <c r="K175" i="3"/>
  <c r="K116" i="3"/>
  <c r="K31" i="3"/>
  <c r="K153" i="3"/>
  <c r="K123" i="3"/>
  <c r="K41" i="3"/>
  <c r="K124" i="3"/>
  <c r="K34" i="3"/>
  <c r="J80" i="3"/>
  <c r="K130" i="3"/>
  <c r="K171" i="3"/>
  <c r="K140" i="3"/>
  <c r="AS15" i="24" l="1" a="1"/>
  <c r="AS15" i="24" s="1"/>
  <c r="AM15" i="24" a="1"/>
  <c r="AM15" i="24" s="1"/>
  <c r="T19" i="24" a="1"/>
  <c r="T19" i="24" s="1"/>
  <c r="U18" i="24"/>
  <c r="H19" i="28" a="1"/>
  <c r="H19" i="28" s="1"/>
  <c r="L18" i="28"/>
  <c r="B97" i="10"/>
  <c r="C97" i="10"/>
  <c r="D97" i="10"/>
  <c r="E97" i="10"/>
  <c r="G97" i="10"/>
  <c r="H97" i="10"/>
  <c r="I97" i="10"/>
  <c r="B98" i="10"/>
  <c r="C98" i="10"/>
  <c r="D98" i="10"/>
  <c r="E98" i="10"/>
  <c r="G98" i="10"/>
  <c r="H98" i="10"/>
  <c r="I98" i="10"/>
  <c r="B99" i="10"/>
  <c r="C99" i="10"/>
  <c r="D99" i="10"/>
  <c r="E99" i="10"/>
  <c r="G99" i="10"/>
  <c r="H99" i="10"/>
  <c r="I99" i="10"/>
  <c r="B100" i="10"/>
  <c r="C100" i="10"/>
  <c r="D100" i="10"/>
  <c r="E100" i="10"/>
  <c r="G100" i="10"/>
  <c r="H100" i="10"/>
  <c r="I100" i="10"/>
  <c r="B101" i="10"/>
  <c r="C101" i="10"/>
  <c r="D101" i="10"/>
  <c r="E101" i="10"/>
  <c r="G101" i="10"/>
  <c r="H101" i="10"/>
  <c r="I101" i="10"/>
  <c r="B44" i="10"/>
  <c r="C44" i="10"/>
  <c r="D44" i="10"/>
  <c r="E44" i="10"/>
  <c r="G44" i="10"/>
  <c r="H44" i="10"/>
  <c r="I44" i="10"/>
  <c r="B30" i="10"/>
  <c r="C30" i="10"/>
  <c r="D30" i="10"/>
  <c r="E30" i="10"/>
  <c r="G30" i="10"/>
  <c r="H30" i="10"/>
  <c r="I30" i="10"/>
  <c r="N117" i="3"/>
  <c r="M64" i="3"/>
  <c r="O119" i="3"/>
  <c r="O120" i="3"/>
  <c r="M118" i="3"/>
  <c r="L34" i="3"/>
  <c r="L120" i="3"/>
  <c r="M120" i="3"/>
  <c r="O34" i="3"/>
  <c r="M119" i="3"/>
  <c r="N118" i="3"/>
  <c r="M34" i="3"/>
  <c r="O117" i="3"/>
  <c r="O118" i="3"/>
  <c r="L118" i="3"/>
  <c r="M121" i="3"/>
  <c r="N120" i="3"/>
  <c r="O121" i="3"/>
  <c r="N64" i="3"/>
  <c r="N119" i="3"/>
  <c r="O50" i="3"/>
  <c r="N34" i="3"/>
  <c r="N50" i="3"/>
  <c r="L64" i="3"/>
  <c r="O64" i="3"/>
  <c r="L117" i="3"/>
  <c r="M117" i="3"/>
  <c r="N121" i="3"/>
  <c r="L121" i="3"/>
  <c r="L119" i="3"/>
  <c r="M50" i="3"/>
  <c r="L50" i="3"/>
  <c r="AS16" i="24" l="1" a="1"/>
  <c r="AS16" i="24" s="1"/>
  <c r="AM16" i="24" a="1"/>
  <c r="AM16" i="24" s="1"/>
  <c r="T20" i="24" a="1"/>
  <c r="T20" i="24" s="1"/>
  <c r="U19" i="24"/>
  <c r="H20" i="28" a="1"/>
  <c r="H20" i="28" s="1"/>
  <c r="L19" i="28"/>
  <c r="G49" i="13"/>
  <c r="C49" i="13"/>
  <c r="G40" i="13"/>
  <c r="C40" i="13"/>
  <c r="G31" i="13"/>
  <c r="C31" i="13"/>
  <c r="G22" i="13"/>
  <c r="C22" i="13"/>
  <c r="G13" i="13"/>
  <c r="C13" i="13"/>
  <c r="G4" i="13"/>
  <c r="C4" i="13"/>
  <c r="AS17" i="24" l="1" a="1"/>
  <c r="AS17" i="24" s="1"/>
  <c r="AM17" i="24" a="1"/>
  <c r="AM17" i="24" s="1"/>
  <c r="T21" i="24" a="1"/>
  <c r="T21" i="24" s="1"/>
  <c r="U20" i="24"/>
  <c r="H21" i="28" a="1"/>
  <c r="H21" i="28" s="1"/>
  <c r="L20" i="28"/>
  <c r="A45" i="11"/>
  <c r="A43" i="11"/>
  <c r="A42" i="11"/>
  <c r="A41" i="11"/>
  <c r="A2" i="12"/>
  <c r="AS18" i="24" l="1" a="1"/>
  <c r="AS18" i="24" s="1"/>
  <c r="AM18" i="24" a="1"/>
  <c r="AM18" i="24" s="1"/>
  <c r="T22" i="24" a="1"/>
  <c r="T22" i="24" s="1"/>
  <c r="U21" i="24"/>
  <c r="H22" i="28" a="1"/>
  <c r="H22" i="28" s="1"/>
  <c r="L21" i="28"/>
  <c r="L8" i="3"/>
  <c r="C33" i="11"/>
  <c r="C32" i="11"/>
  <c r="C31" i="11"/>
  <c r="B33" i="11"/>
  <c r="B32" i="11"/>
  <c r="B31" i="11"/>
  <c r="C29" i="11"/>
  <c r="C28" i="11"/>
  <c r="C27" i="11"/>
  <c r="B29" i="11"/>
  <c r="B28" i="11"/>
  <c r="B27" i="11"/>
  <c r="C25" i="11"/>
  <c r="C24" i="11"/>
  <c r="C23" i="11"/>
  <c r="B25" i="11"/>
  <c r="B24" i="11"/>
  <c r="B23" i="11"/>
  <c r="C21" i="11"/>
  <c r="C20" i="11"/>
  <c r="C19" i="11"/>
  <c r="B21" i="11"/>
  <c r="B20" i="11"/>
  <c r="B19" i="11"/>
  <c r="C17" i="11"/>
  <c r="C15" i="11"/>
  <c r="B17" i="11"/>
  <c r="B16" i="11"/>
  <c r="B15" i="11"/>
  <c r="B11" i="11"/>
  <c r="AS19" i="24" l="1" a="1"/>
  <c r="AS19" i="24" s="1"/>
  <c r="AM19" i="24" a="1"/>
  <c r="AM19" i="24" s="1"/>
  <c r="T23" i="24" a="1"/>
  <c r="T23" i="24" s="1"/>
  <c r="U22" i="24"/>
  <c r="H23" i="28" a="1"/>
  <c r="H23" i="28" s="1"/>
  <c r="L22" i="28"/>
  <c r="S21" i="13"/>
  <c r="S22" i="13"/>
  <c r="S20" i="13"/>
  <c r="R22" i="13"/>
  <c r="R21" i="13"/>
  <c r="R20" i="13"/>
  <c r="W2" i="3"/>
  <c r="G144" i="10"/>
  <c r="H144" i="10"/>
  <c r="I144" i="10"/>
  <c r="B144" i="10"/>
  <c r="C144" i="10"/>
  <c r="D144" i="10"/>
  <c r="E144" i="10"/>
  <c r="B83" i="10"/>
  <c r="C83" i="10"/>
  <c r="D83" i="10"/>
  <c r="E83" i="10"/>
  <c r="G83" i="10"/>
  <c r="H83" i="10"/>
  <c r="I83" i="10"/>
  <c r="B2" i="10"/>
  <c r="C2" i="10"/>
  <c r="D2" i="10"/>
  <c r="E2" i="10"/>
  <c r="G2" i="10"/>
  <c r="H2" i="10"/>
  <c r="I2" i="10"/>
  <c r="B103" i="10"/>
  <c r="C103" i="10"/>
  <c r="D103" i="10"/>
  <c r="E103" i="10"/>
  <c r="H103" i="10"/>
  <c r="I103" i="10"/>
  <c r="B130" i="10"/>
  <c r="C130" i="10"/>
  <c r="D130" i="10"/>
  <c r="E130" i="10"/>
  <c r="G130" i="10"/>
  <c r="H130" i="10"/>
  <c r="I130" i="10"/>
  <c r="B41" i="10"/>
  <c r="C41" i="10"/>
  <c r="D41" i="10"/>
  <c r="E41" i="10"/>
  <c r="G41" i="10"/>
  <c r="H41" i="10"/>
  <c r="I41" i="10"/>
  <c r="B124" i="10"/>
  <c r="C124" i="10"/>
  <c r="D124" i="10"/>
  <c r="E124" i="10"/>
  <c r="G124" i="10"/>
  <c r="H124" i="10"/>
  <c r="I124" i="10"/>
  <c r="B121" i="10"/>
  <c r="C121" i="10"/>
  <c r="D121" i="10"/>
  <c r="E121" i="10"/>
  <c r="G121" i="10"/>
  <c r="H121" i="10"/>
  <c r="I121" i="10"/>
  <c r="B36" i="10"/>
  <c r="C36" i="10"/>
  <c r="D36" i="10"/>
  <c r="E36" i="10"/>
  <c r="G36" i="10"/>
  <c r="H36" i="10"/>
  <c r="I36" i="10"/>
  <c r="B102" i="10"/>
  <c r="C102" i="10"/>
  <c r="D102" i="10"/>
  <c r="E102" i="10"/>
  <c r="G102" i="10"/>
  <c r="H102" i="10"/>
  <c r="I102" i="10"/>
  <c r="B3" i="10"/>
  <c r="C3" i="10"/>
  <c r="D3" i="10"/>
  <c r="E3" i="10"/>
  <c r="G3" i="10"/>
  <c r="H3" i="10"/>
  <c r="I3" i="10"/>
  <c r="B4" i="10"/>
  <c r="C4" i="10"/>
  <c r="D4" i="10"/>
  <c r="E4" i="10"/>
  <c r="G4" i="10"/>
  <c r="H4" i="10"/>
  <c r="I4" i="10"/>
  <c r="B5" i="10"/>
  <c r="C5" i="10"/>
  <c r="D5" i="10"/>
  <c r="E5" i="10"/>
  <c r="G5" i="10"/>
  <c r="H5" i="10"/>
  <c r="I5" i="10"/>
  <c r="B6" i="10"/>
  <c r="C6" i="10"/>
  <c r="D6" i="10"/>
  <c r="E6" i="10"/>
  <c r="G6" i="10"/>
  <c r="H6" i="10"/>
  <c r="I6" i="10"/>
  <c r="B8" i="10"/>
  <c r="C8" i="10"/>
  <c r="D8" i="10"/>
  <c r="E8" i="10"/>
  <c r="G8" i="10"/>
  <c r="H8" i="10"/>
  <c r="I8" i="10"/>
  <c r="B11" i="10"/>
  <c r="C11" i="10"/>
  <c r="D11" i="10"/>
  <c r="E11" i="10"/>
  <c r="B17" i="10"/>
  <c r="C17" i="10"/>
  <c r="D17" i="10"/>
  <c r="E17" i="10"/>
  <c r="G17" i="10"/>
  <c r="H17" i="10"/>
  <c r="I17" i="10"/>
  <c r="B18" i="10"/>
  <c r="C18" i="10"/>
  <c r="D18" i="10"/>
  <c r="E18" i="10"/>
  <c r="G18" i="10"/>
  <c r="H18" i="10"/>
  <c r="I18" i="10"/>
  <c r="B19" i="10"/>
  <c r="C19" i="10"/>
  <c r="D19" i="10"/>
  <c r="E19" i="10"/>
  <c r="G19" i="10"/>
  <c r="H19" i="10"/>
  <c r="I19" i="10"/>
  <c r="B20" i="10"/>
  <c r="C20" i="10"/>
  <c r="D20" i="10"/>
  <c r="E20" i="10"/>
  <c r="G20" i="10"/>
  <c r="H20" i="10"/>
  <c r="I20" i="10"/>
  <c r="B21" i="10"/>
  <c r="C21" i="10"/>
  <c r="D21" i="10"/>
  <c r="E21" i="10"/>
  <c r="G21" i="10"/>
  <c r="H21" i="10"/>
  <c r="I21" i="10"/>
  <c r="B22" i="10"/>
  <c r="C22" i="10"/>
  <c r="D22" i="10"/>
  <c r="E22" i="10"/>
  <c r="G22" i="10"/>
  <c r="H22" i="10"/>
  <c r="I22" i="10"/>
  <c r="B23" i="10"/>
  <c r="C23" i="10"/>
  <c r="D23" i="10"/>
  <c r="E23" i="10"/>
  <c r="G23" i="10"/>
  <c r="H23" i="10"/>
  <c r="I23" i="10"/>
  <c r="B25" i="10"/>
  <c r="C25" i="10"/>
  <c r="D25" i="10"/>
  <c r="E25" i="10"/>
  <c r="G25" i="10"/>
  <c r="H25" i="10"/>
  <c r="I25" i="10"/>
  <c r="B26" i="10"/>
  <c r="C26" i="10"/>
  <c r="D26" i="10"/>
  <c r="E26" i="10"/>
  <c r="G26" i="10"/>
  <c r="H26" i="10"/>
  <c r="I26" i="10"/>
  <c r="B27" i="10"/>
  <c r="C27" i="10"/>
  <c r="D27" i="10"/>
  <c r="E27" i="10"/>
  <c r="G27" i="10"/>
  <c r="H27" i="10"/>
  <c r="I27" i="10"/>
  <c r="B28" i="10"/>
  <c r="C28" i="10"/>
  <c r="D28" i="10"/>
  <c r="E28" i="10"/>
  <c r="G28" i="10"/>
  <c r="H28" i="10"/>
  <c r="I28" i="10"/>
  <c r="B29" i="10"/>
  <c r="C29" i="10"/>
  <c r="D29" i="10"/>
  <c r="E29" i="10"/>
  <c r="G29" i="10"/>
  <c r="H29" i="10"/>
  <c r="I29" i="10"/>
  <c r="B32" i="10"/>
  <c r="C32" i="10"/>
  <c r="D32" i="10"/>
  <c r="E32" i="10"/>
  <c r="G32" i="10"/>
  <c r="H32" i="10"/>
  <c r="I32" i="10"/>
  <c r="B33" i="10"/>
  <c r="C33" i="10"/>
  <c r="D33" i="10"/>
  <c r="E33" i="10"/>
  <c r="G33" i="10"/>
  <c r="H33" i="10"/>
  <c r="I33" i="10"/>
  <c r="B34" i="10"/>
  <c r="C34" i="10"/>
  <c r="D34" i="10"/>
  <c r="E34" i="10"/>
  <c r="G34" i="10"/>
  <c r="H34" i="10"/>
  <c r="I34" i="10"/>
  <c r="B35" i="10"/>
  <c r="C35" i="10"/>
  <c r="D35" i="10"/>
  <c r="E35" i="10"/>
  <c r="G35" i="10"/>
  <c r="H35" i="10"/>
  <c r="I35" i="10"/>
  <c r="B38" i="10"/>
  <c r="C38" i="10"/>
  <c r="D38" i="10"/>
  <c r="E38" i="10"/>
  <c r="G38" i="10"/>
  <c r="H38" i="10"/>
  <c r="I38" i="10"/>
  <c r="B39" i="10"/>
  <c r="C39" i="10"/>
  <c r="D39" i="10"/>
  <c r="E39" i="10"/>
  <c r="G39" i="10"/>
  <c r="H39" i="10"/>
  <c r="I39" i="10"/>
  <c r="B43" i="10"/>
  <c r="C43" i="10"/>
  <c r="D43" i="10"/>
  <c r="E43" i="10"/>
  <c r="G43" i="10"/>
  <c r="H43" i="10"/>
  <c r="I43" i="10"/>
  <c r="B45" i="10"/>
  <c r="C45" i="10"/>
  <c r="D45" i="10"/>
  <c r="E45" i="10"/>
  <c r="G45" i="10"/>
  <c r="H45" i="10"/>
  <c r="I45" i="10"/>
  <c r="B47" i="10"/>
  <c r="C47" i="10"/>
  <c r="D47" i="10"/>
  <c r="E47" i="10"/>
  <c r="G47" i="10"/>
  <c r="H47" i="10"/>
  <c r="I47" i="10"/>
  <c r="B48" i="10"/>
  <c r="C48" i="10"/>
  <c r="D48" i="10"/>
  <c r="E48" i="10"/>
  <c r="G48" i="10"/>
  <c r="H48" i="10"/>
  <c r="I48" i="10"/>
  <c r="B49" i="10"/>
  <c r="C49" i="10"/>
  <c r="D49" i="10"/>
  <c r="E49" i="10"/>
  <c r="G49" i="10"/>
  <c r="H49" i="10"/>
  <c r="I49" i="10"/>
  <c r="B51" i="10"/>
  <c r="C51" i="10"/>
  <c r="D51" i="10"/>
  <c r="E51" i="10"/>
  <c r="G51" i="10"/>
  <c r="H51" i="10"/>
  <c r="I51" i="10"/>
  <c r="B52" i="10"/>
  <c r="C52" i="10"/>
  <c r="D52" i="10"/>
  <c r="E52" i="10"/>
  <c r="G52" i="10"/>
  <c r="H52" i="10"/>
  <c r="I52" i="10"/>
  <c r="B53" i="10"/>
  <c r="C53" i="10"/>
  <c r="D53" i="10"/>
  <c r="E53" i="10"/>
  <c r="G53" i="10"/>
  <c r="H53" i="10"/>
  <c r="I53" i="10"/>
  <c r="B54" i="10"/>
  <c r="C54" i="10"/>
  <c r="D54" i="10"/>
  <c r="E54" i="10"/>
  <c r="G54" i="10"/>
  <c r="H54" i="10"/>
  <c r="I54" i="10"/>
  <c r="B55" i="10"/>
  <c r="C55" i="10"/>
  <c r="D55" i="10"/>
  <c r="E55" i="10"/>
  <c r="G55" i="10"/>
  <c r="H55" i="10"/>
  <c r="I55" i="10"/>
  <c r="B57" i="10"/>
  <c r="C57" i="10"/>
  <c r="D57" i="10"/>
  <c r="E57" i="10"/>
  <c r="G57" i="10"/>
  <c r="H57" i="10"/>
  <c r="I57" i="10"/>
  <c r="B58" i="10"/>
  <c r="C58" i="10"/>
  <c r="D58" i="10"/>
  <c r="E58" i="10"/>
  <c r="G58" i="10"/>
  <c r="H58" i="10"/>
  <c r="I58" i="10"/>
  <c r="B59" i="10"/>
  <c r="C59" i="10"/>
  <c r="D59" i="10"/>
  <c r="E59" i="10"/>
  <c r="G59" i="10"/>
  <c r="H59" i="10"/>
  <c r="I59" i="10"/>
  <c r="B61" i="10"/>
  <c r="C61" i="10"/>
  <c r="D61" i="10"/>
  <c r="E61" i="10"/>
  <c r="G61" i="10"/>
  <c r="H61" i="10"/>
  <c r="I61" i="10"/>
  <c r="B62" i="10"/>
  <c r="C62" i="10"/>
  <c r="D62" i="10"/>
  <c r="E62" i="10"/>
  <c r="G62" i="10"/>
  <c r="H62" i="10"/>
  <c r="I62" i="10"/>
  <c r="B63" i="10"/>
  <c r="C63" i="10"/>
  <c r="D63" i="10"/>
  <c r="E63" i="10"/>
  <c r="G63" i="10"/>
  <c r="H63" i="10"/>
  <c r="I63" i="10"/>
  <c r="B64" i="10"/>
  <c r="C64" i="10"/>
  <c r="D64" i="10"/>
  <c r="E64" i="10"/>
  <c r="G64" i="10"/>
  <c r="H64" i="10"/>
  <c r="I64" i="10"/>
  <c r="B65" i="10"/>
  <c r="C65" i="10"/>
  <c r="D65" i="10"/>
  <c r="E65" i="10"/>
  <c r="G65" i="10"/>
  <c r="H65" i="10"/>
  <c r="I65" i="10"/>
  <c r="B66" i="10"/>
  <c r="C66" i="10"/>
  <c r="D66" i="10"/>
  <c r="E66" i="10"/>
  <c r="G66" i="10"/>
  <c r="H66" i="10"/>
  <c r="I66" i="10"/>
  <c r="B67" i="10"/>
  <c r="C67" i="10"/>
  <c r="D67" i="10"/>
  <c r="E67" i="10"/>
  <c r="G67" i="10"/>
  <c r="H67" i="10"/>
  <c r="I67" i="10"/>
  <c r="B68" i="10"/>
  <c r="C68" i="10"/>
  <c r="D68" i="10"/>
  <c r="E68" i="10"/>
  <c r="G68" i="10"/>
  <c r="H68" i="10"/>
  <c r="I68" i="10"/>
  <c r="B69" i="10"/>
  <c r="C69" i="10"/>
  <c r="D69" i="10"/>
  <c r="E69" i="10"/>
  <c r="G69" i="10"/>
  <c r="H69" i="10"/>
  <c r="I69" i="10"/>
  <c r="B70" i="10"/>
  <c r="C70" i="10"/>
  <c r="D70" i="10"/>
  <c r="E70" i="10"/>
  <c r="G70" i="10"/>
  <c r="H70" i="10"/>
  <c r="I70" i="10"/>
  <c r="B71" i="10"/>
  <c r="C71" i="10"/>
  <c r="D71" i="10"/>
  <c r="E71" i="10"/>
  <c r="G71" i="10"/>
  <c r="H71" i="10"/>
  <c r="I71" i="10"/>
  <c r="B72" i="10"/>
  <c r="C72" i="10"/>
  <c r="D72" i="10"/>
  <c r="E72" i="10"/>
  <c r="G72" i="10"/>
  <c r="H72" i="10"/>
  <c r="I72" i="10"/>
  <c r="B73" i="10"/>
  <c r="C73" i="10"/>
  <c r="D73" i="10"/>
  <c r="E73" i="10"/>
  <c r="G73" i="10"/>
  <c r="H73" i="10"/>
  <c r="I73" i="10"/>
  <c r="B74" i="10"/>
  <c r="C74" i="10"/>
  <c r="D74" i="10"/>
  <c r="E74" i="10"/>
  <c r="G74" i="10"/>
  <c r="H74" i="10"/>
  <c r="I74" i="10"/>
  <c r="B75" i="10"/>
  <c r="C75" i="10"/>
  <c r="D75" i="10"/>
  <c r="E75" i="10"/>
  <c r="G75" i="10"/>
  <c r="H75" i="10"/>
  <c r="I75" i="10"/>
  <c r="B76" i="10"/>
  <c r="C76" i="10"/>
  <c r="D76" i="10"/>
  <c r="E76" i="10"/>
  <c r="G76" i="10"/>
  <c r="H76" i="10"/>
  <c r="I76" i="10"/>
  <c r="B77" i="10"/>
  <c r="C77" i="10"/>
  <c r="D77" i="10"/>
  <c r="E77" i="10"/>
  <c r="G77" i="10"/>
  <c r="H77" i="10"/>
  <c r="I77" i="10"/>
  <c r="B78" i="10"/>
  <c r="C78" i="10"/>
  <c r="D78" i="10"/>
  <c r="E78" i="10"/>
  <c r="G78" i="10"/>
  <c r="H78" i="10"/>
  <c r="I78" i="10"/>
  <c r="B79" i="10"/>
  <c r="C79" i="10"/>
  <c r="D79" i="10"/>
  <c r="E79" i="10"/>
  <c r="G79" i="10"/>
  <c r="H79" i="10"/>
  <c r="I79" i="10"/>
  <c r="B80" i="10"/>
  <c r="C80" i="10"/>
  <c r="D80" i="10"/>
  <c r="E80" i="10"/>
  <c r="G80" i="10"/>
  <c r="H80" i="10"/>
  <c r="I80" i="10"/>
  <c r="B81" i="10"/>
  <c r="C81" i="10"/>
  <c r="D81" i="10"/>
  <c r="E81" i="10"/>
  <c r="G81" i="10"/>
  <c r="H81" i="10"/>
  <c r="I81" i="10"/>
  <c r="B84" i="10"/>
  <c r="C84" i="10"/>
  <c r="D84" i="10"/>
  <c r="E84" i="10"/>
  <c r="G84" i="10"/>
  <c r="H84" i="10"/>
  <c r="I84" i="10"/>
  <c r="B85" i="10"/>
  <c r="C85" i="10"/>
  <c r="D85" i="10"/>
  <c r="E85" i="10"/>
  <c r="G85" i="10"/>
  <c r="H85" i="10"/>
  <c r="I85" i="10"/>
  <c r="B86" i="10"/>
  <c r="C86" i="10"/>
  <c r="D86" i="10"/>
  <c r="E86" i="10"/>
  <c r="G86" i="10"/>
  <c r="H86" i="10"/>
  <c r="I86" i="10"/>
  <c r="B88" i="10"/>
  <c r="C88" i="10"/>
  <c r="D88" i="10"/>
  <c r="E88" i="10"/>
  <c r="G88" i="10"/>
  <c r="H88" i="10"/>
  <c r="I88" i="10"/>
  <c r="B89" i="10"/>
  <c r="C89" i="10"/>
  <c r="D89" i="10"/>
  <c r="E89" i="10"/>
  <c r="G89" i="10"/>
  <c r="H89" i="10"/>
  <c r="I89" i="10"/>
  <c r="B90" i="10"/>
  <c r="C90" i="10"/>
  <c r="D90" i="10"/>
  <c r="E90" i="10"/>
  <c r="G90" i="10"/>
  <c r="H90" i="10"/>
  <c r="I90" i="10"/>
  <c r="B91" i="10"/>
  <c r="C91" i="10"/>
  <c r="D91" i="10"/>
  <c r="E91" i="10"/>
  <c r="G91" i="10"/>
  <c r="H91" i="10"/>
  <c r="I91" i="10"/>
  <c r="B92" i="10"/>
  <c r="C92" i="10"/>
  <c r="D92" i="10"/>
  <c r="E92" i="10"/>
  <c r="G92" i="10"/>
  <c r="H92" i="10"/>
  <c r="I92" i="10"/>
  <c r="B93" i="10"/>
  <c r="C93" i="10"/>
  <c r="D93" i="10"/>
  <c r="E93" i="10"/>
  <c r="G93" i="10"/>
  <c r="H93" i="10"/>
  <c r="I93" i="10"/>
  <c r="B94" i="10"/>
  <c r="C94" i="10"/>
  <c r="D94" i="10"/>
  <c r="E94" i="10"/>
  <c r="G94" i="10"/>
  <c r="H94" i="10"/>
  <c r="I94" i="10"/>
  <c r="B95" i="10"/>
  <c r="C95" i="10"/>
  <c r="D95" i="10"/>
  <c r="E95" i="10"/>
  <c r="G95" i="10"/>
  <c r="H95" i="10"/>
  <c r="I95" i="10"/>
  <c r="B96" i="10"/>
  <c r="C96" i="10"/>
  <c r="D96" i="10"/>
  <c r="E96" i="10"/>
  <c r="G96" i="10"/>
  <c r="H96" i="10"/>
  <c r="I96" i="10"/>
  <c r="B104" i="10"/>
  <c r="C104" i="10"/>
  <c r="D104" i="10"/>
  <c r="E104" i="10"/>
  <c r="G104" i="10"/>
  <c r="H104" i="10"/>
  <c r="I104" i="10"/>
  <c r="B105" i="10"/>
  <c r="C105" i="10"/>
  <c r="D105" i="10"/>
  <c r="E105" i="10"/>
  <c r="G105" i="10"/>
  <c r="H105" i="10"/>
  <c r="I105" i="10"/>
  <c r="B106" i="10"/>
  <c r="C106" i="10"/>
  <c r="D106" i="10"/>
  <c r="E106" i="10"/>
  <c r="G106" i="10"/>
  <c r="H106" i="10"/>
  <c r="I106" i="10"/>
  <c r="B107" i="10"/>
  <c r="C107" i="10"/>
  <c r="D107" i="10"/>
  <c r="E107" i="10"/>
  <c r="G107" i="10"/>
  <c r="H107" i="10"/>
  <c r="I107" i="10"/>
  <c r="B108" i="10"/>
  <c r="C108" i="10"/>
  <c r="D108" i="10"/>
  <c r="E108" i="10"/>
  <c r="G108" i="10"/>
  <c r="H108" i="10"/>
  <c r="I108" i="10"/>
  <c r="B109" i="10"/>
  <c r="C109" i="10"/>
  <c r="D109" i="10"/>
  <c r="E109" i="10"/>
  <c r="G109" i="10"/>
  <c r="H109" i="10"/>
  <c r="I109" i="10"/>
  <c r="B110" i="10"/>
  <c r="C110" i="10"/>
  <c r="D110" i="10"/>
  <c r="E110" i="10"/>
  <c r="G110" i="10"/>
  <c r="H110" i="10"/>
  <c r="I110" i="10"/>
  <c r="B111" i="10"/>
  <c r="C111" i="10"/>
  <c r="D111" i="10"/>
  <c r="E111" i="10"/>
  <c r="G111" i="10"/>
  <c r="H111" i="10"/>
  <c r="I111" i="10"/>
  <c r="B113" i="10"/>
  <c r="C113" i="10"/>
  <c r="D113" i="10"/>
  <c r="E113" i="10"/>
  <c r="G113" i="10"/>
  <c r="H113" i="10"/>
  <c r="I113" i="10"/>
  <c r="B114" i="10"/>
  <c r="C114" i="10"/>
  <c r="D114" i="10"/>
  <c r="E114" i="10"/>
  <c r="G114" i="10"/>
  <c r="H114" i="10"/>
  <c r="I114" i="10"/>
  <c r="B116" i="10"/>
  <c r="C116" i="10"/>
  <c r="D116" i="10"/>
  <c r="E116" i="10"/>
  <c r="G116" i="10"/>
  <c r="H116" i="10"/>
  <c r="I116" i="10"/>
  <c r="B117" i="10"/>
  <c r="C117" i="10"/>
  <c r="D117" i="10"/>
  <c r="E117" i="10"/>
  <c r="G117" i="10"/>
  <c r="H117" i="10"/>
  <c r="I117" i="10"/>
  <c r="B118" i="10"/>
  <c r="C118" i="10"/>
  <c r="D118" i="10"/>
  <c r="E118" i="10"/>
  <c r="G118" i="10"/>
  <c r="H118" i="10"/>
  <c r="I118" i="10"/>
  <c r="B120" i="10"/>
  <c r="C120" i="10"/>
  <c r="D120" i="10"/>
  <c r="E120" i="10"/>
  <c r="G120" i="10"/>
  <c r="H120" i="10"/>
  <c r="I120" i="10"/>
  <c r="B122" i="10"/>
  <c r="C122" i="10"/>
  <c r="D122" i="10"/>
  <c r="E122" i="10"/>
  <c r="G122" i="10"/>
  <c r="H122" i="10"/>
  <c r="I122" i="10"/>
  <c r="B123" i="10"/>
  <c r="C123" i="10"/>
  <c r="D123" i="10"/>
  <c r="E123" i="10"/>
  <c r="G123" i="10"/>
  <c r="H123" i="10"/>
  <c r="I123" i="10"/>
  <c r="B125" i="10"/>
  <c r="C125" i="10"/>
  <c r="D125" i="10"/>
  <c r="E125" i="10"/>
  <c r="G125" i="10"/>
  <c r="H125" i="10"/>
  <c r="I125" i="10"/>
  <c r="B126" i="10"/>
  <c r="C126" i="10"/>
  <c r="D126" i="10"/>
  <c r="E126" i="10"/>
  <c r="G126" i="10"/>
  <c r="H126" i="10"/>
  <c r="I126" i="10"/>
  <c r="B127" i="10"/>
  <c r="C127" i="10"/>
  <c r="D127" i="10"/>
  <c r="E127" i="10"/>
  <c r="G127" i="10"/>
  <c r="H127" i="10"/>
  <c r="I127" i="10"/>
  <c r="B128" i="10"/>
  <c r="C128" i="10"/>
  <c r="D128" i="10"/>
  <c r="E128" i="10"/>
  <c r="G128" i="10"/>
  <c r="H128" i="10"/>
  <c r="I128" i="10"/>
  <c r="B132" i="10"/>
  <c r="C132" i="10"/>
  <c r="D132" i="10"/>
  <c r="E132" i="10"/>
  <c r="G132" i="10"/>
  <c r="H132" i="10"/>
  <c r="I132" i="10"/>
  <c r="B133" i="10"/>
  <c r="C133" i="10"/>
  <c r="D133" i="10"/>
  <c r="E133" i="10"/>
  <c r="G133" i="10"/>
  <c r="H133" i="10"/>
  <c r="I133" i="10"/>
  <c r="B134" i="10"/>
  <c r="C134" i="10"/>
  <c r="D134" i="10"/>
  <c r="E134" i="10"/>
  <c r="G134" i="10"/>
  <c r="H134" i="10"/>
  <c r="I134" i="10"/>
  <c r="B136" i="10"/>
  <c r="C136" i="10"/>
  <c r="D136" i="10"/>
  <c r="E136" i="10"/>
  <c r="G136" i="10"/>
  <c r="H136" i="10"/>
  <c r="I136" i="10"/>
  <c r="B137" i="10"/>
  <c r="C137" i="10"/>
  <c r="D137" i="10"/>
  <c r="E137" i="10"/>
  <c r="G137" i="10"/>
  <c r="H137" i="10"/>
  <c r="I137" i="10"/>
  <c r="B138" i="10"/>
  <c r="C138" i="10"/>
  <c r="D138" i="10"/>
  <c r="E138" i="10"/>
  <c r="G138" i="10"/>
  <c r="H138" i="10"/>
  <c r="I138" i="10"/>
  <c r="B139" i="10"/>
  <c r="C139" i="10"/>
  <c r="D139" i="10"/>
  <c r="E139" i="10"/>
  <c r="G139" i="10"/>
  <c r="H139" i="10"/>
  <c r="I139" i="10"/>
  <c r="B140" i="10"/>
  <c r="C140" i="10"/>
  <c r="D140" i="10"/>
  <c r="E140" i="10"/>
  <c r="G140" i="10"/>
  <c r="H140" i="10"/>
  <c r="I140" i="10"/>
  <c r="B141" i="10"/>
  <c r="C141" i="10"/>
  <c r="D141" i="10"/>
  <c r="E141" i="10"/>
  <c r="G141" i="10"/>
  <c r="H141" i="10"/>
  <c r="I141" i="10"/>
  <c r="B143" i="10"/>
  <c r="C143" i="10"/>
  <c r="D143" i="10"/>
  <c r="E143" i="10"/>
  <c r="G143" i="10"/>
  <c r="H143" i="10"/>
  <c r="I143" i="10"/>
  <c r="B145" i="10"/>
  <c r="C145" i="10"/>
  <c r="D145" i="10"/>
  <c r="E145" i="10"/>
  <c r="G145" i="10"/>
  <c r="H145" i="10"/>
  <c r="I145" i="10"/>
  <c r="B146" i="10"/>
  <c r="C146" i="10"/>
  <c r="D146" i="10"/>
  <c r="E146" i="10"/>
  <c r="G146" i="10"/>
  <c r="H146" i="10"/>
  <c r="I146" i="10"/>
  <c r="B147" i="10"/>
  <c r="C147" i="10"/>
  <c r="D147" i="10"/>
  <c r="E147" i="10"/>
  <c r="G147" i="10"/>
  <c r="H147" i="10"/>
  <c r="I147" i="10"/>
  <c r="B148" i="10"/>
  <c r="C148" i="10"/>
  <c r="D148" i="10"/>
  <c r="E148" i="10"/>
  <c r="G148" i="10"/>
  <c r="H148" i="10"/>
  <c r="I148" i="10"/>
  <c r="B149" i="10"/>
  <c r="C149" i="10"/>
  <c r="D149" i="10"/>
  <c r="E149" i="10"/>
  <c r="G149" i="10"/>
  <c r="H149" i="10"/>
  <c r="I149" i="10"/>
  <c r="B150" i="10"/>
  <c r="C150" i="10"/>
  <c r="D150" i="10"/>
  <c r="E150" i="10"/>
  <c r="G150" i="10"/>
  <c r="H150" i="10"/>
  <c r="I150" i="10"/>
  <c r="B151" i="10"/>
  <c r="C151" i="10"/>
  <c r="D151" i="10"/>
  <c r="E151" i="10"/>
  <c r="G151" i="10"/>
  <c r="H151" i="10"/>
  <c r="I151" i="10"/>
  <c r="B155" i="10"/>
  <c r="C155" i="10"/>
  <c r="D155" i="10"/>
  <c r="E155" i="10"/>
  <c r="G155" i="10"/>
  <c r="H155" i="10"/>
  <c r="I155" i="10"/>
  <c r="B156" i="10"/>
  <c r="C156" i="10"/>
  <c r="D156" i="10"/>
  <c r="E156" i="10"/>
  <c r="G156" i="10"/>
  <c r="H156" i="10"/>
  <c r="I156" i="10"/>
  <c r="B157" i="10"/>
  <c r="C157" i="10"/>
  <c r="D157" i="10"/>
  <c r="E157" i="10"/>
  <c r="G157" i="10"/>
  <c r="H157" i="10"/>
  <c r="I157" i="10"/>
  <c r="B158" i="10"/>
  <c r="C158" i="10"/>
  <c r="D158" i="10"/>
  <c r="E158" i="10"/>
  <c r="G158" i="10"/>
  <c r="H158" i="10"/>
  <c r="I158" i="10"/>
  <c r="B159" i="10"/>
  <c r="C159" i="10"/>
  <c r="D159" i="10"/>
  <c r="E159" i="10"/>
  <c r="G159" i="10"/>
  <c r="H159" i="10"/>
  <c r="I159" i="10"/>
  <c r="B13" i="11"/>
  <c r="B12" i="11"/>
  <c r="C11" i="11"/>
  <c r="Z2" i="13"/>
  <c r="AE1" i="13"/>
  <c r="AA1" i="13"/>
  <c r="AB1" i="13"/>
  <c r="AC1" i="13"/>
  <c r="AD1" i="13"/>
  <c r="Z1" i="13"/>
  <c r="M179" i="3"/>
  <c r="N29" i="3"/>
  <c r="L29" i="3"/>
  <c r="M29" i="3"/>
  <c r="L179" i="3"/>
  <c r="N179" i="3"/>
  <c r="AS20" i="24" l="1" a="1"/>
  <c r="AS20" i="24" s="1"/>
  <c r="AM20" i="24" a="1"/>
  <c r="AM20" i="24" s="1"/>
  <c r="T24" i="24" a="1"/>
  <c r="T24" i="24" s="1"/>
  <c r="U23" i="24"/>
  <c r="H24" i="28" a="1"/>
  <c r="H24" i="28" s="1"/>
  <c r="L23" i="28"/>
  <c r="B2" i="12"/>
  <c r="R4" i="13"/>
  <c r="R2" i="13"/>
  <c r="S2" i="13"/>
  <c r="R3" i="13"/>
  <c r="AS21" i="24" l="1" a="1"/>
  <c r="AS21" i="24" s="1"/>
  <c r="AM21" i="24" a="1"/>
  <c r="AM21" i="24" s="1"/>
  <c r="T25" i="24" a="1"/>
  <c r="T25" i="24" s="1"/>
  <c r="U24" i="24"/>
  <c r="H25" i="28" a="1"/>
  <c r="H25" i="28" s="1"/>
  <c r="L24" i="28"/>
  <c r="AS22" i="24" l="1" a="1"/>
  <c r="AS22" i="24" s="1"/>
  <c r="AM22" i="24" a="1"/>
  <c r="AM22" i="24" s="1"/>
  <c r="T26" i="24" a="1"/>
  <c r="T26" i="24" s="1"/>
  <c r="U25" i="24"/>
  <c r="H26" i="28" a="1"/>
  <c r="H26" i="28" s="1"/>
  <c r="L26" i="28" s="1"/>
  <c r="L25" i="28"/>
  <c r="L2" i="10"/>
  <c r="AS23" i="24" l="1" a="1"/>
  <c r="AS23" i="24" s="1"/>
  <c r="AM23" i="24" a="1"/>
  <c r="AM23" i="24" s="1"/>
  <c r="T27" i="24" a="1"/>
  <c r="T27" i="24" s="1"/>
  <c r="U26" i="24"/>
  <c r="B9" i="11"/>
  <c r="B8" i="11"/>
  <c r="AS24" i="24" l="1" a="1"/>
  <c r="AS24" i="24" s="1"/>
  <c r="AM24" i="24" a="1"/>
  <c r="AM24" i="24" s="1"/>
  <c r="I3" i="11"/>
  <c r="H3" i="11"/>
  <c r="G3" i="11"/>
  <c r="I4" i="11"/>
  <c r="H4" i="11"/>
  <c r="G4" i="11"/>
  <c r="I2" i="11"/>
  <c r="H2" i="11"/>
  <c r="G2" i="11"/>
  <c r="T28" i="24" a="1"/>
  <c r="T28" i="24" s="1"/>
  <c r="U27" i="24"/>
  <c r="AA2" i="13"/>
  <c r="R7" i="3"/>
  <c r="R8" i="3"/>
  <c r="AB2" i="13"/>
  <c r="Z121" i="9"/>
  <c r="C13" i="11" s="1"/>
  <c r="S4" i="13" s="1"/>
  <c r="AS25" i="24" l="1" a="1"/>
  <c r="AS25" i="24" s="1"/>
  <c r="AM25" i="24" a="1"/>
  <c r="AM25" i="24" s="1"/>
  <c r="T29" i="24" a="1"/>
  <c r="T29" i="24" s="1"/>
  <c r="U28" i="24"/>
  <c r="H113" i="3"/>
  <c r="AE93" i="13" s="1"/>
  <c r="H112" i="3"/>
  <c r="AE92" i="13" s="1"/>
  <c r="H96" i="3"/>
  <c r="AE76" i="13" s="1"/>
  <c r="H80" i="3"/>
  <c r="AE60" i="13" s="1"/>
  <c r="H58" i="3"/>
  <c r="AE38" i="13" s="1"/>
  <c r="H34" i="3"/>
  <c r="AE14" i="13" s="1"/>
  <c r="H110" i="3"/>
  <c r="AE90" i="13" s="1"/>
  <c r="H170" i="3"/>
  <c r="AE150" i="13" s="1"/>
  <c r="H157" i="3"/>
  <c r="AE137" i="13" s="1"/>
  <c r="H138" i="3"/>
  <c r="AE118" i="13" s="1"/>
  <c r="H124" i="3"/>
  <c r="AE104" i="13" s="1"/>
  <c r="H106" i="3"/>
  <c r="AE86" i="13" s="1"/>
  <c r="H89" i="3"/>
  <c r="AE69" i="13" s="1"/>
  <c r="H72" i="3"/>
  <c r="AE52" i="13" s="1"/>
  <c r="H54" i="3"/>
  <c r="AE34" i="13" s="1"/>
  <c r="H31" i="3"/>
  <c r="AE11" i="13" s="1"/>
  <c r="H123" i="3"/>
  <c r="AE103" i="13" s="1"/>
  <c r="H141" i="3"/>
  <c r="AE121" i="13" s="1"/>
  <c r="H50" i="3"/>
  <c r="AE30" i="13" s="1"/>
  <c r="H118" i="3"/>
  <c r="AE98" i="13" s="1"/>
  <c r="H115" i="3"/>
  <c r="AE95" i="13" s="1"/>
  <c r="H109" i="3"/>
  <c r="AE89" i="13" s="1"/>
  <c r="H91" i="3"/>
  <c r="AE71" i="13" s="1"/>
  <c r="H74" i="3"/>
  <c r="AE54" i="13" s="1"/>
  <c r="H42" i="3"/>
  <c r="AE22" i="13" s="1"/>
  <c r="H169" i="3"/>
  <c r="AE149" i="13" s="1"/>
  <c r="H156" i="3"/>
  <c r="AE136" i="13" s="1"/>
  <c r="H137" i="3"/>
  <c r="AE117" i="13" s="1"/>
  <c r="H150" i="3"/>
  <c r="AE130" i="13" s="1"/>
  <c r="H84" i="3"/>
  <c r="AE64" i="13" s="1"/>
  <c r="H158" i="3"/>
  <c r="AE138" i="13" s="1"/>
  <c r="H111" i="3"/>
  <c r="AE91" i="13" s="1"/>
  <c r="H28" i="3"/>
  <c r="AE8" i="13" s="1"/>
  <c r="H168" i="3"/>
  <c r="AE148" i="13" s="1"/>
  <c r="H154" i="3"/>
  <c r="AE134" i="13" s="1"/>
  <c r="H136" i="3"/>
  <c r="AE116" i="13" s="1"/>
  <c r="H48" i="3"/>
  <c r="AE28" i="13" s="1"/>
  <c r="H98" i="3"/>
  <c r="AE78" i="13" s="1"/>
  <c r="H82" i="3"/>
  <c r="AE62" i="13" s="1"/>
  <c r="H63" i="3"/>
  <c r="AE43" i="13" s="1"/>
  <c r="H159" i="3"/>
  <c r="AE139" i="13" s="1"/>
  <c r="H77" i="3"/>
  <c r="AE57" i="13" s="1"/>
  <c r="H103" i="3"/>
  <c r="AE83" i="13" s="1"/>
  <c r="H47" i="3"/>
  <c r="AE27" i="13" s="1"/>
  <c r="H92" i="3"/>
  <c r="AE72" i="13" s="1"/>
  <c r="H75" i="3"/>
  <c r="AE55" i="13" s="1"/>
  <c r="H53" i="3"/>
  <c r="AE33" i="13" s="1"/>
  <c r="H26" i="3"/>
  <c r="AE6" i="13" s="1"/>
  <c r="H100" i="3"/>
  <c r="AE80" i="13" s="1"/>
  <c r="H167" i="3"/>
  <c r="AE147" i="13" s="1"/>
  <c r="H153" i="3"/>
  <c r="AE133" i="13" s="1"/>
  <c r="H134" i="3"/>
  <c r="AE114" i="13" s="1"/>
  <c r="H101" i="3"/>
  <c r="AE81" i="13" s="1"/>
  <c r="H85" i="3"/>
  <c r="AE65" i="13" s="1"/>
  <c r="H67" i="3"/>
  <c r="AE47" i="13" s="1"/>
  <c r="H43" i="3"/>
  <c r="AE23" i="13" s="1"/>
  <c r="H25" i="3"/>
  <c r="AE5" i="13" s="1"/>
  <c r="H114" i="3"/>
  <c r="AE94" i="13" s="1"/>
  <c r="H164" i="3"/>
  <c r="AE144" i="13" s="1"/>
  <c r="H38" i="3"/>
  <c r="AE18" i="13" s="1"/>
  <c r="H37" i="3"/>
  <c r="AE17" i="13" s="1"/>
  <c r="H117" i="3"/>
  <c r="AE97" i="13" s="1"/>
  <c r="H125" i="3"/>
  <c r="AE105" i="13" s="1"/>
  <c r="H104" i="3"/>
  <c r="AE84" i="13" s="1"/>
  <c r="H87" i="3"/>
  <c r="AE67" i="13" s="1"/>
  <c r="H69" i="3"/>
  <c r="AE49" i="13" s="1"/>
  <c r="H35" i="3"/>
  <c r="AE15" i="13" s="1"/>
  <c r="H173" i="3"/>
  <c r="AE153" i="13" s="1"/>
  <c r="H166" i="3"/>
  <c r="AE146" i="13" s="1"/>
  <c r="H152" i="3"/>
  <c r="AE132" i="13" s="1"/>
  <c r="H133" i="3"/>
  <c r="AE113" i="13" s="1"/>
  <c r="H143" i="3"/>
  <c r="AE123" i="13" s="1"/>
  <c r="H171" i="3"/>
  <c r="AE151" i="13" s="1"/>
  <c r="H86" i="3"/>
  <c r="AE66" i="13" s="1"/>
  <c r="H24" i="3"/>
  <c r="AE4" i="13" s="1"/>
  <c r="H155" i="3"/>
  <c r="AE135" i="13" s="1"/>
  <c r="H165" i="3"/>
  <c r="AE145" i="13" s="1"/>
  <c r="H148" i="3"/>
  <c r="AE128" i="13" s="1"/>
  <c r="H131" i="3"/>
  <c r="AE111" i="13" s="1"/>
  <c r="H46" i="3"/>
  <c r="AE26" i="13" s="1"/>
  <c r="H94" i="3"/>
  <c r="AE74" i="13" s="1"/>
  <c r="H78" i="3"/>
  <c r="AE58" i="13" s="1"/>
  <c r="H65" i="3"/>
  <c r="AE45" i="13" s="1"/>
  <c r="H45" i="3"/>
  <c r="AE25" i="13" s="1"/>
  <c r="H88" i="3"/>
  <c r="AE68" i="13" s="1"/>
  <c r="H71" i="3"/>
  <c r="AE51" i="13" s="1"/>
  <c r="H41" i="3"/>
  <c r="AE21" i="13" s="1"/>
  <c r="H23" i="3"/>
  <c r="AE3" i="13" s="1"/>
  <c r="H178" i="3"/>
  <c r="AE158" i="13" s="1"/>
  <c r="H163" i="3"/>
  <c r="AE143" i="13" s="1"/>
  <c r="H147" i="3"/>
  <c r="AE127" i="13" s="1"/>
  <c r="H130" i="3"/>
  <c r="AE110" i="13" s="1"/>
  <c r="H97" i="3"/>
  <c r="AE77" i="13" s="1"/>
  <c r="H81" i="3"/>
  <c r="AE61" i="13" s="1"/>
  <c r="H59" i="3"/>
  <c r="AE39" i="13" s="1"/>
  <c r="H40" i="3"/>
  <c r="AE20" i="13" s="1"/>
  <c r="H122" i="3"/>
  <c r="AE102" i="13" s="1"/>
  <c r="H127" i="3"/>
  <c r="AE107" i="13" s="1"/>
  <c r="H144" i="3"/>
  <c r="AE124" i="13" s="1"/>
  <c r="H39" i="3"/>
  <c r="AE19" i="13" s="1"/>
  <c r="H68" i="3"/>
  <c r="AE48" i="13" s="1"/>
  <c r="H120" i="3"/>
  <c r="AE100" i="13" s="1"/>
  <c r="H99" i="3"/>
  <c r="AE79" i="13" s="1"/>
  <c r="H83" i="3"/>
  <c r="AE63" i="13" s="1"/>
  <c r="H64" i="3"/>
  <c r="AE44" i="13" s="1"/>
  <c r="H56" i="3"/>
  <c r="AE36" i="13" s="1"/>
  <c r="H177" i="3"/>
  <c r="AE157" i="13" s="1"/>
  <c r="H161" i="3"/>
  <c r="AE141" i="13" s="1"/>
  <c r="H146" i="3"/>
  <c r="AE126" i="13" s="1"/>
  <c r="H129" i="3"/>
  <c r="AE109" i="13" s="1"/>
  <c r="H175" i="3"/>
  <c r="AE155" i="13" s="1"/>
  <c r="H55" i="3"/>
  <c r="AE35" i="13" s="1"/>
  <c r="H61" i="3"/>
  <c r="AE41" i="13" s="1"/>
  <c r="H176" i="3"/>
  <c r="AE156" i="13" s="1"/>
  <c r="H160" i="3"/>
  <c r="AE140" i="13" s="1"/>
  <c r="H145" i="3"/>
  <c r="AE125" i="13" s="1"/>
  <c r="H128" i="3"/>
  <c r="AE108" i="13" s="1"/>
  <c r="H108" i="3"/>
  <c r="AE88" i="13" s="1"/>
  <c r="H90" i="3"/>
  <c r="AE70" i="13" s="1"/>
  <c r="H73" i="3"/>
  <c r="AE53" i="13" s="1"/>
  <c r="H105" i="3"/>
  <c r="AE85" i="13" s="1"/>
  <c r="H93" i="3"/>
  <c r="AE73" i="13" s="1"/>
  <c r="H140" i="3"/>
  <c r="AE120" i="13" s="1"/>
  <c r="H121" i="3"/>
  <c r="AE101" i="13" s="1"/>
  <c r="H119" i="3"/>
  <c r="AE99" i="13" s="1"/>
  <c r="H116" i="3"/>
  <c r="AE96" i="13" s="1"/>
  <c r="H95" i="3"/>
  <c r="AE75" i="13" s="1"/>
  <c r="H79" i="3"/>
  <c r="AE59" i="13" s="1"/>
  <c r="H52" i="3"/>
  <c r="AE32" i="13" s="1"/>
  <c r="H49" i="3"/>
  <c r="AE29" i="13" s="1"/>
  <c r="H172" i="3"/>
  <c r="AE152" i="13" s="1"/>
  <c r="H162" i="3"/>
  <c r="AE142" i="13" s="1"/>
  <c r="H142" i="3"/>
  <c r="AE122" i="13" s="1"/>
  <c r="H126" i="3"/>
  <c r="AE106" i="13" s="1"/>
  <c r="F155" i="3"/>
  <c r="AC135" i="13" s="1"/>
  <c r="F161" i="3"/>
  <c r="AC141" i="13" s="1"/>
  <c r="F150" i="3"/>
  <c r="AC130" i="13" s="1"/>
  <c r="F118" i="3"/>
  <c r="AC98" i="13" s="1"/>
  <c r="F28" i="3"/>
  <c r="AC8" i="13" s="1"/>
  <c r="F48" i="3"/>
  <c r="AC28" i="13" s="1"/>
  <c r="F98" i="3"/>
  <c r="AC78" i="13" s="1"/>
  <c r="F82" i="3"/>
  <c r="AC62" i="13" s="1"/>
  <c r="F63" i="3"/>
  <c r="AC43" i="13" s="1"/>
  <c r="F114" i="3"/>
  <c r="AC94" i="13" s="1"/>
  <c r="F175" i="3"/>
  <c r="AC155" i="13" s="1"/>
  <c r="F123" i="3"/>
  <c r="AC103" i="13" s="1"/>
  <c r="F172" i="3"/>
  <c r="AC152" i="13" s="1"/>
  <c r="F178" i="3"/>
  <c r="AC158" i="13" s="1"/>
  <c r="F47" i="3"/>
  <c r="AC27" i="13" s="1"/>
  <c r="F92" i="3"/>
  <c r="AC72" i="13" s="1"/>
  <c r="F75" i="3"/>
  <c r="AC55" i="13" s="1"/>
  <c r="F53" i="3"/>
  <c r="AC33" i="13" s="1"/>
  <c r="F26" i="3"/>
  <c r="AC6" i="13" s="1"/>
  <c r="F100" i="3"/>
  <c r="AC80" i="13" s="1"/>
  <c r="F116" i="3"/>
  <c r="AC96" i="13" s="1"/>
  <c r="F101" i="3"/>
  <c r="AC81" i="13" s="1"/>
  <c r="F85" i="3"/>
  <c r="AC65" i="13" s="1"/>
  <c r="F67" i="3"/>
  <c r="AC47" i="13" s="1"/>
  <c r="F43" i="3"/>
  <c r="AC23" i="13" s="1"/>
  <c r="F25" i="3"/>
  <c r="AC5" i="13" s="1"/>
  <c r="F68" i="3"/>
  <c r="AC48" i="13" s="1"/>
  <c r="F91" i="3"/>
  <c r="AC71" i="13" s="1"/>
  <c r="F169" i="3"/>
  <c r="AC149" i="13" s="1"/>
  <c r="F143" i="3"/>
  <c r="AC123" i="13" s="1"/>
  <c r="F147" i="3"/>
  <c r="AC127" i="13" s="1"/>
  <c r="F162" i="3"/>
  <c r="AC142" i="13" s="1"/>
  <c r="F104" i="3"/>
  <c r="AC84" i="13" s="1"/>
  <c r="F87" i="3"/>
  <c r="AC67" i="13" s="1"/>
  <c r="F69" i="3"/>
  <c r="AC49" i="13" s="1"/>
  <c r="F35" i="3"/>
  <c r="AC15" i="13" s="1"/>
  <c r="F46" i="3"/>
  <c r="AC26" i="13" s="1"/>
  <c r="F78" i="3"/>
  <c r="AC58" i="13" s="1"/>
  <c r="F97" i="3"/>
  <c r="AC77" i="13" s="1"/>
  <c r="F81" i="3"/>
  <c r="AC61" i="13" s="1"/>
  <c r="F122" i="3"/>
  <c r="AC102" i="13" s="1"/>
  <c r="F113" i="3"/>
  <c r="AC93" i="13" s="1"/>
  <c r="F129" i="3"/>
  <c r="AC109" i="13" s="1"/>
  <c r="F134" i="3"/>
  <c r="AC114" i="13" s="1"/>
  <c r="F165" i="3"/>
  <c r="AC145" i="13" s="1"/>
  <c r="F136" i="3"/>
  <c r="AC116" i="13" s="1"/>
  <c r="F164" i="3"/>
  <c r="AC144" i="13" s="1"/>
  <c r="F173" i="3"/>
  <c r="AC153" i="13" s="1"/>
  <c r="F176" i="3"/>
  <c r="AC156" i="13" s="1"/>
  <c r="F24" i="3"/>
  <c r="AC4" i="13" s="1"/>
  <c r="F94" i="3"/>
  <c r="AC74" i="13" s="1"/>
  <c r="F40" i="3"/>
  <c r="AC20" i="13" s="1"/>
  <c r="F39" i="3"/>
  <c r="AC19" i="13" s="1"/>
  <c r="F42" i="3"/>
  <c r="AC22" i="13" s="1"/>
  <c r="F159" i="3"/>
  <c r="AC139" i="13" s="1"/>
  <c r="F142" i="3"/>
  <c r="AC122" i="13" s="1"/>
  <c r="F168" i="3"/>
  <c r="AC148" i="13" s="1"/>
  <c r="F170" i="3"/>
  <c r="AC150" i="13" s="1"/>
  <c r="F166" i="3"/>
  <c r="AC146" i="13" s="1"/>
  <c r="F127" i="3"/>
  <c r="AC107" i="13" s="1"/>
  <c r="F45" i="3"/>
  <c r="AC25" i="13" s="1"/>
  <c r="F88" i="3"/>
  <c r="AC68" i="13" s="1"/>
  <c r="F71" i="3"/>
  <c r="AC51" i="13" s="1"/>
  <c r="F41" i="3"/>
  <c r="AC21" i="13" s="1"/>
  <c r="F23" i="3"/>
  <c r="AC3" i="13" s="1"/>
  <c r="F59" i="3"/>
  <c r="AC39" i="13" s="1"/>
  <c r="F103" i="3"/>
  <c r="AC83" i="13" s="1"/>
  <c r="F74" i="3"/>
  <c r="AC54" i="13" s="1"/>
  <c r="F156" i="3"/>
  <c r="AC136" i="13" s="1"/>
  <c r="F163" i="3"/>
  <c r="AC143" i="13" s="1"/>
  <c r="F130" i="3"/>
  <c r="AC110" i="13" s="1"/>
  <c r="F160" i="3"/>
  <c r="AC140" i="13" s="1"/>
  <c r="F157" i="3"/>
  <c r="AC137" i="13" s="1"/>
  <c r="F121" i="3"/>
  <c r="AC101" i="13" s="1"/>
  <c r="F120" i="3"/>
  <c r="AC100" i="13" s="1"/>
  <c r="F99" i="3"/>
  <c r="AC79" i="13" s="1"/>
  <c r="F83" i="3"/>
  <c r="AC63" i="13" s="1"/>
  <c r="F64" i="3"/>
  <c r="AC44" i="13" s="1"/>
  <c r="F56" i="3"/>
  <c r="AC36" i="13" s="1"/>
  <c r="F154" i="3"/>
  <c r="AC134" i="13" s="1"/>
  <c r="F148" i="3"/>
  <c r="AC128" i="13" s="1"/>
  <c r="F171" i="3"/>
  <c r="AC151" i="13" s="1"/>
  <c r="F152" i="3"/>
  <c r="AC132" i="13" s="1"/>
  <c r="F145" i="3"/>
  <c r="AC125" i="13" s="1"/>
  <c r="F55" i="3"/>
  <c r="AC35" i="13" s="1"/>
  <c r="F61" i="3"/>
  <c r="AC41" i="13" s="1"/>
  <c r="F117" i="3"/>
  <c r="AC97" i="13" s="1"/>
  <c r="F108" i="3"/>
  <c r="AC88" i="13" s="1"/>
  <c r="F90" i="3"/>
  <c r="AC70" i="13" s="1"/>
  <c r="F73" i="3"/>
  <c r="AC53" i="13" s="1"/>
  <c r="F158" i="3"/>
  <c r="AC138" i="13" s="1"/>
  <c r="F115" i="3"/>
  <c r="AC95" i="13" s="1"/>
  <c r="F137" i="3"/>
  <c r="AC117" i="13" s="1"/>
  <c r="F177" i="3"/>
  <c r="AC157" i="13" s="1"/>
  <c r="F153" i="3"/>
  <c r="AC133" i="13" s="1"/>
  <c r="F138" i="3"/>
  <c r="AC118" i="13" s="1"/>
  <c r="F105" i="3"/>
  <c r="AC85" i="13" s="1"/>
  <c r="F84" i="3"/>
  <c r="AC64" i="13" s="1"/>
  <c r="F65" i="3"/>
  <c r="AC45" i="13" s="1"/>
  <c r="F38" i="3"/>
  <c r="AC18" i="13" s="1"/>
  <c r="F141" i="3"/>
  <c r="AC121" i="13" s="1"/>
  <c r="F93" i="3"/>
  <c r="AC73" i="13" s="1"/>
  <c r="F77" i="3"/>
  <c r="AC57" i="13" s="1"/>
  <c r="F50" i="3"/>
  <c r="AC30" i="13" s="1"/>
  <c r="F37" i="3"/>
  <c r="AC17" i="13" s="1"/>
  <c r="F144" i="3"/>
  <c r="AC124" i="13" s="1"/>
  <c r="F86" i="3"/>
  <c r="AC66" i="13" s="1"/>
  <c r="F109" i="3"/>
  <c r="AC89" i="13" s="1"/>
  <c r="F131" i="3"/>
  <c r="AC111" i="13" s="1"/>
  <c r="F167" i="3"/>
  <c r="AC147" i="13" s="1"/>
  <c r="F140" i="3"/>
  <c r="AC120" i="13" s="1"/>
  <c r="F133" i="3"/>
  <c r="AC113" i="13" s="1"/>
  <c r="F125" i="3"/>
  <c r="AC105" i="13" s="1"/>
  <c r="F119" i="3"/>
  <c r="AC99" i="13" s="1"/>
  <c r="F95" i="3"/>
  <c r="AC75" i="13" s="1"/>
  <c r="F79" i="3"/>
  <c r="AC59" i="13" s="1"/>
  <c r="F52" i="3"/>
  <c r="AC32" i="13" s="1"/>
  <c r="F49" i="3"/>
  <c r="AC29" i="13" s="1"/>
  <c r="F111" i="3"/>
  <c r="AC91" i="13" s="1"/>
  <c r="F128" i="3"/>
  <c r="AC108" i="13" s="1"/>
  <c r="F146" i="3"/>
  <c r="AC126" i="13" s="1"/>
  <c r="F126" i="3"/>
  <c r="AC106" i="13" s="1"/>
  <c r="F96" i="3"/>
  <c r="AC76" i="13" s="1"/>
  <c r="F80" i="3"/>
  <c r="AC60" i="13" s="1"/>
  <c r="F58" i="3"/>
  <c r="AC38" i="13" s="1"/>
  <c r="F34" i="3"/>
  <c r="AC14" i="13" s="1"/>
  <c r="F110" i="3"/>
  <c r="AC90" i="13" s="1"/>
  <c r="F106" i="3"/>
  <c r="AC86" i="13" s="1"/>
  <c r="F89" i="3"/>
  <c r="AC69" i="13" s="1"/>
  <c r="F72" i="3"/>
  <c r="AC52" i="13" s="1"/>
  <c r="F54" i="3"/>
  <c r="AC34" i="13" s="1"/>
  <c r="F31" i="3"/>
  <c r="AC11" i="13" s="1"/>
  <c r="F112" i="3"/>
  <c r="AC92" i="13" s="1"/>
  <c r="F124" i="3"/>
  <c r="AC104" i="13" s="1"/>
  <c r="G125" i="3"/>
  <c r="AD105" i="13" s="1"/>
  <c r="G109" i="3"/>
  <c r="AD89" i="13" s="1"/>
  <c r="G91" i="3"/>
  <c r="AD71" i="13" s="1"/>
  <c r="G74" i="3"/>
  <c r="AD54" i="13" s="1"/>
  <c r="G42" i="3"/>
  <c r="AD22" i="13" s="1"/>
  <c r="G115" i="3"/>
  <c r="AD95" i="13" s="1"/>
  <c r="G169" i="3"/>
  <c r="AD149" i="13" s="1"/>
  <c r="G156" i="3"/>
  <c r="AD136" i="13" s="1"/>
  <c r="G137" i="3"/>
  <c r="AD117" i="13" s="1"/>
  <c r="G172" i="3"/>
  <c r="AD152" i="13" s="1"/>
  <c r="G96" i="3"/>
  <c r="AD76" i="13" s="1"/>
  <c r="G106" i="3"/>
  <c r="AD86" i="13" s="1"/>
  <c r="G28" i="3"/>
  <c r="AD8" i="13" s="1"/>
  <c r="G168" i="3"/>
  <c r="AD148" i="13" s="1"/>
  <c r="G154" i="3"/>
  <c r="AD134" i="13" s="1"/>
  <c r="G136" i="3"/>
  <c r="AD116" i="13" s="1"/>
  <c r="G48" i="3"/>
  <c r="AD28" i="13" s="1"/>
  <c r="G98" i="3"/>
  <c r="AD78" i="13" s="1"/>
  <c r="G82" i="3"/>
  <c r="AD62" i="13" s="1"/>
  <c r="G63" i="3"/>
  <c r="AD43" i="13" s="1"/>
  <c r="G78" i="3"/>
  <c r="AD58" i="13" s="1"/>
  <c r="G128" i="3"/>
  <c r="AD108" i="13" s="1"/>
  <c r="G111" i="3"/>
  <c r="AD91" i="13" s="1"/>
  <c r="G31" i="3"/>
  <c r="AD11" i="13" s="1"/>
  <c r="G47" i="3"/>
  <c r="AD27" i="13" s="1"/>
  <c r="G92" i="3"/>
  <c r="AD72" i="13" s="1"/>
  <c r="G75" i="3"/>
  <c r="AD55" i="13" s="1"/>
  <c r="G53" i="3"/>
  <c r="AD33" i="13" s="1"/>
  <c r="G26" i="3"/>
  <c r="AD6" i="13" s="1"/>
  <c r="G100" i="3"/>
  <c r="AD80" i="13" s="1"/>
  <c r="G116" i="3"/>
  <c r="AD96" i="13" s="1"/>
  <c r="G167" i="3"/>
  <c r="AD147" i="13" s="1"/>
  <c r="G153" i="3"/>
  <c r="AD133" i="13" s="1"/>
  <c r="G134" i="3"/>
  <c r="AD114" i="13" s="1"/>
  <c r="G101" i="3"/>
  <c r="AD81" i="13" s="1"/>
  <c r="G85" i="3"/>
  <c r="AD65" i="13" s="1"/>
  <c r="G67" i="3"/>
  <c r="AD47" i="13" s="1"/>
  <c r="G43" i="3"/>
  <c r="AD23" i="13" s="1"/>
  <c r="G25" i="3"/>
  <c r="AD5" i="13" s="1"/>
  <c r="G80" i="3"/>
  <c r="AD60" i="13" s="1"/>
  <c r="G157" i="3"/>
  <c r="AD137" i="13" s="1"/>
  <c r="G104" i="3"/>
  <c r="AD84" i="13" s="1"/>
  <c r="G87" i="3"/>
  <c r="AD67" i="13" s="1"/>
  <c r="G69" i="3"/>
  <c r="AD49" i="13" s="1"/>
  <c r="G35" i="3"/>
  <c r="AD15" i="13" s="1"/>
  <c r="G173" i="3"/>
  <c r="AD153" i="13" s="1"/>
  <c r="G166" i="3"/>
  <c r="AD146" i="13" s="1"/>
  <c r="G152" i="3"/>
  <c r="AD132" i="13" s="1"/>
  <c r="G133" i="3"/>
  <c r="AD113" i="13" s="1"/>
  <c r="G46" i="3"/>
  <c r="AD26" i="13" s="1"/>
  <c r="G73" i="3"/>
  <c r="AD53" i="13" s="1"/>
  <c r="G79" i="3"/>
  <c r="AD59" i="13" s="1"/>
  <c r="G162" i="3"/>
  <c r="AD142" i="13" s="1"/>
  <c r="G54" i="3"/>
  <c r="AD34" i="13" s="1"/>
  <c r="G120" i="3"/>
  <c r="AD100" i="13" s="1"/>
  <c r="G24" i="3"/>
  <c r="AD4" i="13" s="1"/>
  <c r="G155" i="3"/>
  <c r="AD135" i="13" s="1"/>
  <c r="G165" i="3"/>
  <c r="AD145" i="13" s="1"/>
  <c r="G148" i="3"/>
  <c r="AD128" i="13" s="1"/>
  <c r="G131" i="3"/>
  <c r="AD111" i="13" s="1"/>
  <c r="G94" i="3"/>
  <c r="AD74" i="13" s="1"/>
  <c r="G129" i="3"/>
  <c r="AD109" i="13" s="1"/>
  <c r="G52" i="3"/>
  <c r="AD32" i="13" s="1"/>
  <c r="G45" i="3"/>
  <c r="AD25" i="13" s="1"/>
  <c r="G88" i="3"/>
  <c r="AD68" i="13" s="1"/>
  <c r="G71" i="3"/>
  <c r="AD51" i="13" s="1"/>
  <c r="G41" i="3"/>
  <c r="AD21" i="13" s="1"/>
  <c r="G23" i="3"/>
  <c r="AD3" i="13" s="1"/>
  <c r="G178" i="3"/>
  <c r="AD158" i="13" s="1"/>
  <c r="G163" i="3"/>
  <c r="AD143" i="13" s="1"/>
  <c r="G147" i="3"/>
  <c r="AD127" i="13" s="1"/>
  <c r="G130" i="3"/>
  <c r="AD110" i="13" s="1"/>
  <c r="G97" i="3"/>
  <c r="AD77" i="13" s="1"/>
  <c r="G81" i="3"/>
  <c r="AD61" i="13" s="1"/>
  <c r="G59" i="3"/>
  <c r="AD39" i="13" s="1"/>
  <c r="G40" i="3"/>
  <c r="AD20" i="13" s="1"/>
  <c r="G122" i="3"/>
  <c r="AD102" i="13" s="1"/>
  <c r="G113" i="3"/>
  <c r="AD93" i="13" s="1"/>
  <c r="G95" i="3"/>
  <c r="AD75" i="13" s="1"/>
  <c r="G142" i="3"/>
  <c r="AD122" i="13" s="1"/>
  <c r="G164" i="3"/>
  <c r="AD144" i="13" s="1"/>
  <c r="G58" i="3"/>
  <c r="AD38" i="13" s="1"/>
  <c r="G138" i="3"/>
  <c r="AD118" i="13" s="1"/>
  <c r="G126" i="3"/>
  <c r="AD106" i="13" s="1"/>
  <c r="G99" i="3"/>
  <c r="AD79" i="13" s="1"/>
  <c r="G83" i="3"/>
  <c r="AD63" i="13" s="1"/>
  <c r="G64" i="3"/>
  <c r="AD44" i="13" s="1"/>
  <c r="G56" i="3"/>
  <c r="AD36" i="13" s="1"/>
  <c r="G177" i="3"/>
  <c r="AD157" i="13" s="1"/>
  <c r="G161" i="3"/>
  <c r="AD141" i="13" s="1"/>
  <c r="G146" i="3"/>
  <c r="AD126" i="13" s="1"/>
  <c r="G49" i="3"/>
  <c r="AD29" i="13" s="1"/>
  <c r="G150" i="3"/>
  <c r="AD130" i="13" s="1"/>
  <c r="G89" i="3"/>
  <c r="AD69" i="13" s="1"/>
  <c r="G119" i="3"/>
  <c r="AD99" i="13" s="1"/>
  <c r="G55" i="3"/>
  <c r="AD35" i="13" s="1"/>
  <c r="G61" i="3"/>
  <c r="AD41" i="13" s="1"/>
  <c r="G176" i="3"/>
  <c r="AD156" i="13" s="1"/>
  <c r="G160" i="3"/>
  <c r="AD140" i="13" s="1"/>
  <c r="G145" i="3"/>
  <c r="AD125" i="13" s="1"/>
  <c r="G117" i="3"/>
  <c r="AD97" i="13" s="1"/>
  <c r="G108" i="3"/>
  <c r="AD88" i="13" s="1"/>
  <c r="G90" i="3"/>
  <c r="AD70" i="13" s="1"/>
  <c r="G127" i="3"/>
  <c r="AD107" i="13" s="1"/>
  <c r="G110" i="3"/>
  <c r="AD90" i="13" s="1"/>
  <c r="G72" i="3"/>
  <c r="AD52" i="13" s="1"/>
  <c r="G123" i="3"/>
  <c r="AD103" i="13" s="1"/>
  <c r="G118" i="3"/>
  <c r="AD98" i="13" s="1"/>
  <c r="G105" i="3"/>
  <c r="AD85" i="13" s="1"/>
  <c r="G84" i="3"/>
  <c r="AD64" i="13" s="1"/>
  <c r="G65" i="3"/>
  <c r="AD45" i="13" s="1"/>
  <c r="G38" i="3"/>
  <c r="AD18" i="13" s="1"/>
  <c r="G141" i="3"/>
  <c r="AD121" i="13" s="1"/>
  <c r="G175" i="3"/>
  <c r="AD155" i="13" s="1"/>
  <c r="G159" i="3"/>
  <c r="AD139" i="13" s="1"/>
  <c r="G143" i="3"/>
  <c r="AD123" i="13" s="1"/>
  <c r="G93" i="3"/>
  <c r="AD73" i="13" s="1"/>
  <c r="G77" i="3"/>
  <c r="AD57" i="13" s="1"/>
  <c r="G50" i="3"/>
  <c r="AD30" i="13" s="1"/>
  <c r="G37" i="3"/>
  <c r="AD17" i="13" s="1"/>
  <c r="G144" i="3"/>
  <c r="AD124" i="13" s="1"/>
  <c r="G68" i="3"/>
  <c r="AD48" i="13" s="1"/>
  <c r="G121" i="3"/>
  <c r="AD101" i="13" s="1"/>
  <c r="G112" i="3"/>
  <c r="AD92" i="13" s="1"/>
  <c r="G124" i="3"/>
  <c r="AD104" i="13" s="1"/>
  <c r="G39" i="3"/>
  <c r="AD19" i="13" s="1"/>
  <c r="G114" i="3"/>
  <c r="AD94" i="13" s="1"/>
  <c r="G171" i="3"/>
  <c r="AD151" i="13" s="1"/>
  <c r="G158" i="3"/>
  <c r="AD138" i="13" s="1"/>
  <c r="G140" i="3"/>
  <c r="AD120" i="13" s="1"/>
  <c r="G103" i="3"/>
  <c r="AD83" i="13" s="1"/>
  <c r="G86" i="3"/>
  <c r="AD66" i="13" s="1"/>
  <c r="G34" i="3"/>
  <c r="AD14" i="13" s="1"/>
  <c r="G170" i="3"/>
  <c r="AD150" i="13" s="1"/>
  <c r="J26" i="13"/>
  <c r="V26" i="13" s="1"/>
  <c r="J27" i="13"/>
  <c r="V27" i="13" s="1"/>
  <c r="J25" i="13"/>
  <c r="V25" i="13" s="1"/>
  <c r="H22" i="3"/>
  <c r="G22" i="3"/>
  <c r="F22" i="3"/>
  <c r="AS26" i="24" l="1" a="1"/>
  <c r="AS26" i="24" s="1"/>
  <c r="AM26" i="24" a="1"/>
  <c r="AM26" i="24" s="1"/>
  <c r="J62" i="13"/>
  <c r="V62" i="13" s="1"/>
  <c r="J61" i="13"/>
  <c r="V61" i="13" s="1"/>
  <c r="J63" i="13"/>
  <c r="V63" i="13" s="1"/>
  <c r="M166" i="26"/>
  <c r="M110" i="26"/>
  <c r="M137" i="26"/>
  <c r="M83" i="26"/>
  <c r="M138" i="26"/>
  <c r="M86" i="26"/>
  <c r="M103" i="26"/>
  <c r="M77" i="26"/>
  <c r="M95" i="26"/>
  <c r="M109" i="26"/>
  <c r="M27" i="26"/>
  <c r="M157" i="26"/>
  <c r="M76" i="26"/>
  <c r="M84" i="26"/>
  <c r="M156" i="26"/>
  <c r="M26" i="26"/>
  <c r="M128" i="26"/>
  <c r="M134" i="26"/>
  <c r="M181" i="26"/>
  <c r="M42" i="26"/>
  <c r="M44" i="26"/>
  <c r="M125" i="26"/>
  <c r="M170" i="26"/>
  <c r="M58" i="26"/>
  <c r="M56" i="26"/>
  <c r="M115" i="26"/>
  <c r="M54" i="26"/>
  <c r="M104" i="26"/>
  <c r="M114" i="26"/>
  <c r="M99" i="26"/>
  <c r="M81" i="26"/>
  <c r="M162" i="26"/>
  <c r="M60" i="26"/>
  <c r="M107" i="26"/>
  <c r="M163" i="26"/>
  <c r="M133" i="26"/>
  <c r="M151" i="26"/>
  <c r="M30" i="26"/>
  <c r="M102" i="26"/>
  <c r="M119" i="26"/>
  <c r="M158" i="26"/>
  <c r="M78" i="26"/>
  <c r="M146" i="26"/>
  <c r="M68" i="26"/>
  <c r="M63" i="26"/>
  <c r="M46" i="26"/>
  <c r="M117" i="26"/>
  <c r="M147" i="26"/>
  <c r="M57" i="26"/>
  <c r="M52" i="26"/>
  <c r="M123" i="26"/>
  <c r="M97" i="26"/>
  <c r="M62" i="26"/>
  <c r="M129" i="26"/>
  <c r="M145" i="26"/>
  <c r="M94" i="26"/>
  <c r="M87" i="26"/>
  <c r="M43" i="26"/>
  <c r="M126" i="26"/>
  <c r="M173" i="26"/>
  <c r="M79" i="26"/>
  <c r="M32" i="26"/>
  <c r="M45" i="26"/>
  <c r="M96" i="26"/>
  <c r="M122" i="26"/>
  <c r="M90" i="26"/>
  <c r="M112" i="26"/>
  <c r="M85" i="26"/>
  <c r="M100" i="26"/>
  <c r="M144" i="26"/>
  <c r="M69" i="26"/>
  <c r="M121" i="26"/>
  <c r="M124" i="26"/>
  <c r="M75" i="26"/>
  <c r="M98" i="26"/>
  <c r="M101" i="26"/>
  <c r="M72" i="26"/>
  <c r="M51" i="26"/>
  <c r="M154" i="26"/>
  <c r="M171" i="26"/>
  <c r="M88" i="26"/>
  <c r="M65" i="26"/>
  <c r="M92" i="26"/>
  <c r="M28" i="26"/>
  <c r="M82" i="26"/>
  <c r="M29" i="26"/>
  <c r="M182" i="26"/>
  <c r="M165" i="26"/>
  <c r="M116" i="26"/>
  <c r="M150" i="26"/>
  <c r="M135" i="26"/>
  <c r="M59" i="26"/>
  <c r="M161" i="26"/>
  <c r="M49" i="26"/>
  <c r="M180" i="26"/>
  <c r="M50" i="26"/>
  <c r="M47" i="26"/>
  <c r="M176" i="26"/>
  <c r="M159" i="26"/>
  <c r="M130" i="26"/>
  <c r="M132" i="26"/>
  <c r="M113" i="26"/>
  <c r="M142" i="26"/>
  <c r="M149" i="26"/>
  <c r="M164" i="26"/>
  <c r="M131" i="26"/>
  <c r="M177" i="26"/>
  <c r="M71" i="26"/>
  <c r="M127" i="26"/>
  <c r="M168" i="26"/>
  <c r="M73" i="26"/>
  <c r="M89" i="26"/>
  <c r="M179" i="26"/>
  <c r="M53" i="26"/>
  <c r="M148" i="26"/>
  <c r="M175" i="26"/>
  <c r="M167" i="26"/>
  <c r="M174" i="26"/>
  <c r="M140" i="26"/>
  <c r="M91" i="26"/>
  <c r="M105" i="26"/>
  <c r="M118" i="26"/>
  <c r="M93" i="26"/>
  <c r="M41" i="26"/>
  <c r="M141" i="26"/>
  <c r="M152" i="26"/>
  <c r="M160" i="26"/>
  <c r="M172" i="26"/>
  <c r="M169" i="26"/>
  <c r="M108" i="26"/>
  <c r="M120" i="26"/>
  <c r="M67" i="26"/>
  <c r="T30" i="24" a="1"/>
  <c r="T30" i="24" s="1"/>
  <c r="U29" i="24"/>
  <c r="J7" i="13"/>
  <c r="J9" i="13"/>
  <c r="V9" i="13" s="1"/>
  <c r="I22" i="3"/>
  <c r="L88" i="3"/>
  <c r="O124" i="3"/>
  <c r="N95" i="3"/>
  <c r="O105" i="3"/>
  <c r="O154" i="3"/>
  <c r="M167" i="3"/>
  <c r="N150" i="3"/>
  <c r="L143" i="3"/>
  <c r="N23" i="3"/>
  <c r="M71" i="3"/>
  <c r="N75" i="3"/>
  <c r="N42" i="3"/>
  <c r="O49" i="3"/>
  <c r="N116" i="3"/>
  <c r="N78" i="3"/>
  <c r="N155" i="3"/>
  <c r="O55" i="3"/>
  <c r="N79" i="3"/>
  <c r="L147" i="3"/>
  <c r="N153" i="3"/>
  <c r="L59" i="3"/>
  <c r="M105" i="3"/>
  <c r="M40" i="3"/>
  <c r="O176" i="3"/>
  <c r="O147" i="3"/>
  <c r="O133" i="3"/>
  <c r="O23" i="3"/>
  <c r="N137" i="3"/>
  <c r="M39" i="3"/>
  <c r="N111" i="3"/>
  <c r="O171" i="3"/>
  <c r="O68" i="3"/>
  <c r="N129" i="3"/>
  <c r="L77" i="3"/>
  <c r="O106" i="3"/>
  <c r="L178" i="3"/>
  <c r="N141" i="3"/>
  <c r="M75" i="3"/>
  <c r="O159" i="3"/>
  <c r="O92" i="3"/>
  <c r="L56" i="3"/>
  <c r="M112" i="3"/>
  <c r="N114" i="3"/>
  <c r="L165" i="3"/>
  <c r="N109" i="3"/>
  <c r="N148" i="3"/>
  <c r="N161" i="3"/>
  <c r="O90" i="3"/>
  <c r="O127" i="3"/>
  <c r="L37" i="3"/>
  <c r="M61" i="3"/>
  <c r="O63" i="3"/>
  <c r="L161" i="3"/>
  <c r="N92" i="3"/>
  <c r="M59" i="3"/>
  <c r="L87" i="3"/>
  <c r="N168" i="3"/>
  <c r="M58" i="3"/>
  <c r="M95" i="3"/>
  <c r="M85" i="3"/>
  <c r="L129" i="3"/>
  <c r="L128" i="3"/>
  <c r="M156" i="3"/>
  <c r="N53" i="3"/>
  <c r="M147" i="3"/>
  <c r="L103" i="3"/>
  <c r="L122" i="3"/>
  <c r="L146" i="3"/>
  <c r="L175" i="3"/>
  <c r="M96" i="3"/>
  <c r="L82" i="3"/>
  <c r="M37" i="3"/>
  <c r="M123" i="3"/>
  <c r="M136" i="3"/>
  <c r="O99" i="3"/>
  <c r="O100" i="3"/>
  <c r="M91" i="3"/>
  <c r="O59" i="3"/>
  <c r="N159" i="3"/>
  <c r="M165" i="3"/>
  <c r="L123" i="3"/>
  <c r="O136" i="3"/>
  <c r="N170" i="3"/>
  <c r="O126" i="3"/>
  <c r="N133" i="3"/>
  <c r="O101" i="3"/>
  <c r="L23" i="3"/>
  <c r="N55" i="3"/>
  <c r="L28" i="3"/>
  <c r="O166" i="3"/>
  <c r="L43" i="3"/>
  <c r="L166" i="3"/>
  <c r="L144" i="3"/>
  <c r="N41" i="3"/>
  <c r="N58" i="3"/>
  <c r="L61" i="3"/>
  <c r="N74" i="3"/>
  <c r="N130" i="3"/>
  <c r="L125" i="3"/>
  <c r="L92" i="3"/>
  <c r="L78" i="3"/>
  <c r="L171" i="3"/>
  <c r="N40" i="3"/>
  <c r="N96" i="3"/>
  <c r="N54" i="3"/>
  <c r="M178" i="3"/>
  <c r="M94" i="3"/>
  <c r="L84" i="3"/>
  <c r="L106" i="3"/>
  <c r="M24" i="3"/>
  <c r="N69" i="3"/>
  <c r="M124" i="3"/>
  <c r="M114" i="3"/>
  <c r="M90" i="3"/>
  <c r="N166" i="3"/>
  <c r="N169" i="3"/>
  <c r="L97" i="3"/>
  <c r="M111" i="3"/>
  <c r="O95" i="3"/>
  <c r="O142" i="3"/>
  <c r="N87" i="3"/>
  <c r="O74" i="3"/>
  <c r="L115" i="3"/>
  <c r="M169" i="3"/>
  <c r="N38" i="3"/>
  <c r="M54" i="3"/>
  <c r="M141" i="3"/>
  <c r="N138" i="3"/>
  <c r="M145" i="3"/>
  <c r="L164" i="3"/>
  <c r="M82" i="3"/>
  <c r="M88" i="3"/>
  <c r="N97" i="3"/>
  <c r="N37" i="3"/>
  <c r="L55" i="3"/>
  <c r="N171" i="3"/>
  <c r="L91" i="3"/>
  <c r="O39" i="3"/>
  <c r="N131" i="3"/>
  <c r="O163" i="3"/>
  <c r="N156" i="3"/>
  <c r="N26" i="3"/>
  <c r="O130" i="3"/>
  <c r="O94" i="3"/>
  <c r="M28" i="3"/>
  <c r="M87" i="3"/>
  <c r="M164" i="3"/>
  <c r="N104" i="3"/>
  <c r="O144" i="3"/>
  <c r="N25" i="3"/>
  <c r="L75" i="3"/>
  <c r="N160" i="3"/>
  <c r="N86" i="3"/>
  <c r="N175" i="3"/>
  <c r="O177" i="3"/>
  <c r="N154" i="3"/>
  <c r="L69" i="3"/>
  <c r="M109" i="3"/>
  <c r="N24" i="3"/>
  <c r="N49" i="3"/>
  <c r="L65" i="3"/>
  <c r="O82" i="3"/>
  <c r="O111" i="3"/>
  <c r="O98" i="3"/>
  <c r="M153" i="3"/>
  <c r="O67" i="3"/>
  <c r="N88" i="3"/>
  <c r="N125" i="3"/>
  <c r="L170" i="3"/>
  <c r="M49" i="3"/>
  <c r="N59" i="3"/>
  <c r="O35" i="3"/>
  <c r="N67" i="3"/>
  <c r="L48" i="3"/>
  <c r="M146" i="3"/>
  <c r="L126" i="3"/>
  <c r="M140" i="3"/>
  <c r="O54" i="3"/>
  <c r="O113" i="3"/>
  <c r="M155" i="3"/>
  <c r="N124" i="3"/>
  <c r="M65" i="3"/>
  <c r="O138" i="3"/>
  <c r="O71" i="3"/>
  <c r="M52" i="3"/>
  <c r="M129" i="3"/>
  <c r="M131" i="3"/>
  <c r="M78" i="3"/>
  <c r="L110" i="3"/>
  <c r="O109" i="3"/>
  <c r="O115" i="3"/>
  <c r="N106" i="3"/>
  <c r="L176" i="3"/>
  <c r="N112" i="3"/>
  <c r="O45" i="3"/>
  <c r="O137" i="3"/>
  <c r="L46" i="3"/>
  <c r="L47" i="3"/>
  <c r="N163" i="3"/>
  <c r="L169" i="3"/>
  <c r="L108" i="3"/>
  <c r="L153" i="3"/>
  <c r="L99" i="3"/>
  <c r="O41" i="3"/>
  <c r="M56" i="3"/>
  <c r="N127" i="3"/>
  <c r="N90" i="3"/>
  <c r="M157" i="3"/>
  <c r="L134" i="3"/>
  <c r="O150" i="3"/>
  <c r="M152" i="3"/>
  <c r="O158" i="3"/>
  <c r="L73" i="3"/>
  <c r="O56" i="3"/>
  <c r="N123" i="3"/>
  <c r="O153" i="3"/>
  <c r="M25" i="3"/>
  <c r="O134" i="3"/>
  <c r="N128" i="3"/>
  <c r="L81" i="3"/>
  <c r="N98" i="3"/>
  <c r="L136" i="3"/>
  <c r="N94" i="3"/>
  <c r="N147" i="3"/>
  <c r="L105" i="3"/>
  <c r="O141" i="3"/>
  <c r="O170" i="3"/>
  <c r="M103" i="3"/>
  <c r="N45" i="3"/>
  <c r="L141" i="3"/>
  <c r="L137" i="3"/>
  <c r="N73" i="3"/>
  <c r="N145" i="3"/>
  <c r="N85" i="3"/>
  <c r="L111" i="3"/>
  <c r="N81" i="3"/>
  <c r="O168" i="3"/>
  <c r="L71" i="3"/>
  <c r="M115" i="3"/>
  <c r="M99" i="3"/>
  <c r="M113" i="3"/>
  <c r="N152" i="3"/>
  <c r="O53" i="3"/>
  <c r="N100" i="3"/>
  <c r="N146" i="3"/>
  <c r="M130" i="3"/>
  <c r="N46" i="3"/>
  <c r="O104" i="3"/>
  <c r="M84" i="3"/>
  <c r="O69" i="3"/>
  <c r="L109" i="3"/>
  <c r="N39" i="3"/>
  <c r="L26" i="3"/>
  <c r="O156" i="3"/>
  <c r="M38" i="3"/>
  <c r="N108" i="3"/>
  <c r="M63" i="3"/>
  <c r="M158" i="3"/>
  <c r="O97" i="3"/>
  <c r="M31" i="3"/>
  <c r="N101" i="3"/>
  <c r="O86" i="3"/>
  <c r="M127" i="3"/>
  <c r="N110" i="3"/>
  <c r="O65" i="3"/>
  <c r="L150" i="3"/>
  <c r="M161" i="3"/>
  <c r="N103" i="3"/>
  <c r="N176" i="3"/>
  <c r="N143" i="3"/>
  <c r="N105" i="3"/>
  <c r="N140" i="3"/>
  <c r="M77" i="3"/>
  <c r="N93" i="3"/>
  <c r="N35" i="3"/>
  <c r="O157" i="3"/>
  <c r="M143" i="3"/>
  <c r="O88" i="3"/>
  <c r="M46" i="3"/>
  <c r="O24" i="3"/>
  <c r="M81" i="3"/>
  <c r="M23" i="3"/>
  <c r="L157" i="3"/>
  <c r="M45" i="3"/>
  <c r="N157" i="3"/>
  <c r="M122" i="3"/>
  <c r="N72" i="3"/>
  <c r="N83" i="3"/>
  <c r="O112" i="3"/>
  <c r="L45" i="3"/>
  <c r="M92" i="3"/>
  <c r="M133" i="3"/>
  <c r="O175" i="3"/>
  <c r="L95" i="3"/>
  <c r="L49" i="3"/>
  <c r="N177" i="3"/>
  <c r="N63" i="3"/>
  <c r="L138" i="3"/>
  <c r="L24" i="3"/>
  <c r="L162" i="3"/>
  <c r="O123" i="3"/>
  <c r="L155" i="3"/>
  <c r="L98" i="3"/>
  <c r="O143" i="3"/>
  <c r="L25" i="3"/>
  <c r="M142" i="3"/>
  <c r="N178" i="3"/>
  <c r="M137" i="3"/>
  <c r="O25" i="3"/>
  <c r="M43" i="3"/>
  <c r="O114" i="3"/>
  <c r="L159" i="3"/>
  <c r="M170" i="3"/>
  <c r="L101" i="3"/>
  <c r="M48" i="3"/>
  <c r="M93" i="3"/>
  <c r="M175" i="3"/>
  <c r="L93" i="3"/>
  <c r="L54" i="3"/>
  <c r="N47" i="3"/>
  <c r="N122" i="3"/>
  <c r="O129" i="3"/>
  <c r="L152" i="3"/>
  <c r="L35" i="3"/>
  <c r="N113" i="3"/>
  <c r="L42" i="3"/>
  <c r="L63" i="3"/>
  <c r="M162" i="3"/>
  <c r="M100" i="3"/>
  <c r="M101" i="3"/>
  <c r="O31" i="3"/>
  <c r="L160" i="3"/>
  <c r="O165" i="3"/>
  <c r="N144" i="3"/>
  <c r="N115" i="3"/>
  <c r="L104" i="3"/>
  <c r="N68" i="3"/>
  <c r="O91" i="3"/>
  <c r="M74" i="3"/>
  <c r="L38" i="3"/>
  <c r="M110" i="3"/>
  <c r="L53" i="3"/>
  <c r="L158" i="3"/>
  <c r="L154" i="3"/>
  <c r="M125" i="3"/>
  <c r="M138" i="3"/>
  <c r="O167" i="3"/>
  <c r="O47" i="3"/>
  <c r="M106" i="3"/>
  <c r="M35" i="3"/>
  <c r="L94" i="3"/>
  <c r="O140" i="3"/>
  <c r="N136" i="3"/>
  <c r="M47" i="3"/>
  <c r="M68" i="3"/>
  <c r="L145" i="3"/>
  <c r="L74" i="3"/>
  <c r="L31" i="3"/>
  <c r="O58" i="3"/>
  <c r="L168" i="3"/>
  <c r="M98" i="3"/>
  <c r="M128" i="3"/>
  <c r="O125" i="3"/>
  <c r="O110" i="3"/>
  <c r="N31" i="3"/>
  <c r="O96" i="3"/>
  <c r="O169" i="3"/>
  <c r="M83" i="3"/>
  <c r="O122" i="3"/>
  <c r="M168" i="3"/>
  <c r="O108" i="3"/>
  <c r="M73" i="3"/>
  <c r="L167" i="3"/>
  <c r="N89" i="3"/>
  <c r="O73" i="3"/>
  <c r="L58" i="3"/>
  <c r="L130" i="3"/>
  <c r="O52" i="3"/>
  <c r="O48" i="3"/>
  <c r="L127" i="3"/>
  <c r="M79" i="3"/>
  <c r="L140" i="3"/>
  <c r="M108" i="3"/>
  <c r="L52" i="3"/>
  <c r="N56" i="3"/>
  <c r="O103" i="3"/>
  <c r="L163" i="3"/>
  <c r="O155" i="3"/>
  <c r="O162" i="3"/>
  <c r="N142" i="3"/>
  <c r="L85" i="3"/>
  <c r="L124" i="3"/>
  <c r="O26" i="3"/>
  <c r="M89" i="3"/>
  <c r="M72" i="3"/>
  <c r="L114" i="3"/>
  <c r="O152" i="3"/>
  <c r="N82" i="3"/>
  <c r="M67" i="3"/>
  <c r="L142" i="3"/>
  <c r="O160" i="3"/>
  <c r="O131" i="3"/>
  <c r="M166" i="3"/>
  <c r="O38" i="3"/>
  <c r="L133" i="3"/>
  <c r="N77" i="3"/>
  <c r="O72" i="3"/>
  <c r="N28" i="3"/>
  <c r="N165" i="3"/>
  <c r="L96" i="3"/>
  <c r="M41" i="3"/>
  <c r="M148" i="3"/>
  <c r="L156" i="3"/>
  <c r="O79" i="3"/>
  <c r="M53" i="3"/>
  <c r="O46" i="3"/>
  <c r="L89" i="3"/>
  <c r="M163" i="3"/>
  <c r="L90" i="3"/>
  <c r="L116" i="3"/>
  <c r="L100" i="3"/>
  <c r="O40" i="3"/>
  <c r="O37" i="3"/>
  <c r="O146" i="3"/>
  <c r="O89" i="3"/>
  <c r="N84" i="3"/>
  <c r="O148" i="3"/>
  <c r="M104" i="3"/>
  <c r="L41" i="3"/>
  <c r="M134" i="3"/>
  <c r="O85" i="3"/>
  <c r="O93" i="3"/>
  <c r="L79" i="3"/>
  <c r="N134" i="3"/>
  <c r="O78" i="3"/>
  <c r="O84" i="3"/>
  <c r="M97" i="3"/>
  <c r="M86" i="3"/>
  <c r="L131" i="3"/>
  <c r="L86" i="3"/>
  <c r="N167" i="3"/>
  <c r="L67" i="3"/>
  <c r="L112" i="3"/>
  <c r="L68" i="3"/>
  <c r="M55" i="3"/>
  <c r="N52" i="3"/>
  <c r="L72" i="3"/>
  <c r="N99" i="3"/>
  <c r="L113" i="3"/>
  <c r="O61" i="3"/>
  <c r="N65" i="3"/>
  <c r="M69" i="3"/>
  <c r="M171" i="3"/>
  <c r="L83" i="3"/>
  <c r="O43" i="3"/>
  <c r="O87" i="3"/>
  <c r="M150" i="3"/>
  <c r="L40" i="3"/>
  <c r="N158" i="3"/>
  <c r="O178" i="3"/>
  <c r="M159" i="3"/>
  <c r="O75" i="3"/>
  <c r="M42" i="3"/>
  <c r="M144" i="3"/>
  <c r="L177" i="3"/>
  <c r="L148" i="3"/>
  <c r="M126" i="3"/>
  <c r="N162" i="3"/>
  <c r="O77" i="3"/>
  <c r="O83" i="3"/>
  <c r="N61" i="3"/>
  <c r="O128" i="3"/>
  <c r="O145" i="3"/>
  <c r="N48" i="3"/>
  <c r="M154" i="3"/>
  <c r="L39" i="3"/>
  <c r="O28" i="3"/>
  <c r="M176" i="3"/>
  <c r="N43" i="3"/>
  <c r="O42" i="3"/>
  <c r="N126" i="3"/>
  <c r="M160" i="3"/>
  <c r="O81" i="3"/>
  <c r="N91" i="3"/>
  <c r="M177" i="3"/>
  <c r="O116" i="3"/>
  <c r="N164" i="3"/>
  <c r="O161" i="3"/>
  <c r="M116" i="3"/>
  <c r="N71" i="3"/>
  <c r="O164" i="3"/>
  <c r="M26" i="3"/>
  <c r="L21" i="3"/>
  <c r="N21" i="3"/>
  <c r="M21" i="3"/>
  <c r="O21" i="3"/>
  <c r="AS27" i="24" l="1" a="1"/>
  <c r="AS27" i="24" s="1"/>
  <c r="AM27" i="24" a="1"/>
  <c r="AM27" i="24" s="1"/>
  <c r="AF7" i="24" a="1"/>
  <c r="AF7" i="24" s="1"/>
  <c r="U11" i="26" s="1"/>
  <c r="AF12" i="24" a="1"/>
  <c r="AF12" i="24" s="1"/>
  <c r="U16" i="26" s="1"/>
  <c r="AF5" i="24" a="1"/>
  <c r="AF5" i="24" s="1"/>
  <c r="U9" i="26" s="1"/>
  <c r="AF8" i="24" a="1"/>
  <c r="AF8" i="24" s="1"/>
  <c r="U12" i="26" s="1"/>
  <c r="AF13" i="24" a="1"/>
  <c r="AF13" i="24" s="1"/>
  <c r="U17" i="26" s="1"/>
  <c r="AF6" i="24" a="1"/>
  <c r="AF6" i="24" s="1"/>
  <c r="U10" i="26" s="1"/>
  <c r="AF9" i="24" a="1"/>
  <c r="AF9" i="24" s="1"/>
  <c r="U13" i="26" s="1"/>
  <c r="AF14" i="24" a="1"/>
  <c r="AF14" i="24" s="1"/>
  <c r="U18" i="26" s="1"/>
  <c r="AF2" i="24" a="1"/>
  <c r="AF2" i="24" s="1"/>
  <c r="AF10" i="24" a="1"/>
  <c r="AF10" i="24" s="1"/>
  <c r="U14" i="26" s="1"/>
  <c r="AF3" i="24" a="1"/>
  <c r="AF3" i="24" s="1"/>
  <c r="AF11" i="24" a="1"/>
  <c r="AF11" i="24" s="1"/>
  <c r="U15" i="26" s="1"/>
  <c r="AF15" i="24" a="1"/>
  <c r="AF15" i="24" s="1"/>
  <c r="U19" i="26" s="1"/>
  <c r="AF17" i="24" a="1"/>
  <c r="AF17" i="24" s="1"/>
  <c r="U21" i="26" s="1"/>
  <c r="AF4" i="24" a="1"/>
  <c r="AF4" i="24" s="1"/>
  <c r="AF16" i="24" a="1"/>
  <c r="AF16" i="24" s="1"/>
  <c r="U20" i="26" s="1"/>
  <c r="T31" i="24" a="1"/>
  <c r="T31" i="24" s="1"/>
  <c r="U30" i="24"/>
  <c r="V7" i="13"/>
  <c r="S40" i="13"/>
  <c r="R40" i="13"/>
  <c r="S39" i="13"/>
  <c r="R39" i="13"/>
  <c r="S38" i="13"/>
  <c r="R38" i="13"/>
  <c r="X2" i="9"/>
  <c r="K22" i="3"/>
  <c r="M22" i="3"/>
  <c r="O22" i="3"/>
  <c r="J22" i="3"/>
  <c r="L22" i="3"/>
  <c r="AS28" i="24" l="1" a="1"/>
  <c r="AS28" i="24" s="1"/>
  <c r="AM28" i="24" a="1"/>
  <c r="AM28" i="24" s="1"/>
  <c r="AE3" i="24" a="1"/>
  <c r="AE3" i="24" s="1"/>
  <c r="S7" i="26" s="1"/>
  <c r="U7" i="26"/>
  <c r="AE4" i="24" a="1"/>
  <c r="AE4" i="24" s="1"/>
  <c r="S8" i="26" s="1"/>
  <c r="U8" i="26"/>
  <c r="AE15" i="24" a="1"/>
  <c r="AE15" i="24" s="1"/>
  <c r="S19" i="26" s="1"/>
  <c r="AE9" i="24" a="1"/>
  <c r="AE9" i="24" s="1"/>
  <c r="S13" i="26" s="1"/>
  <c r="AE16" i="24" a="1"/>
  <c r="AE16" i="24" s="1"/>
  <c r="S20" i="26" s="1"/>
  <c r="AE17" i="24" a="1"/>
  <c r="AE17" i="24" s="1"/>
  <c r="S21" i="26" s="1"/>
  <c r="AE2" i="24" a="1"/>
  <c r="AE2" i="24" s="1"/>
  <c r="S6" i="26" s="1"/>
  <c r="U6" i="26"/>
  <c r="AE11" i="24" a="1"/>
  <c r="AE11" i="24" s="1"/>
  <c r="S15" i="26" s="1"/>
  <c r="AE10" i="24" a="1"/>
  <c r="AE10" i="24" s="1"/>
  <c r="S14" i="26" s="1"/>
  <c r="AE14" i="24" a="1"/>
  <c r="AE14" i="24" s="1"/>
  <c r="S18" i="26" s="1"/>
  <c r="AE6" i="24" a="1"/>
  <c r="AE6" i="24" s="1"/>
  <c r="S10" i="26" s="1"/>
  <c r="AE13" i="24" a="1"/>
  <c r="AE13" i="24" s="1"/>
  <c r="S17" i="26" s="1"/>
  <c r="AE8" i="24" a="1"/>
  <c r="AE8" i="24" s="1"/>
  <c r="S12" i="26" s="1"/>
  <c r="AE5" i="24" a="1"/>
  <c r="AE5" i="24" s="1"/>
  <c r="S9" i="26" s="1"/>
  <c r="AE12" i="24" a="1"/>
  <c r="AE12" i="24" s="1"/>
  <c r="S16" i="26" s="1"/>
  <c r="AE7" i="24" a="1"/>
  <c r="AE7" i="24" s="1"/>
  <c r="S11" i="26" s="1"/>
  <c r="T32" i="24" a="1"/>
  <c r="T32" i="24" s="1"/>
  <c r="U31" i="24"/>
  <c r="J43" i="13"/>
  <c r="V43" i="13" s="1"/>
  <c r="J44" i="13"/>
  <c r="V44" i="13" s="1"/>
  <c r="J45" i="13"/>
  <c r="V45" i="13" s="1"/>
  <c r="C16" i="11"/>
  <c r="S31" i="13"/>
  <c r="R31" i="13"/>
  <c r="S30" i="13"/>
  <c r="R30" i="13"/>
  <c r="S29" i="13"/>
  <c r="R29" i="13"/>
  <c r="S49" i="13"/>
  <c r="R49" i="13"/>
  <c r="S48" i="13"/>
  <c r="R48" i="13"/>
  <c r="S47" i="13"/>
  <c r="R47" i="13"/>
  <c r="K4" i="1"/>
  <c r="V36" i="9"/>
  <c r="C7" i="11" s="1"/>
  <c r="X102" i="9"/>
  <c r="C8" i="11" s="1"/>
  <c r="U20" i="9"/>
  <c r="B7" i="11" s="1"/>
  <c r="U93" i="9"/>
  <c r="U107" i="9"/>
  <c r="Z149" i="9"/>
  <c r="C9" i="11" s="1"/>
  <c r="S8" i="3" s="1"/>
  <c r="P13" i="3" s="1"/>
  <c r="T16" i="3" s="1"/>
  <c r="N22" i="3"/>
  <c r="AS29" i="24" l="1" a="1"/>
  <c r="AS29" i="24" s="1"/>
  <c r="AM29" i="24" a="1"/>
  <c r="AM29" i="24" s="1"/>
  <c r="N4" i="1"/>
  <c r="O4" i="1"/>
  <c r="P4" i="1"/>
  <c r="T33" i="24" a="1"/>
  <c r="T33" i="24" s="1"/>
  <c r="U32" i="24"/>
  <c r="J52" i="13"/>
  <c r="V52" i="13" s="1"/>
  <c r="J36" i="13"/>
  <c r="V36" i="13" s="1"/>
  <c r="J35" i="13"/>
  <c r="V35" i="13" s="1"/>
  <c r="J54" i="13"/>
  <c r="V54" i="13" s="1"/>
  <c r="J34" i="13"/>
  <c r="V34" i="13" s="1"/>
  <c r="J53" i="13"/>
  <c r="V53" i="13" s="1"/>
  <c r="C12" i="11"/>
  <c r="S3" i="13" s="1"/>
  <c r="J8" i="13" s="1"/>
  <c r="S6" i="3"/>
  <c r="R6" i="3"/>
  <c r="S7" i="3"/>
  <c r="M4" i="1"/>
  <c r="BK2" i="7"/>
  <c r="BL2" i="7" s="1"/>
  <c r="AV2" i="7"/>
  <c r="AV1" i="7" s="1"/>
  <c r="AG2" i="7"/>
  <c r="AH2" i="7" s="1"/>
  <c r="R2" i="7"/>
  <c r="S2" i="7" s="1"/>
  <c r="C2" i="7"/>
  <c r="D2" i="7" s="1"/>
  <c r="BJ1" i="7"/>
  <c r="AU1" i="7"/>
  <c r="AF1" i="7"/>
  <c r="Q1" i="7"/>
  <c r="B1" i="7"/>
  <c r="C3" i="12" l="1"/>
  <c r="C120" i="12"/>
  <c r="C97" i="12"/>
  <c r="C45" i="12"/>
  <c r="C51" i="12"/>
  <c r="C118" i="12"/>
  <c r="C139" i="12"/>
  <c r="C108" i="12"/>
  <c r="C100" i="12"/>
  <c r="C126" i="12"/>
  <c r="C21" i="12"/>
  <c r="C106" i="12"/>
  <c r="C104" i="12"/>
  <c r="C92" i="12"/>
  <c r="C19" i="12"/>
  <c r="C49" i="12"/>
  <c r="C80" i="12"/>
  <c r="C8" i="12"/>
  <c r="C22" i="12"/>
  <c r="C43" i="12"/>
  <c r="C34" i="12"/>
  <c r="C68" i="12"/>
  <c r="C61" i="12"/>
  <c r="C153" i="12"/>
  <c r="C98" i="12"/>
  <c r="C46" i="12"/>
  <c r="C16" i="12"/>
  <c r="C67" i="12"/>
  <c r="C123" i="12"/>
  <c r="C109" i="12"/>
  <c r="C54" i="12"/>
  <c r="C60" i="12"/>
  <c r="C42" i="12"/>
  <c r="C142" i="12"/>
  <c r="C124" i="12"/>
  <c r="C114" i="12"/>
  <c r="C135" i="12"/>
  <c r="C30" i="12"/>
  <c r="C121" i="12"/>
  <c r="C131" i="12"/>
  <c r="C7" i="12"/>
  <c r="C75" i="12"/>
  <c r="C41" i="12"/>
  <c r="C29" i="12"/>
  <c r="C62" i="12"/>
  <c r="C11" i="12"/>
  <c r="C26" i="12"/>
  <c r="C71" i="12"/>
  <c r="C101" i="12"/>
  <c r="C53" i="12"/>
  <c r="C134" i="12"/>
  <c r="C110" i="12"/>
  <c r="C137" i="12"/>
  <c r="C88" i="12"/>
  <c r="C27" i="12"/>
  <c r="C113" i="12"/>
  <c r="C63" i="12"/>
  <c r="C15" i="12"/>
  <c r="C127" i="12"/>
  <c r="C145" i="12"/>
  <c r="C129" i="12"/>
  <c r="C9" i="12"/>
  <c r="C141" i="12"/>
  <c r="C70" i="12"/>
  <c r="C154" i="12"/>
  <c r="C59" i="12"/>
  <c r="C89" i="12"/>
  <c r="C115" i="12"/>
  <c r="C4" i="12"/>
  <c r="C13" i="12"/>
  <c r="C35" i="12"/>
  <c r="C81" i="12"/>
  <c r="C28" i="12"/>
  <c r="C122" i="12"/>
  <c r="C58" i="12"/>
  <c r="C74" i="12"/>
  <c r="C14" i="12"/>
  <c r="C44" i="12"/>
  <c r="C128" i="12"/>
  <c r="C99" i="12"/>
  <c r="C33" i="12"/>
  <c r="C12" i="12"/>
  <c r="C73" i="12"/>
  <c r="C76" i="12"/>
  <c r="C130" i="12"/>
  <c r="C148" i="12"/>
  <c r="C132" i="12"/>
  <c r="C48" i="12"/>
  <c r="C147" i="12"/>
  <c r="C102" i="12"/>
  <c r="C83" i="12"/>
  <c r="C87" i="12"/>
  <c r="C10" i="12"/>
  <c r="C107" i="12"/>
  <c r="C86" i="12"/>
  <c r="C78" i="12"/>
  <c r="C143" i="12"/>
  <c r="C105" i="12"/>
  <c r="C149" i="12"/>
  <c r="C155" i="12"/>
  <c r="C31" i="12"/>
  <c r="C119" i="12"/>
  <c r="C152" i="12"/>
  <c r="C96" i="12"/>
  <c r="C140" i="12"/>
  <c r="C103" i="12"/>
  <c r="C91" i="12"/>
  <c r="C18" i="12"/>
  <c r="C151" i="12"/>
  <c r="C85" i="12"/>
  <c r="C133" i="12"/>
  <c r="C36" i="12"/>
  <c r="C138" i="12"/>
  <c r="C57" i="12"/>
  <c r="C157" i="12"/>
  <c r="C39" i="12"/>
  <c r="C116" i="12"/>
  <c r="C38" i="12"/>
  <c r="C64" i="12"/>
  <c r="C52" i="12"/>
  <c r="C125" i="12"/>
  <c r="C5" i="12"/>
  <c r="C25" i="12"/>
  <c r="C95" i="12"/>
  <c r="C77" i="12"/>
  <c r="C56" i="12"/>
  <c r="C17" i="12"/>
  <c r="C69" i="12"/>
  <c r="C159" i="12"/>
  <c r="C20" i="12"/>
  <c r="C40" i="12"/>
  <c r="C117" i="12"/>
  <c r="C94" i="12"/>
  <c r="C24" i="12"/>
  <c r="C6" i="12"/>
  <c r="C112" i="12"/>
  <c r="C136" i="12"/>
  <c r="C82" i="12"/>
  <c r="C144" i="12"/>
  <c r="C111" i="12"/>
  <c r="C66" i="12"/>
  <c r="C79" i="12"/>
  <c r="C47" i="12"/>
  <c r="C65" i="12"/>
  <c r="C37" i="12"/>
  <c r="C90" i="12"/>
  <c r="C50" i="12"/>
  <c r="C84" i="12"/>
  <c r="C150" i="12"/>
  <c r="C93" i="12"/>
  <c r="C156" i="12"/>
  <c r="C158" i="12"/>
  <c r="C23" i="12"/>
  <c r="C146" i="12"/>
  <c r="C55" i="12"/>
  <c r="C72" i="12"/>
  <c r="C32" i="12"/>
  <c r="AS30" i="24" a="1"/>
  <c r="AS30" i="24" s="1"/>
  <c r="AM30" i="24" a="1"/>
  <c r="AM30" i="24" s="1"/>
  <c r="T34" i="24" a="1"/>
  <c r="T34" i="24" s="1"/>
  <c r="U33" i="24"/>
  <c r="V8" i="13"/>
  <c r="N13" i="3"/>
  <c r="T15" i="3" s="1"/>
  <c r="L13" i="3"/>
  <c r="T14" i="3" s="1"/>
  <c r="S13" i="13"/>
  <c r="R13" i="13"/>
  <c r="S12" i="13"/>
  <c r="R12" i="13"/>
  <c r="S11" i="13"/>
  <c r="R11" i="13"/>
  <c r="C2" i="12"/>
  <c r="G2" i="12" s="1"/>
  <c r="D1" i="7"/>
  <c r="D3" i="7"/>
  <c r="D4" i="7" s="1"/>
  <c r="D5" i="7" s="1"/>
  <c r="E2" i="7" s="1"/>
  <c r="S3" i="7"/>
  <c r="S4" i="7" s="1"/>
  <c r="S5" i="7" s="1"/>
  <c r="T2" i="7" s="1"/>
  <c r="S1" i="7"/>
  <c r="AH3" i="7"/>
  <c r="AH4" i="7" s="1"/>
  <c r="AH5" i="7" s="1"/>
  <c r="AI2" i="7" s="1"/>
  <c r="AH1" i="7"/>
  <c r="BL1" i="7"/>
  <c r="BL3" i="7"/>
  <c r="BL4" i="7" s="1"/>
  <c r="BL5" i="7" s="1"/>
  <c r="BM2" i="7" s="1"/>
  <c r="C1" i="7"/>
  <c r="BK1" i="7"/>
  <c r="AW2" i="7"/>
  <c r="AG1" i="7"/>
  <c r="R1" i="7"/>
  <c r="E65" i="12" l="1"/>
  <c r="G65" i="12"/>
  <c r="E56" i="12"/>
  <c r="G56" i="12"/>
  <c r="E81" i="12"/>
  <c r="G81" i="12"/>
  <c r="E72" i="12"/>
  <c r="G72" i="12"/>
  <c r="G82" i="12"/>
  <c r="E82" i="12"/>
  <c r="G52" i="12"/>
  <c r="E52" i="12"/>
  <c r="G18" i="12"/>
  <c r="E18" i="12"/>
  <c r="E102" i="12"/>
  <c r="G102" i="12"/>
  <c r="E44" i="12"/>
  <c r="G44" i="12"/>
  <c r="G145" i="12"/>
  <c r="E145" i="12"/>
  <c r="G71" i="12"/>
  <c r="E71" i="12"/>
  <c r="E75" i="12"/>
  <c r="G75" i="12"/>
  <c r="G109" i="12"/>
  <c r="E109" i="12"/>
  <c r="E153" i="12"/>
  <c r="G153" i="12"/>
  <c r="E8" i="12"/>
  <c r="G8" i="12"/>
  <c r="G118" i="12"/>
  <c r="E118" i="12"/>
  <c r="E55" i="12"/>
  <c r="G55" i="12"/>
  <c r="E150" i="12"/>
  <c r="G150" i="12"/>
  <c r="G136" i="12"/>
  <c r="E136" i="12"/>
  <c r="E64" i="12"/>
  <c r="G64" i="12"/>
  <c r="G31" i="12"/>
  <c r="E31" i="12"/>
  <c r="E93" i="12"/>
  <c r="G93" i="12"/>
  <c r="E117" i="12"/>
  <c r="G117" i="12"/>
  <c r="G57" i="12"/>
  <c r="E57" i="12"/>
  <c r="E119" i="12"/>
  <c r="G119" i="12"/>
  <c r="E78" i="12"/>
  <c r="G78" i="12"/>
  <c r="E76" i="12"/>
  <c r="G76" i="12"/>
  <c r="E59" i="12"/>
  <c r="G59" i="12"/>
  <c r="E88" i="12"/>
  <c r="G88" i="12"/>
  <c r="G114" i="12"/>
  <c r="E114" i="12"/>
  <c r="G106" i="12"/>
  <c r="E106" i="12"/>
  <c r="E47" i="12"/>
  <c r="G47" i="12"/>
  <c r="G40" i="12"/>
  <c r="E40" i="12"/>
  <c r="G77" i="12"/>
  <c r="E77" i="12"/>
  <c r="E138" i="12"/>
  <c r="G138" i="12"/>
  <c r="E91" i="12"/>
  <c r="G91" i="12"/>
  <c r="G86" i="12"/>
  <c r="E86" i="12"/>
  <c r="E147" i="12"/>
  <c r="G147" i="12"/>
  <c r="G73" i="12"/>
  <c r="E73" i="12"/>
  <c r="E14" i="12"/>
  <c r="G14" i="12"/>
  <c r="E35" i="12"/>
  <c r="G35" i="12"/>
  <c r="E154" i="12"/>
  <c r="G154" i="12"/>
  <c r="G127" i="12"/>
  <c r="E127" i="12"/>
  <c r="E137" i="12"/>
  <c r="G137" i="12"/>
  <c r="E26" i="12"/>
  <c r="G26" i="12"/>
  <c r="G7" i="12"/>
  <c r="E7" i="12"/>
  <c r="G124" i="12"/>
  <c r="E124" i="12"/>
  <c r="E123" i="12"/>
  <c r="G123" i="12"/>
  <c r="E61" i="12"/>
  <c r="G61" i="12"/>
  <c r="G80" i="12"/>
  <c r="E80" i="12"/>
  <c r="E21" i="12"/>
  <c r="G21" i="12"/>
  <c r="G51" i="12"/>
  <c r="E51" i="12"/>
  <c r="G146" i="12"/>
  <c r="E146" i="12"/>
  <c r="E84" i="12"/>
  <c r="G84" i="12"/>
  <c r="G79" i="12"/>
  <c r="E79" i="12"/>
  <c r="G112" i="12"/>
  <c r="E112" i="12"/>
  <c r="E20" i="12"/>
  <c r="G20" i="12"/>
  <c r="G95" i="12"/>
  <c r="E95" i="12"/>
  <c r="E38" i="12"/>
  <c r="G38" i="12"/>
  <c r="E36" i="12"/>
  <c r="G36" i="12"/>
  <c r="G103" i="12"/>
  <c r="E103" i="12"/>
  <c r="G155" i="12"/>
  <c r="E155" i="12"/>
  <c r="G107" i="12"/>
  <c r="E107" i="12"/>
  <c r="G48" i="12"/>
  <c r="E48" i="12"/>
  <c r="E12" i="12"/>
  <c r="G12" i="12"/>
  <c r="G74" i="12"/>
  <c r="E74" i="12"/>
  <c r="G13" i="12"/>
  <c r="E13" i="12"/>
  <c r="E70" i="12"/>
  <c r="G70" i="12"/>
  <c r="G15" i="12"/>
  <c r="E15" i="12"/>
  <c r="G110" i="12"/>
  <c r="E110" i="12"/>
  <c r="E11" i="12"/>
  <c r="G11" i="12"/>
  <c r="G131" i="12"/>
  <c r="E131" i="12"/>
  <c r="G142" i="12"/>
  <c r="E142" i="12"/>
  <c r="G67" i="12"/>
  <c r="E67" i="12"/>
  <c r="G68" i="12"/>
  <c r="E68" i="12"/>
  <c r="G49" i="12"/>
  <c r="E49" i="12"/>
  <c r="E126" i="12"/>
  <c r="G126" i="12"/>
  <c r="G45" i="12"/>
  <c r="E45" i="12"/>
  <c r="E50" i="12"/>
  <c r="G50" i="12"/>
  <c r="E6" i="12"/>
  <c r="G6" i="12"/>
  <c r="G25" i="12"/>
  <c r="E25" i="12"/>
  <c r="G133" i="12"/>
  <c r="E133" i="12"/>
  <c r="G149" i="12"/>
  <c r="E149" i="12"/>
  <c r="E132" i="12"/>
  <c r="G132" i="12"/>
  <c r="E58" i="12"/>
  <c r="G58" i="12"/>
  <c r="G4" i="12"/>
  <c r="E4" i="12"/>
  <c r="E134" i="12"/>
  <c r="G134" i="12"/>
  <c r="G121" i="12"/>
  <c r="E121" i="12"/>
  <c r="G16" i="12"/>
  <c r="E16" i="12"/>
  <c r="G19" i="12"/>
  <c r="E19" i="12"/>
  <c r="G97" i="12"/>
  <c r="E97" i="12"/>
  <c r="G158" i="12"/>
  <c r="E158" i="12"/>
  <c r="E90" i="12"/>
  <c r="G90" i="12"/>
  <c r="E111" i="12"/>
  <c r="G111" i="12"/>
  <c r="G24" i="12"/>
  <c r="E24" i="12"/>
  <c r="E69" i="12"/>
  <c r="G69" i="12"/>
  <c r="E5" i="12"/>
  <c r="G5" i="12"/>
  <c r="E39" i="12"/>
  <c r="G39" i="12"/>
  <c r="G85" i="12"/>
  <c r="E85" i="12"/>
  <c r="E96" i="12"/>
  <c r="G96" i="12"/>
  <c r="G105" i="12"/>
  <c r="E105" i="12"/>
  <c r="E87" i="12"/>
  <c r="G87" i="12"/>
  <c r="G148" i="12"/>
  <c r="E148" i="12"/>
  <c r="E99" i="12"/>
  <c r="G99" i="12"/>
  <c r="G122" i="12"/>
  <c r="E122" i="12"/>
  <c r="G115" i="12"/>
  <c r="E115" i="12"/>
  <c r="G9" i="12"/>
  <c r="E9" i="12"/>
  <c r="E113" i="12"/>
  <c r="G113" i="12"/>
  <c r="E53" i="12"/>
  <c r="G53" i="12"/>
  <c r="E29" i="12"/>
  <c r="G29" i="12"/>
  <c r="G30" i="12"/>
  <c r="E30" i="12"/>
  <c r="G60" i="12"/>
  <c r="E60" i="12"/>
  <c r="G46" i="12"/>
  <c r="E46" i="12"/>
  <c r="G43" i="12"/>
  <c r="E43" i="12"/>
  <c r="G92" i="12"/>
  <c r="E92" i="12"/>
  <c r="E108" i="12"/>
  <c r="G108" i="12"/>
  <c r="E120" i="12"/>
  <c r="G120" i="12"/>
  <c r="E23" i="12"/>
  <c r="G23" i="12"/>
  <c r="E66" i="12"/>
  <c r="G66" i="12"/>
  <c r="E159" i="12"/>
  <c r="G159" i="12"/>
  <c r="G116" i="12"/>
  <c r="E116" i="12"/>
  <c r="G140" i="12"/>
  <c r="E140" i="12"/>
  <c r="G10" i="12"/>
  <c r="E10" i="12"/>
  <c r="G33" i="12"/>
  <c r="E33" i="12"/>
  <c r="E141" i="12"/>
  <c r="G141" i="12"/>
  <c r="G63" i="12"/>
  <c r="E63" i="12"/>
  <c r="E62" i="12"/>
  <c r="G62" i="12"/>
  <c r="G42" i="12"/>
  <c r="E42" i="12"/>
  <c r="G34" i="12"/>
  <c r="E34" i="12"/>
  <c r="G100" i="12"/>
  <c r="E100" i="12"/>
  <c r="E32" i="12"/>
  <c r="G32" i="12"/>
  <c r="E156" i="12"/>
  <c r="G156" i="12"/>
  <c r="G37" i="12"/>
  <c r="E37" i="12"/>
  <c r="E144" i="12"/>
  <c r="G144" i="12"/>
  <c r="G94" i="12"/>
  <c r="E94" i="12"/>
  <c r="E17" i="12"/>
  <c r="G17" i="12"/>
  <c r="G125" i="12"/>
  <c r="E125" i="12"/>
  <c r="G157" i="12"/>
  <c r="E157" i="12"/>
  <c r="G151" i="12"/>
  <c r="E151" i="12"/>
  <c r="E152" i="12"/>
  <c r="G152" i="12"/>
  <c r="G143" i="12"/>
  <c r="E143" i="12"/>
  <c r="G83" i="12"/>
  <c r="E83" i="12"/>
  <c r="G130" i="12"/>
  <c r="E130" i="12"/>
  <c r="E128" i="12"/>
  <c r="G128" i="12"/>
  <c r="G28" i="12"/>
  <c r="E28" i="12"/>
  <c r="G89" i="12"/>
  <c r="E89" i="12"/>
  <c r="E129" i="12"/>
  <c r="G129" i="12"/>
  <c r="G27" i="12"/>
  <c r="E27" i="12"/>
  <c r="G101" i="12"/>
  <c r="E101" i="12"/>
  <c r="E41" i="12"/>
  <c r="G41" i="12"/>
  <c r="E135" i="12"/>
  <c r="G135" i="12"/>
  <c r="G54" i="12"/>
  <c r="E54" i="12"/>
  <c r="G98" i="12"/>
  <c r="E98" i="12"/>
  <c r="G22" i="12"/>
  <c r="E22" i="12"/>
  <c r="E104" i="12"/>
  <c r="G104" i="12"/>
  <c r="G139" i="12"/>
  <c r="E139" i="12"/>
  <c r="G3" i="12"/>
  <c r="E3" i="12"/>
  <c r="AS31" i="24" a="1"/>
  <c r="AS31" i="24" s="1"/>
  <c r="AM31" i="24" a="1"/>
  <c r="AM31" i="24" s="1"/>
  <c r="T35" i="24" a="1"/>
  <c r="T35" i="24" s="1"/>
  <c r="U34" i="24"/>
  <c r="J16" i="13"/>
  <c r="J17" i="13"/>
  <c r="V17" i="13" s="1"/>
  <c r="J18" i="13"/>
  <c r="V18" i="13" s="1"/>
  <c r="E2" i="12"/>
  <c r="BN2" i="7"/>
  <c r="BM1" i="7"/>
  <c r="AI1" i="7"/>
  <c r="AJ2" i="7"/>
  <c r="AW1" i="7"/>
  <c r="AW3" i="7"/>
  <c r="AW4" i="7" s="1"/>
  <c r="AW5" i="7" s="1"/>
  <c r="AX2" i="7" s="1"/>
  <c r="U2" i="7"/>
  <c r="T1" i="7"/>
  <c r="F2" i="7"/>
  <c r="E1" i="7"/>
  <c r="I3" i="12" l="1"/>
  <c r="I6" i="12"/>
  <c r="I9" i="12"/>
  <c r="I12" i="12"/>
  <c r="I15" i="12"/>
  <c r="I18" i="12"/>
  <c r="I21" i="12"/>
  <c r="I24" i="12"/>
  <c r="I27" i="12"/>
  <c r="I30" i="12"/>
  <c r="I33" i="12"/>
  <c r="I36" i="12"/>
  <c r="I39" i="12"/>
  <c r="I42" i="12"/>
  <c r="I45" i="12"/>
  <c r="I48" i="12"/>
  <c r="I51" i="12"/>
  <c r="I54" i="12"/>
  <c r="I57" i="12"/>
  <c r="I60" i="12"/>
  <c r="I63" i="12"/>
  <c r="I66" i="12"/>
  <c r="I69" i="12"/>
  <c r="I72" i="12"/>
  <c r="I75" i="12"/>
  <c r="I78" i="12"/>
  <c r="I81" i="12"/>
  <c r="I84" i="12"/>
  <c r="I87" i="12"/>
  <c r="I90" i="12"/>
  <c r="I93" i="12"/>
  <c r="I96" i="12"/>
  <c r="I99" i="12"/>
  <c r="I102" i="12"/>
  <c r="I105" i="12"/>
  <c r="I108" i="12"/>
  <c r="I111" i="12"/>
  <c r="I114" i="12"/>
  <c r="I117" i="12"/>
  <c r="I120" i="12"/>
  <c r="I123" i="12"/>
  <c r="I126" i="12"/>
  <c r="I129" i="12"/>
  <c r="I132" i="12"/>
  <c r="I135" i="12"/>
  <c r="I138" i="12"/>
  <c r="I141" i="12"/>
  <c r="I144" i="12"/>
  <c r="I147" i="12"/>
  <c r="I150" i="12"/>
  <c r="I153" i="12"/>
  <c r="I156" i="12"/>
  <c r="I159" i="12"/>
  <c r="I4" i="12"/>
  <c r="I7" i="12"/>
  <c r="I10" i="12"/>
  <c r="I13" i="12"/>
  <c r="I16" i="12"/>
  <c r="I19" i="12"/>
  <c r="I22" i="12"/>
  <c r="I25" i="12"/>
  <c r="I28" i="12"/>
  <c r="I31" i="12"/>
  <c r="I34" i="12"/>
  <c r="I37" i="12"/>
  <c r="I40" i="12"/>
  <c r="I43" i="12"/>
  <c r="I46" i="12"/>
  <c r="I49" i="12"/>
  <c r="I52" i="12"/>
  <c r="I55" i="12"/>
  <c r="I58" i="12"/>
  <c r="I61" i="12"/>
  <c r="I64" i="12"/>
  <c r="I67" i="12"/>
  <c r="I70" i="12"/>
  <c r="I73" i="12"/>
  <c r="I76" i="12"/>
  <c r="I79" i="12"/>
  <c r="I82" i="12"/>
  <c r="I85" i="12"/>
  <c r="I88" i="12"/>
  <c r="I91" i="12"/>
  <c r="I94" i="12"/>
  <c r="I97" i="12"/>
  <c r="I100" i="12"/>
  <c r="I103" i="12"/>
  <c r="I106" i="12"/>
  <c r="I109" i="12"/>
  <c r="I112" i="12"/>
  <c r="I115" i="12"/>
  <c r="I118" i="12"/>
  <c r="I121" i="12"/>
  <c r="I124" i="12"/>
  <c r="I127" i="12"/>
  <c r="I130" i="12"/>
  <c r="I133" i="12"/>
  <c r="I136" i="12"/>
  <c r="I139" i="12"/>
  <c r="I142" i="12"/>
  <c r="I145" i="12"/>
  <c r="I148" i="12"/>
  <c r="I151" i="12"/>
  <c r="I154" i="12"/>
  <c r="I157" i="12"/>
  <c r="I5" i="12"/>
  <c r="I8" i="12"/>
  <c r="I11" i="12"/>
  <c r="I14" i="12"/>
  <c r="I17" i="12"/>
  <c r="I20" i="12"/>
  <c r="I23" i="12"/>
  <c r="I26" i="12"/>
  <c r="I29" i="12"/>
  <c r="I32" i="12"/>
  <c r="I35" i="12"/>
  <c r="I38" i="12"/>
  <c r="I41" i="12"/>
  <c r="I44" i="12"/>
  <c r="I47" i="12"/>
  <c r="I50" i="12"/>
  <c r="I53" i="12"/>
  <c r="I56" i="12"/>
  <c r="I59" i="12"/>
  <c r="I62" i="12"/>
  <c r="I65" i="12"/>
  <c r="I68" i="12"/>
  <c r="I71" i="12"/>
  <c r="I74" i="12"/>
  <c r="I77" i="12"/>
  <c r="I80" i="12"/>
  <c r="I83" i="12"/>
  <c r="I86" i="12"/>
  <c r="I89" i="12"/>
  <c r="I92" i="12"/>
  <c r="I95" i="12"/>
  <c r="I98" i="12"/>
  <c r="I101" i="12"/>
  <c r="I104" i="12"/>
  <c r="I107" i="12"/>
  <c r="I110" i="12"/>
  <c r="I113" i="12"/>
  <c r="I116" i="12"/>
  <c r="I119" i="12"/>
  <c r="I122" i="12"/>
  <c r="I125" i="12"/>
  <c r="I128" i="12"/>
  <c r="I131" i="12"/>
  <c r="I134" i="12"/>
  <c r="I137" i="12"/>
  <c r="I140" i="12"/>
  <c r="I143" i="12"/>
  <c r="I146" i="12"/>
  <c r="I149" i="12"/>
  <c r="I152" i="12"/>
  <c r="I155" i="12"/>
  <c r="I158" i="12"/>
  <c r="I2" i="12"/>
  <c r="AS32" i="24" a="1"/>
  <c r="AS32" i="24" s="1"/>
  <c r="AM32" i="24" a="1"/>
  <c r="AM32" i="24" s="1"/>
  <c r="T36" i="24" a="1"/>
  <c r="T36" i="24" s="1"/>
  <c r="U35" i="24"/>
  <c r="V16" i="13"/>
  <c r="D41" i="12" s="1"/>
  <c r="G2" i="7"/>
  <c r="F1" i="7"/>
  <c r="U1" i="7"/>
  <c r="V2" i="7"/>
  <c r="AX1" i="7"/>
  <c r="AY2" i="7"/>
  <c r="AJ1" i="7"/>
  <c r="AK2" i="7"/>
  <c r="BO2" i="7"/>
  <c r="BN1" i="7"/>
  <c r="B22" i="3"/>
  <c r="D22" i="12" l="1"/>
  <c r="F22" i="12" s="1"/>
  <c r="D123" i="12"/>
  <c r="H123" i="12" s="1"/>
  <c r="D32" i="12"/>
  <c r="H32" i="12" s="1"/>
  <c r="D10" i="12"/>
  <c r="F10" i="12" s="1"/>
  <c r="D78" i="12"/>
  <c r="F78" i="12" s="1"/>
  <c r="D92" i="12"/>
  <c r="H92" i="12" s="1"/>
  <c r="D141" i="12"/>
  <c r="H141" i="12" s="1"/>
  <c r="D73" i="12"/>
  <c r="F73" i="12" s="1"/>
  <c r="D89" i="12"/>
  <c r="H89" i="12" s="1"/>
  <c r="D74" i="12"/>
  <c r="F74" i="12" s="1"/>
  <c r="D20" i="12"/>
  <c r="F20" i="12" s="1"/>
  <c r="D23" i="12"/>
  <c r="F23" i="12" s="1"/>
  <c r="D28" i="12"/>
  <c r="F28" i="12" s="1"/>
  <c r="D106" i="12"/>
  <c r="F106" i="12" s="1"/>
  <c r="D56" i="12"/>
  <c r="H56" i="12" s="1"/>
  <c r="D50" i="12"/>
  <c r="H50" i="12" s="1"/>
  <c r="D60" i="12"/>
  <c r="F60" i="12" s="1"/>
  <c r="D3" i="12"/>
  <c r="H3" i="12" s="1"/>
  <c r="D77" i="12"/>
  <c r="H77" i="12" s="1"/>
  <c r="D29" i="12"/>
  <c r="F29" i="12" s="1"/>
  <c r="D86" i="12"/>
  <c r="H86" i="12" s="1"/>
  <c r="D115" i="12"/>
  <c r="H115" i="12" s="1"/>
  <c r="D70" i="12"/>
  <c r="F70" i="12" s="1"/>
  <c r="D158" i="12"/>
  <c r="H158" i="12" s="1"/>
  <c r="D85" i="12"/>
  <c r="F85" i="12" s="1"/>
  <c r="D35" i="12"/>
  <c r="H35" i="12" s="1"/>
  <c r="D113" i="12"/>
  <c r="H113" i="12" s="1"/>
  <c r="D148" i="12"/>
  <c r="F148" i="12" s="1"/>
  <c r="D149" i="12"/>
  <c r="F149" i="12" s="1"/>
  <c r="D14" i="12"/>
  <c r="H14" i="12" s="1"/>
  <c r="D46" i="12"/>
  <c r="H46" i="12" s="1"/>
  <c r="D122" i="12"/>
  <c r="H122" i="12" s="1"/>
  <c r="D108" i="12"/>
  <c r="F108" i="12" s="1"/>
  <c r="D114" i="12"/>
  <c r="F114" i="12" s="1"/>
  <c r="D105" i="12"/>
  <c r="F105" i="12" s="1"/>
  <c r="D157" i="12"/>
  <c r="F157" i="12" s="1"/>
  <c r="H41" i="12"/>
  <c r="F41" i="12"/>
  <c r="H22" i="12"/>
  <c r="D39" i="12"/>
  <c r="D127" i="12"/>
  <c r="D126" i="12"/>
  <c r="D111" i="12"/>
  <c r="D54" i="12"/>
  <c r="D42" i="12"/>
  <c r="D110" i="12"/>
  <c r="D63" i="12"/>
  <c r="D44" i="12"/>
  <c r="D82" i="12"/>
  <c r="D18" i="12"/>
  <c r="D38" i="12"/>
  <c r="D11" i="12"/>
  <c r="D26" i="12"/>
  <c r="D154" i="12"/>
  <c r="D66" i="12"/>
  <c r="D67" i="12"/>
  <c r="D64" i="12"/>
  <c r="D48" i="12"/>
  <c r="D93" i="12"/>
  <c r="D155" i="12"/>
  <c r="D121" i="12"/>
  <c r="D97" i="12"/>
  <c r="D152" i="12"/>
  <c r="D33" i="12"/>
  <c r="D99" i="12"/>
  <c r="D98" i="12"/>
  <c r="D116" i="12"/>
  <c r="D30" i="12"/>
  <c r="D53" i="12"/>
  <c r="D119" i="12"/>
  <c r="D124" i="12"/>
  <c r="D31" i="12"/>
  <c r="D109" i="12"/>
  <c r="D136" i="12"/>
  <c r="F123" i="12"/>
  <c r="D59" i="12"/>
  <c r="D153" i="12"/>
  <c r="D84" i="12"/>
  <c r="D90" i="12"/>
  <c r="D104" i="12"/>
  <c r="D75" i="12"/>
  <c r="D69" i="12"/>
  <c r="D102" i="12"/>
  <c r="D107" i="12"/>
  <c r="D95" i="12"/>
  <c r="D27" i="12"/>
  <c r="D144" i="12"/>
  <c r="D96" i="12"/>
  <c r="D135" i="12"/>
  <c r="D8" i="12"/>
  <c r="H106" i="12"/>
  <c r="D118" i="12"/>
  <c r="D151" i="12"/>
  <c r="D150" i="12"/>
  <c r="D58" i="12"/>
  <c r="D5" i="12"/>
  <c r="D37" i="12"/>
  <c r="D15" i="12"/>
  <c r="D131" i="12"/>
  <c r="D133" i="12"/>
  <c r="D81" i="12"/>
  <c r="D36" i="12"/>
  <c r="D24" i="12"/>
  <c r="D142" i="12"/>
  <c r="D132" i="12"/>
  <c r="D61" i="12"/>
  <c r="D55" i="12"/>
  <c r="D21" i="12"/>
  <c r="D7" i="12"/>
  <c r="D9" i="12"/>
  <c r="D25" i="12"/>
  <c r="D137" i="12"/>
  <c r="D125" i="12"/>
  <c r="D120" i="12"/>
  <c r="D79" i="12"/>
  <c r="D103" i="12"/>
  <c r="D34" i="12"/>
  <c r="D140" i="12"/>
  <c r="D143" i="12"/>
  <c r="D72" i="12"/>
  <c r="D80" i="12"/>
  <c r="D94" i="12"/>
  <c r="D138" i="12"/>
  <c r="D130" i="12"/>
  <c r="D139" i="12"/>
  <c r="D112" i="12"/>
  <c r="D87" i="12"/>
  <c r="D145" i="12"/>
  <c r="D68" i="12"/>
  <c r="D16" i="12"/>
  <c r="D49" i="12"/>
  <c r="D117" i="12"/>
  <c r="D12" i="12"/>
  <c r="D71" i="12"/>
  <c r="D4" i="12"/>
  <c r="D40" i="12"/>
  <c r="D13" i="12"/>
  <c r="D43" i="12"/>
  <c r="D147" i="12"/>
  <c r="D76" i="12"/>
  <c r="D156" i="12"/>
  <c r="D47" i="12"/>
  <c r="D129" i="12"/>
  <c r="D45" i="12"/>
  <c r="D6" i="12"/>
  <c r="D17" i="12"/>
  <c r="D51" i="12"/>
  <c r="D62" i="12"/>
  <c r="D101" i="12"/>
  <c r="D159" i="12"/>
  <c r="D134" i="12"/>
  <c r="D57" i="12"/>
  <c r="D83" i="12"/>
  <c r="D65" i="12"/>
  <c r="D19" i="12"/>
  <c r="D146" i="12"/>
  <c r="D91" i="12"/>
  <c r="D88" i="12"/>
  <c r="D52" i="12"/>
  <c r="D128" i="12"/>
  <c r="D100" i="12"/>
  <c r="AS33" i="24" a="1"/>
  <c r="AS33" i="24" s="1"/>
  <c r="AM33" i="24" a="1"/>
  <c r="AM33" i="24" s="1"/>
  <c r="D2" i="12"/>
  <c r="H2" i="12" s="1"/>
  <c r="T37" i="24" a="1"/>
  <c r="T37" i="24" s="1"/>
  <c r="U36" i="24"/>
  <c r="Y2" i="13"/>
  <c r="J4" i="1"/>
  <c r="BO1" i="7"/>
  <c r="BO3" i="7"/>
  <c r="BO4" i="7" s="1"/>
  <c r="BO5" i="7" s="1"/>
  <c r="BP2" i="7" s="1"/>
  <c r="AK1" i="7"/>
  <c r="AK3" i="7"/>
  <c r="AK4" i="7" s="1"/>
  <c r="AK5" i="7" s="1"/>
  <c r="AL2" i="7" s="1"/>
  <c r="AZ2" i="7"/>
  <c r="AY1" i="7"/>
  <c r="V1" i="7"/>
  <c r="V3" i="7"/>
  <c r="V4" i="7" s="1"/>
  <c r="V5" i="7" s="1"/>
  <c r="W2" i="7" s="1"/>
  <c r="G3" i="7"/>
  <c r="G4" i="7" s="1"/>
  <c r="G5" i="7" s="1"/>
  <c r="H2" i="7" s="1"/>
  <c r="G1" i="7"/>
  <c r="F35" i="12" l="1"/>
  <c r="H114" i="12"/>
  <c r="H85" i="12"/>
  <c r="F89" i="12"/>
  <c r="H78" i="12"/>
  <c r="F115" i="12"/>
  <c r="F50" i="12"/>
  <c r="H105" i="12"/>
  <c r="H148" i="12"/>
  <c r="H74" i="12"/>
  <c r="F46" i="12"/>
  <c r="F141" i="12"/>
  <c r="H60" i="12"/>
  <c r="H20" i="12"/>
  <c r="H70" i="12"/>
  <c r="H10" i="12"/>
  <c r="H149" i="12"/>
  <c r="H157" i="12"/>
  <c r="F122" i="12"/>
  <c r="H28" i="12"/>
  <c r="F14" i="12"/>
  <c r="H29" i="12"/>
  <c r="F77" i="12"/>
  <c r="H73" i="12"/>
  <c r="F32" i="12"/>
  <c r="H108" i="12"/>
  <c r="F113" i="12"/>
  <c r="F56" i="12"/>
  <c r="F86" i="12"/>
  <c r="H23" i="12"/>
  <c r="F92" i="12"/>
  <c r="F3" i="12"/>
  <c r="F158" i="12"/>
  <c r="F4" i="12"/>
  <c r="H4" i="12"/>
  <c r="H68" i="12"/>
  <c r="F68" i="12"/>
  <c r="H138" i="12"/>
  <c r="F138" i="12"/>
  <c r="F34" i="12"/>
  <c r="H34" i="12"/>
  <c r="F25" i="12"/>
  <c r="H25" i="12"/>
  <c r="H132" i="12"/>
  <c r="F132" i="12"/>
  <c r="H131" i="12"/>
  <c r="F131" i="12"/>
  <c r="F151" i="12"/>
  <c r="H151" i="12"/>
  <c r="F8" i="12"/>
  <c r="H8" i="12"/>
  <c r="H107" i="12"/>
  <c r="F107" i="12"/>
  <c r="H84" i="12"/>
  <c r="F84" i="12"/>
  <c r="F124" i="12"/>
  <c r="H124" i="12"/>
  <c r="F99" i="12"/>
  <c r="H99" i="12"/>
  <c r="F66" i="12"/>
  <c r="H66" i="12"/>
  <c r="F82" i="12"/>
  <c r="H82" i="12"/>
  <c r="H111" i="12"/>
  <c r="F111" i="12"/>
  <c r="F52" i="12"/>
  <c r="H52" i="12"/>
  <c r="F88" i="12"/>
  <c r="H88" i="12"/>
  <c r="F57" i="12"/>
  <c r="H57" i="12"/>
  <c r="H17" i="12"/>
  <c r="F17" i="12"/>
  <c r="F76" i="12"/>
  <c r="H76" i="12"/>
  <c r="H71" i="12"/>
  <c r="F71" i="12"/>
  <c r="F145" i="12"/>
  <c r="H145" i="12"/>
  <c r="F94" i="12"/>
  <c r="H94" i="12"/>
  <c r="F103" i="12"/>
  <c r="H103" i="12"/>
  <c r="H9" i="12"/>
  <c r="F9" i="12"/>
  <c r="F142" i="12"/>
  <c r="H142" i="12"/>
  <c r="F15" i="12"/>
  <c r="H15" i="12"/>
  <c r="H118" i="12"/>
  <c r="F118" i="12"/>
  <c r="H135" i="12"/>
  <c r="F135" i="12"/>
  <c r="F102" i="12"/>
  <c r="H102" i="12"/>
  <c r="H153" i="12"/>
  <c r="F153" i="12"/>
  <c r="H119" i="12"/>
  <c r="F119" i="12"/>
  <c r="H33" i="12"/>
  <c r="F33" i="12"/>
  <c r="F154" i="12"/>
  <c r="H154" i="12"/>
  <c r="H44" i="12"/>
  <c r="F44" i="12"/>
  <c r="H126" i="12"/>
  <c r="F126" i="12"/>
  <c r="H83" i="12"/>
  <c r="F83" i="12"/>
  <c r="F91" i="12"/>
  <c r="H91" i="12"/>
  <c r="H134" i="12"/>
  <c r="F134" i="12"/>
  <c r="F6" i="12"/>
  <c r="H6" i="12"/>
  <c r="H147" i="12"/>
  <c r="F147" i="12"/>
  <c r="H12" i="12"/>
  <c r="F12" i="12"/>
  <c r="F87" i="12"/>
  <c r="H87" i="12"/>
  <c r="H80" i="12"/>
  <c r="F80" i="12"/>
  <c r="F79" i="12"/>
  <c r="H79" i="12"/>
  <c r="F7" i="12"/>
  <c r="H7" i="12"/>
  <c r="H24" i="12"/>
  <c r="F24" i="12"/>
  <c r="F37" i="12"/>
  <c r="H37" i="12"/>
  <c r="F96" i="12"/>
  <c r="H96" i="12"/>
  <c r="F69" i="12"/>
  <c r="H69" i="12"/>
  <c r="H59" i="12"/>
  <c r="F59" i="12"/>
  <c r="H53" i="12"/>
  <c r="F53" i="12"/>
  <c r="H152" i="12"/>
  <c r="F152" i="12"/>
  <c r="H93" i="12"/>
  <c r="F93" i="12"/>
  <c r="F26" i="12"/>
  <c r="H26" i="12"/>
  <c r="F63" i="12"/>
  <c r="H63" i="12"/>
  <c r="F127" i="12"/>
  <c r="H127" i="12"/>
  <c r="H128" i="12"/>
  <c r="F128" i="12"/>
  <c r="F51" i="12"/>
  <c r="H51" i="12"/>
  <c r="H156" i="12"/>
  <c r="F156" i="12"/>
  <c r="H159" i="12"/>
  <c r="F159" i="12"/>
  <c r="F45" i="12"/>
  <c r="H45" i="12"/>
  <c r="H43" i="12"/>
  <c r="F43" i="12"/>
  <c r="H117" i="12"/>
  <c r="F117" i="12"/>
  <c r="F112" i="12"/>
  <c r="H112" i="12"/>
  <c r="H72" i="12"/>
  <c r="F72" i="12"/>
  <c r="H120" i="12"/>
  <c r="F120" i="12"/>
  <c r="H21" i="12"/>
  <c r="F21" i="12"/>
  <c r="H36" i="12"/>
  <c r="F36" i="12"/>
  <c r="F5" i="12"/>
  <c r="H5" i="12"/>
  <c r="H144" i="12"/>
  <c r="F144" i="12"/>
  <c r="F75" i="12"/>
  <c r="H75" i="12"/>
  <c r="F136" i="12"/>
  <c r="H136" i="12"/>
  <c r="H30" i="12"/>
  <c r="F30" i="12"/>
  <c r="F97" i="12"/>
  <c r="H97" i="12"/>
  <c r="F48" i="12"/>
  <c r="H48" i="12"/>
  <c r="H11" i="12"/>
  <c r="F11" i="12"/>
  <c r="H110" i="12"/>
  <c r="F110" i="12"/>
  <c r="F39" i="12"/>
  <c r="H39" i="12"/>
  <c r="H146" i="12"/>
  <c r="F146" i="12"/>
  <c r="F100" i="12"/>
  <c r="H100" i="12"/>
  <c r="F19" i="12"/>
  <c r="H19" i="12"/>
  <c r="H101" i="12"/>
  <c r="F101" i="12"/>
  <c r="H129" i="12"/>
  <c r="F129" i="12"/>
  <c r="F13" i="12"/>
  <c r="H13" i="12"/>
  <c r="F49" i="12"/>
  <c r="H49" i="12"/>
  <c r="F139" i="12"/>
  <c r="H139" i="12"/>
  <c r="F143" i="12"/>
  <c r="H143" i="12"/>
  <c r="H125" i="12"/>
  <c r="F125" i="12"/>
  <c r="F55" i="12"/>
  <c r="H55" i="12"/>
  <c r="F81" i="12"/>
  <c r="H81" i="12"/>
  <c r="F58" i="12"/>
  <c r="H58" i="12"/>
  <c r="H27" i="12"/>
  <c r="F27" i="12"/>
  <c r="H104" i="12"/>
  <c r="F104" i="12"/>
  <c r="H109" i="12"/>
  <c r="F109" i="12"/>
  <c r="H116" i="12"/>
  <c r="F116" i="12"/>
  <c r="F121" i="12"/>
  <c r="H121" i="12"/>
  <c r="F64" i="12"/>
  <c r="H64" i="12"/>
  <c r="H38" i="12"/>
  <c r="F38" i="12"/>
  <c r="F42" i="12"/>
  <c r="H42" i="12"/>
  <c r="H65" i="12"/>
  <c r="F65" i="12"/>
  <c r="H62" i="12"/>
  <c r="F62" i="12"/>
  <c r="H47" i="12"/>
  <c r="F47" i="12"/>
  <c r="H40" i="12"/>
  <c r="F40" i="12"/>
  <c r="F16" i="12"/>
  <c r="H16" i="12"/>
  <c r="F130" i="12"/>
  <c r="H130" i="12"/>
  <c r="H140" i="12"/>
  <c r="F140" i="12"/>
  <c r="H137" i="12"/>
  <c r="F137" i="12"/>
  <c r="H61" i="12"/>
  <c r="F61" i="12"/>
  <c r="F133" i="12"/>
  <c r="H133" i="12"/>
  <c r="H150" i="12"/>
  <c r="F150" i="12"/>
  <c r="H95" i="12"/>
  <c r="F95" i="12"/>
  <c r="F90" i="12"/>
  <c r="H90" i="12"/>
  <c r="F31" i="12"/>
  <c r="H31" i="12"/>
  <c r="H98" i="12"/>
  <c r="F98" i="12"/>
  <c r="F155" i="12"/>
  <c r="H155" i="12"/>
  <c r="F67" i="12"/>
  <c r="H67" i="12"/>
  <c r="F18" i="12"/>
  <c r="H18" i="12"/>
  <c r="F54" i="12"/>
  <c r="H54" i="12"/>
  <c r="AS34" i="24" a="1"/>
  <c r="AS34" i="24" s="1"/>
  <c r="AM34" i="24" a="1"/>
  <c r="AM34" i="24" s="1"/>
  <c r="T38" i="24" a="1"/>
  <c r="T38" i="24" s="1"/>
  <c r="U37" i="24"/>
  <c r="F2" i="12"/>
  <c r="W1" i="7"/>
  <c r="X2" i="7"/>
  <c r="AZ3" i="7"/>
  <c r="AZ4" i="7" s="1"/>
  <c r="AZ5" i="7" s="1"/>
  <c r="BA2" i="7" s="1"/>
  <c r="AZ1" i="7"/>
  <c r="AM2" i="7"/>
  <c r="AL1" i="7"/>
  <c r="H1" i="7"/>
  <c r="I2" i="7"/>
  <c r="BQ2" i="7"/>
  <c r="BP1" i="7"/>
  <c r="J8" i="12" l="1"/>
  <c r="J14" i="12"/>
  <c r="J20" i="12"/>
  <c r="J26" i="12"/>
  <c r="J32" i="12"/>
  <c r="J38" i="12"/>
  <c r="J44" i="12"/>
  <c r="J50" i="12"/>
  <c r="J56" i="12"/>
  <c r="J62" i="12"/>
  <c r="J68" i="12"/>
  <c r="J74" i="12"/>
  <c r="J80" i="12"/>
  <c r="J86" i="12"/>
  <c r="J92" i="12"/>
  <c r="J98" i="12"/>
  <c r="J104" i="12"/>
  <c r="J110" i="12"/>
  <c r="J116" i="12"/>
  <c r="J122" i="12"/>
  <c r="J128" i="12"/>
  <c r="J134" i="12"/>
  <c r="J140" i="12"/>
  <c r="J146" i="12"/>
  <c r="J152" i="12"/>
  <c r="J158" i="12"/>
  <c r="J11" i="12"/>
  <c r="J35" i="12"/>
  <c r="J53" i="12"/>
  <c r="J71" i="12"/>
  <c r="J89" i="12"/>
  <c r="J3" i="12"/>
  <c r="J9" i="12"/>
  <c r="J15" i="12"/>
  <c r="J21" i="12"/>
  <c r="J27" i="12"/>
  <c r="J33" i="12"/>
  <c r="J39" i="12"/>
  <c r="J45" i="12"/>
  <c r="J51" i="12"/>
  <c r="J57" i="12"/>
  <c r="J63" i="12"/>
  <c r="J69" i="12"/>
  <c r="J75" i="12"/>
  <c r="J81" i="12"/>
  <c r="J87" i="12"/>
  <c r="J93" i="12"/>
  <c r="J99" i="12"/>
  <c r="J105" i="12"/>
  <c r="J111" i="12"/>
  <c r="J117" i="12"/>
  <c r="J123" i="12"/>
  <c r="J129" i="12"/>
  <c r="J135" i="12"/>
  <c r="J141" i="12"/>
  <c r="J147" i="12"/>
  <c r="J153" i="12"/>
  <c r="J159" i="12"/>
  <c r="J23" i="12"/>
  <c r="J41" i="12"/>
  <c r="J59" i="12"/>
  <c r="J77" i="12"/>
  <c r="J95" i="12"/>
  <c r="J4" i="12"/>
  <c r="J10" i="12"/>
  <c r="J16" i="12"/>
  <c r="J22" i="12"/>
  <c r="J28" i="12"/>
  <c r="J34" i="12"/>
  <c r="J40" i="12"/>
  <c r="J46" i="12"/>
  <c r="J52" i="12"/>
  <c r="J58" i="12"/>
  <c r="J64" i="12"/>
  <c r="J70" i="12"/>
  <c r="J76" i="12"/>
  <c r="J82" i="12"/>
  <c r="J88" i="12"/>
  <c r="J94" i="12"/>
  <c r="J100" i="12"/>
  <c r="J106" i="12"/>
  <c r="J112" i="12"/>
  <c r="J118" i="12"/>
  <c r="J124" i="12"/>
  <c r="J130" i="12"/>
  <c r="J136" i="12"/>
  <c r="J142" i="12"/>
  <c r="J148" i="12"/>
  <c r="J154" i="12"/>
  <c r="J2" i="12"/>
  <c r="J5" i="12"/>
  <c r="J17" i="12"/>
  <c r="J29" i="12"/>
  <c r="J47" i="12"/>
  <c r="J65" i="12"/>
  <c r="J83" i="12"/>
  <c r="J101" i="12"/>
  <c r="J6" i="12"/>
  <c r="J12" i="12"/>
  <c r="J18" i="12"/>
  <c r="J24" i="12"/>
  <c r="J30" i="12"/>
  <c r="J36" i="12"/>
  <c r="J42" i="12"/>
  <c r="J48" i="12"/>
  <c r="J54" i="12"/>
  <c r="J60" i="12"/>
  <c r="J66" i="12"/>
  <c r="J72" i="12"/>
  <c r="J78" i="12"/>
  <c r="J84" i="12"/>
  <c r="J90" i="12"/>
  <c r="J96" i="12"/>
  <c r="J102" i="12"/>
  <c r="J108" i="12"/>
  <c r="J114" i="12"/>
  <c r="J120" i="12"/>
  <c r="J126" i="12"/>
  <c r="J132" i="12"/>
  <c r="J138" i="12"/>
  <c r="J144" i="12"/>
  <c r="J150" i="12"/>
  <c r="J156" i="12"/>
  <c r="J7" i="12"/>
  <c r="J13" i="12"/>
  <c r="J19" i="12"/>
  <c r="J25" i="12"/>
  <c r="J31" i="12"/>
  <c r="J37" i="12"/>
  <c r="J125" i="12"/>
  <c r="J43" i="12"/>
  <c r="J79" i="12"/>
  <c r="J109" i="12"/>
  <c r="J127" i="12"/>
  <c r="J145" i="12"/>
  <c r="J73" i="12"/>
  <c r="J49" i="12"/>
  <c r="J85" i="12"/>
  <c r="J113" i="12"/>
  <c r="J131" i="12"/>
  <c r="J149" i="12"/>
  <c r="J103" i="12"/>
  <c r="J157" i="12"/>
  <c r="J55" i="12"/>
  <c r="J91" i="12"/>
  <c r="J115" i="12"/>
  <c r="J133" i="12"/>
  <c r="J151" i="12"/>
  <c r="J121" i="12"/>
  <c r="J107" i="12"/>
  <c r="J61" i="12"/>
  <c r="J97" i="12"/>
  <c r="J119" i="12"/>
  <c r="J137" i="12"/>
  <c r="J155" i="12"/>
  <c r="J67" i="12"/>
  <c r="J139" i="12"/>
  <c r="J143" i="12"/>
  <c r="AS35" i="24" a="1"/>
  <c r="AS35" i="24" s="1"/>
  <c r="AM35" i="24" a="1"/>
  <c r="AM35" i="24" s="1"/>
  <c r="T39" i="24" a="1"/>
  <c r="T39" i="24" s="1"/>
  <c r="U38" i="24"/>
  <c r="BQ1" i="7"/>
  <c r="BR2" i="7"/>
  <c r="AN2" i="7"/>
  <c r="AM1" i="7"/>
  <c r="I1" i="7"/>
  <c r="J2" i="7"/>
  <c r="BB2" i="7"/>
  <c r="BA1" i="7"/>
  <c r="X1" i="7"/>
  <c r="Y2" i="7"/>
  <c r="AS36" i="24" l="1" a="1"/>
  <c r="AS36" i="24" s="1"/>
  <c r="AM36" i="24" a="1"/>
  <c r="AM36" i="24" s="1"/>
  <c r="T40" i="24" a="1"/>
  <c r="T40" i="24" s="1"/>
  <c r="U39" i="24"/>
  <c r="BC2" i="7"/>
  <c r="BB1" i="7"/>
  <c r="J3" i="7"/>
  <c r="J4" i="7" s="1"/>
  <c r="J5" i="7" s="1"/>
  <c r="K2" i="7" s="1"/>
  <c r="J1" i="7"/>
  <c r="AN1" i="7"/>
  <c r="AN3" i="7"/>
  <c r="AN4" i="7" s="1"/>
  <c r="AN5" i="7" s="1"/>
  <c r="AO2" i="7" s="1"/>
  <c r="Y1" i="7"/>
  <c r="Y3" i="7"/>
  <c r="Y4" i="7" s="1"/>
  <c r="Y5" i="7" s="1"/>
  <c r="Z2" i="7" s="1"/>
  <c r="BR1" i="7"/>
  <c r="BR3" i="7"/>
  <c r="BR4" i="7" s="1"/>
  <c r="BR5" i="7" s="1"/>
  <c r="BS2" i="7" s="1"/>
  <c r="AS37" i="24" l="1" a="1"/>
  <c r="AS37" i="24" s="1"/>
  <c r="AM37" i="24" a="1"/>
  <c r="AM37" i="24" s="1"/>
  <c r="T41" i="24" a="1"/>
  <c r="T41" i="24" s="1"/>
  <c r="U40" i="24"/>
  <c r="AA2" i="7"/>
  <c r="Z1" i="7"/>
  <c r="K1" i="7"/>
  <c r="L2" i="7"/>
  <c r="BT2" i="7"/>
  <c r="BS1" i="7"/>
  <c r="AP2" i="7"/>
  <c r="AO1" i="7"/>
  <c r="BC3" i="7"/>
  <c r="BC4" i="7" s="1"/>
  <c r="BC5" i="7" s="1"/>
  <c r="BD2" i="7" s="1"/>
  <c r="BC1" i="7"/>
  <c r="AS38" i="24" l="1" a="1"/>
  <c r="AS38" i="24" s="1"/>
  <c r="AM38" i="24" a="1"/>
  <c r="AM38" i="24" s="1"/>
  <c r="T42" i="24" a="1"/>
  <c r="T42" i="24" s="1"/>
  <c r="U41" i="24"/>
  <c r="AQ2" i="7"/>
  <c r="AP1" i="7"/>
  <c r="BU2" i="7"/>
  <c r="BT1" i="7"/>
  <c r="L1" i="7"/>
  <c r="M2" i="7"/>
  <c r="BE2" i="7"/>
  <c r="BD1" i="7"/>
  <c r="AB2" i="7"/>
  <c r="AA1" i="7"/>
  <c r="AS39" i="24" l="1" a="1"/>
  <c r="AS39" i="24" s="1"/>
  <c r="AM39" i="24" a="1"/>
  <c r="AM39" i="24" s="1"/>
  <c r="T43" i="24" a="1"/>
  <c r="T43" i="24" s="1"/>
  <c r="U42" i="24"/>
  <c r="AB1" i="7"/>
  <c r="AB3" i="7"/>
  <c r="AB4" i="7" s="1"/>
  <c r="AB5" i="7" s="1"/>
  <c r="AC2" i="7" s="1"/>
  <c r="BF2" i="7"/>
  <c r="BE1" i="7"/>
  <c r="M1" i="7"/>
  <c r="M3" i="7"/>
  <c r="M4" i="7" s="1"/>
  <c r="M5" i="7" s="1"/>
  <c r="N2" i="7" s="1"/>
  <c r="BU1" i="7"/>
  <c r="BU3" i="7"/>
  <c r="BU4" i="7" s="1"/>
  <c r="BU5" i="7" s="1"/>
  <c r="BV2" i="7" s="1"/>
  <c r="AQ3" i="7"/>
  <c r="AQ4" i="7" s="1"/>
  <c r="AQ5" i="7" s="1"/>
  <c r="AR2" i="7" s="1"/>
  <c r="AQ1" i="7"/>
  <c r="AS40" i="24" l="1" a="1"/>
  <c r="AS40" i="24" s="1"/>
  <c r="AM40" i="24" a="1"/>
  <c r="AM40" i="24" s="1"/>
  <c r="T44" i="24" a="1"/>
  <c r="T44" i="24" s="1"/>
  <c r="U43" i="24"/>
  <c r="L4" i="1"/>
  <c r="BW2" i="7"/>
  <c r="BV1" i="7"/>
  <c r="N1" i="7"/>
  <c r="O2" i="7"/>
  <c r="BF1" i="7"/>
  <c r="BF3" i="7"/>
  <c r="BF4" i="7" s="1"/>
  <c r="BF5" i="7" s="1"/>
  <c r="BG2" i="7" s="1"/>
  <c r="AD2" i="7"/>
  <c r="AC1" i="7"/>
  <c r="AS2" i="7"/>
  <c r="AR1" i="7"/>
  <c r="T45" i="24" l="1" a="1"/>
  <c r="T45" i="24" s="1"/>
  <c r="U44" i="24"/>
  <c r="AE2" i="13"/>
  <c r="AC2" i="13"/>
  <c r="AD2" i="13"/>
  <c r="AT2" i="7"/>
  <c r="AS1" i="7"/>
  <c r="AE2" i="7"/>
  <c r="AD1" i="7"/>
  <c r="BH2" i="7"/>
  <c r="BG1" i="7"/>
  <c r="P2" i="7"/>
  <c r="O1" i="7"/>
  <c r="BX2" i="7"/>
  <c r="BW1" i="7"/>
  <c r="T46" i="24" l="1" a="1"/>
  <c r="T46" i="24" s="1"/>
  <c r="U45" i="24"/>
  <c r="BX3" i="7"/>
  <c r="BX4" i="7" s="1"/>
  <c r="BX5" i="7" s="1"/>
  <c r="BY2" i="7" s="1"/>
  <c r="BX1" i="7"/>
  <c r="P3" i="7"/>
  <c r="P4" i="7" s="1"/>
  <c r="P5" i="7" s="1"/>
  <c r="P1" i="7"/>
  <c r="BH1" i="7"/>
  <c r="BI2" i="7"/>
  <c r="AE1" i="7"/>
  <c r="AE3" i="7"/>
  <c r="AE4" i="7" s="1"/>
  <c r="AE5" i="7" s="1"/>
  <c r="AT1" i="7"/>
  <c r="AT3" i="7"/>
  <c r="AT4" i="7" s="1"/>
  <c r="AT5" i="7" s="1"/>
  <c r="T47" i="24" l="1" a="1"/>
  <c r="T47" i="24" s="1"/>
  <c r="U46" i="24"/>
  <c r="BI1" i="7"/>
  <c r="BI3" i="7"/>
  <c r="BI4" i="7" s="1"/>
  <c r="BI5" i="7" s="1"/>
  <c r="BZ2" i="7"/>
  <c r="BY1" i="7"/>
  <c r="T48" i="24" l="1" a="1"/>
  <c r="T48" i="24" s="1"/>
  <c r="U47" i="24"/>
  <c r="BZ1" i="7"/>
  <c r="CA2" i="7"/>
  <c r="T49" i="24" l="1" a="1"/>
  <c r="T49" i="24" s="1"/>
  <c r="U48" i="24"/>
  <c r="CA3" i="7"/>
  <c r="CA4" i="7" s="1"/>
  <c r="CA5" i="7" s="1"/>
  <c r="CB2" i="7" s="1"/>
  <c r="CA1" i="7"/>
  <c r="T50" i="24" l="1" a="1"/>
  <c r="T50" i="24" s="1"/>
  <c r="U49" i="24"/>
  <c r="CC2" i="7"/>
  <c r="CB1" i="7"/>
  <c r="T51" i="24" l="1" a="1"/>
  <c r="T51" i="24" s="1"/>
  <c r="U50" i="24"/>
  <c r="CD2" i="7"/>
  <c r="CC1" i="7"/>
  <c r="T52" i="24" l="1" a="1"/>
  <c r="T52" i="24" s="1"/>
  <c r="U51" i="24"/>
  <c r="CD3" i="7"/>
  <c r="CD4" i="7" s="1"/>
  <c r="CD5" i="7" s="1"/>
  <c r="CE2" i="7" s="1"/>
  <c r="CD1" i="7"/>
  <c r="T53" i="24" l="1" a="1"/>
  <c r="T53" i="24" s="1"/>
  <c r="U52" i="24"/>
  <c r="CF2" i="7"/>
  <c r="CE1" i="7"/>
  <c r="T54" i="24" l="1" a="1"/>
  <c r="T54" i="24" s="1"/>
  <c r="U53" i="24"/>
  <c r="CG2" i="7"/>
  <c r="CF1" i="7"/>
  <c r="T55" i="24" l="1" a="1"/>
  <c r="T55" i="24" s="1"/>
  <c r="U54" i="24"/>
  <c r="CG1" i="7"/>
  <c r="CG3" i="7"/>
  <c r="CG4" i="7" s="1"/>
  <c r="CG5" i="7" s="1"/>
  <c r="CH2" i="7" s="1"/>
  <c r="T56" i="24" l="1" a="1"/>
  <c r="T56" i="24" s="1"/>
  <c r="U55" i="24"/>
  <c r="CI2" i="7"/>
  <c r="CH1" i="7"/>
  <c r="T57" i="24" l="1" a="1"/>
  <c r="T57" i="24" s="1"/>
  <c r="U56" i="24"/>
  <c r="CJ2" i="7"/>
  <c r="CI1" i="7"/>
  <c r="T58" i="24" l="1" a="1"/>
  <c r="T58" i="24" s="1"/>
  <c r="U57" i="24"/>
  <c r="CJ3" i="7"/>
  <c r="CJ4" i="7" s="1"/>
  <c r="CJ5" i="7" s="1"/>
  <c r="CK2" i="7" s="1"/>
  <c r="CJ1" i="7"/>
  <c r="T59" i="24" l="1" a="1"/>
  <c r="T59" i="24" s="1"/>
  <c r="U58" i="24"/>
  <c r="CL2" i="7"/>
  <c r="CK1" i="7"/>
  <c r="N48" i="26" l="1"/>
  <c r="N36" i="26"/>
  <c r="N38" i="26"/>
  <c r="N39" i="26"/>
  <c r="N35" i="26"/>
  <c r="N139" i="26"/>
  <c r="N40" i="26"/>
  <c r="N33" i="26"/>
  <c r="N37" i="26"/>
  <c r="N136" i="26"/>
  <c r="N64" i="26"/>
  <c r="N166" i="26"/>
  <c r="N74" i="26"/>
  <c r="N70" i="26"/>
  <c r="N106" i="26"/>
  <c r="N159" i="26"/>
  <c r="N61" i="26"/>
  <c r="N143" i="26"/>
  <c r="U59" i="24"/>
  <c r="N72" i="26" s="1"/>
  <c r="N183" i="26"/>
  <c r="N157" i="26"/>
  <c r="N44" i="26"/>
  <c r="N58" i="26"/>
  <c r="N97" i="26"/>
  <c r="N82" i="26"/>
  <c r="N86" i="26"/>
  <c r="N137" i="26"/>
  <c r="N52" i="26"/>
  <c r="N103" i="26"/>
  <c r="N51" i="26"/>
  <c r="N98" i="26"/>
  <c r="N132" i="26"/>
  <c r="N174" i="26"/>
  <c r="N180" i="26"/>
  <c r="N134" i="26"/>
  <c r="N130" i="26"/>
  <c r="N172" i="26"/>
  <c r="N127" i="26"/>
  <c r="N152" i="26"/>
  <c r="N118" i="26"/>
  <c r="N121" i="26"/>
  <c r="N67" i="26"/>
  <c r="N92" i="26"/>
  <c r="N76" i="26"/>
  <c r="N154" i="26"/>
  <c r="N99" i="26"/>
  <c r="N55" i="26"/>
  <c r="N146" i="26"/>
  <c r="N27" i="26"/>
  <c r="N173" i="26"/>
  <c r="N47" i="26"/>
  <c r="N114" i="26"/>
  <c r="N125" i="26"/>
  <c r="N124" i="26"/>
  <c r="N90" i="26"/>
  <c r="N153" i="26"/>
  <c r="N144" i="26"/>
  <c r="N45" i="26"/>
  <c r="N165" i="26"/>
  <c r="N178" i="26"/>
  <c r="N162" i="26"/>
  <c r="N59" i="26"/>
  <c r="N169" i="26"/>
  <c r="N66" i="26"/>
  <c r="N138" i="26"/>
  <c r="N28" i="26"/>
  <c r="N115" i="26"/>
  <c r="N158" i="26"/>
  <c r="N89" i="26"/>
  <c r="N182" i="26"/>
  <c r="N109" i="26"/>
  <c r="N105" i="26"/>
  <c r="N147" i="26"/>
  <c r="N140" i="26"/>
  <c r="N117" i="26"/>
  <c r="N133" i="26"/>
  <c r="N68" i="26"/>
  <c r="N141" i="26"/>
  <c r="N79" i="26"/>
  <c r="N120" i="26"/>
  <c r="N122" i="26"/>
  <c r="N171" i="26"/>
  <c r="N80" i="26"/>
  <c r="N145" i="26"/>
  <c r="N57" i="26"/>
  <c r="N170" i="26"/>
  <c r="N128" i="26"/>
  <c r="N151" i="26"/>
  <c r="N160" i="26"/>
  <c r="N142" i="26"/>
  <c r="N41" i="26"/>
  <c r="N119" i="26"/>
  <c r="N155" i="26"/>
  <c r="N42" i="26"/>
  <c r="N181" i="26"/>
  <c r="N78" i="26"/>
  <c r="N164" i="26"/>
  <c r="N50" i="26"/>
  <c r="N32" i="26"/>
  <c r="N156" i="26"/>
  <c r="N123" i="26"/>
  <c r="N69" i="26"/>
  <c r="N71" i="26"/>
  <c r="N87" i="26"/>
  <c r="N167" i="26"/>
  <c r="N91" i="26"/>
  <c r="N93" i="26"/>
  <c r="N107" i="26"/>
  <c r="N63" i="26"/>
  <c r="N43" i="26"/>
  <c r="N148" i="26"/>
  <c r="N101" i="26"/>
  <c r="N73" i="26"/>
  <c r="N54" i="26"/>
  <c r="N53" i="26"/>
  <c r="N176" i="26"/>
  <c r="N77" i="26"/>
  <c r="N95" i="26"/>
  <c r="N96" i="26"/>
  <c r="N75" i="26"/>
  <c r="N104" i="26"/>
  <c r="N81" i="26"/>
  <c r="N149" i="26"/>
  <c r="N84" i="26"/>
  <c r="N113" i="26"/>
  <c r="N131" i="26"/>
  <c r="N135" i="26"/>
  <c r="N65" i="26"/>
  <c r="N88" i="26"/>
  <c r="N150" i="26"/>
  <c r="N26" i="26"/>
  <c r="N29" i="26"/>
  <c r="N163" i="26"/>
  <c r="N30" i="26"/>
  <c r="N62" i="26"/>
  <c r="N129" i="26"/>
  <c r="N116" i="26"/>
  <c r="N112" i="26"/>
  <c r="N102" i="26"/>
  <c r="N110" i="26"/>
  <c r="N161" i="26"/>
  <c r="N168" i="26"/>
  <c r="N60" i="26"/>
  <c r="N85" i="26"/>
  <c r="N126" i="26"/>
  <c r="CM2" i="7"/>
  <c r="CL1" i="7"/>
  <c r="N177" i="26" l="1"/>
  <c r="N34" i="26"/>
  <c r="N31" i="26"/>
  <c r="N56" i="26"/>
  <c r="N100" i="26"/>
  <c r="N175" i="26"/>
  <c r="N49" i="26"/>
  <c r="N83" i="26"/>
  <c r="N179" i="26"/>
  <c r="N46" i="26"/>
  <c r="N108" i="26"/>
  <c r="N111" i="26"/>
  <c r="N94" i="26"/>
  <c r="AA9" i="24" a="1"/>
  <c r="AA9" i="24" s="1"/>
  <c r="AA8" i="24" a="1"/>
  <c r="AA8" i="24" s="1"/>
  <c r="AA10" i="24" a="1"/>
  <c r="AA10" i="24" s="1"/>
  <c r="AA18" i="24" a="1"/>
  <c r="AA18" i="24" s="1"/>
  <c r="AA12" i="24" a="1"/>
  <c r="AA12" i="24" s="1"/>
  <c r="AA7" i="24" a="1"/>
  <c r="AA7" i="24" s="1"/>
  <c r="AA16" i="24" a="1"/>
  <c r="AA16" i="24" s="1"/>
  <c r="AA19" i="24" a="1"/>
  <c r="AA19" i="24" s="1"/>
  <c r="AA6" i="24" a="1"/>
  <c r="AA6" i="24" s="1"/>
  <c r="AA11" i="24" a="1"/>
  <c r="AA11" i="24" s="1"/>
  <c r="AA3" i="24" a="1"/>
  <c r="AA3" i="24" s="1"/>
  <c r="AA13" i="24" a="1"/>
  <c r="AA13" i="24" s="1"/>
  <c r="AA14" i="24" a="1"/>
  <c r="AA14" i="24" s="1"/>
  <c r="AA4" i="24" a="1"/>
  <c r="AA4" i="24" s="1"/>
  <c r="AA5" i="24" a="1"/>
  <c r="AA5" i="24" s="1"/>
  <c r="AA17" i="24" a="1"/>
  <c r="AA17" i="24" s="1"/>
  <c r="AA15" i="24" a="1"/>
  <c r="AA15" i="24" s="1"/>
  <c r="AA2" i="24" a="1"/>
  <c r="AA2" i="24" s="1"/>
  <c r="CM3" i="7"/>
  <c r="CM4" i="7" s="1"/>
  <c r="CM5" i="7" s="1"/>
  <c r="CM1" i="7"/>
  <c r="AD8" i="24" l="1" a="1"/>
  <c r="AD8" i="24" s="1"/>
  <c r="AD14" i="24" a="1"/>
  <c r="AD14" i="24" s="1"/>
  <c r="AD7" i="24" a="1"/>
  <c r="AD7" i="24" s="1"/>
  <c r="AD16" i="24" a="1"/>
  <c r="AD16" i="24" s="1"/>
  <c r="AD5" i="24" a="1"/>
  <c r="AD5" i="24" s="1"/>
  <c r="AD15" i="24" a="1"/>
  <c r="AD15" i="24" s="1"/>
  <c r="AD11" i="24" a="1"/>
  <c r="AD11" i="24" s="1"/>
  <c r="AD3" i="24" a="1"/>
  <c r="AD3" i="24" s="1"/>
  <c r="AD13" i="24" a="1"/>
  <c r="AD13" i="24" s="1"/>
  <c r="AD12" i="24" a="1"/>
  <c r="AD12" i="24" s="1"/>
  <c r="AD4" i="24" a="1"/>
  <c r="AD4" i="24" s="1"/>
  <c r="AD17" i="24" a="1"/>
  <c r="AD17" i="24" s="1"/>
  <c r="AD19" i="24" a="1"/>
  <c r="AD19" i="24" s="1"/>
  <c r="AD18" i="24" a="1"/>
  <c r="AD18" i="24" s="1"/>
  <c r="AD2" i="24" a="1"/>
  <c r="AD2" i="24" s="1"/>
  <c r="AD6" i="24" a="1"/>
  <c r="AD6" i="24" s="1"/>
  <c r="AD10" i="24" a="1"/>
  <c r="AD10" i="24" s="1"/>
  <c r="AD9" i="24" a="1"/>
  <c r="AD9" i="24" s="1"/>
  <c r="Z12" i="24" a="1"/>
  <c r="Z12" i="24" s="1"/>
  <c r="Z5" i="24" a="1"/>
  <c r="Z5" i="24" s="1"/>
  <c r="Z2" i="24" a="1"/>
  <c r="Z2" i="24" s="1"/>
  <c r="Z8" i="24" a="1"/>
  <c r="Z8" i="24" s="1"/>
  <c r="Z13" i="24" a="1"/>
  <c r="Z13" i="24" s="1"/>
  <c r="Z11" i="24" a="1"/>
  <c r="Z11" i="24" s="1"/>
  <c r="Z16" i="24" a="1"/>
  <c r="Z16" i="24" s="1"/>
  <c r="Z17" i="24" a="1"/>
  <c r="Z17" i="24" s="1"/>
  <c r="Z18" i="24" a="1"/>
  <c r="Z18" i="24" s="1"/>
  <c r="Z4" i="24" a="1"/>
  <c r="Z4" i="24" s="1"/>
  <c r="Z15" i="24" a="1"/>
  <c r="Z15" i="24" s="1"/>
  <c r="Z3" i="24" a="1"/>
  <c r="Z3" i="24" s="1"/>
  <c r="Z19" i="24" a="1"/>
  <c r="Z19" i="24" s="1"/>
  <c r="Z9" i="24" a="1"/>
  <c r="Z9" i="24" s="1"/>
  <c r="Z10" i="24" a="1"/>
  <c r="Z10" i="24" s="1"/>
  <c r="Z7" i="24" a="1"/>
  <c r="Z7" i="24" s="1"/>
  <c r="Z6" i="24" a="1"/>
  <c r="Z6" i="24" s="1"/>
  <c r="Z14" i="24" a="1"/>
  <c r="Z14" i="24" s="1"/>
  <c r="G12" i="28"/>
  <c r="G14" i="28"/>
  <c r="G19" i="28"/>
  <c r="G23" i="28"/>
  <c r="G18" i="28"/>
  <c r="G11" i="28"/>
  <c r="G9" i="28"/>
  <c r="G24" i="28"/>
  <c r="G10" i="28"/>
  <c r="G13" i="28"/>
  <c r="G16" i="28"/>
  <c r="G15" i="28"/>
  <c r="G26" i="28"/>
  <c r="G17" i="28"/>
  <c r="G22" i="28"/>
  <c r="G20" i="28"/>
  <c r="G25" i="28"/>
  <c r="G21" i="28"/>
  <c r="AC8" i="24" l="1" a="1"/>
  <c r="AC8" i="24" s="1"/>
  <c r="AC9" i="24" a="1"/>
  <c r="AC9" i="24" s="1"/>
  <c r="AC7" i="24" a="1"/>
  <c r="AC7" i="24" s="1"/>
  <c r="AC5" i="24" a="1"/>
  <c r="AC5" i="24" s="1"/>
  <c r="AC14" i="24" a="1"/>
  <c r="AC14" i="24" s="1"/>
  <c r="AC4" i="24" a="1"/>
  <c r="AC4" i="24" s="1"/>
  <c r="AC3" i="24" a="1"/>
  <c r="AC3" i="24" s="1"/>
  <c r="AC6" i="24" a="1"/>
  <c r="AC6" i="24" s="1"/>
  <c r="AC2" i="24" a="1"/>
  <c r="AC2" i="24" s="1"/>
  <c r="AC16" i="24" a="1"/>
  <c r="AC16" i="24" s="1"/>
  <c r="AC18" i="24" a="1"/>
  <c r="AC18" i="24" s="1"/>
  <c r="AC13" i="24" a="1"/>
  <c r="AC13" i="24" s="1"/>
  <c r="AC15" i="24" a="1"/>
  <c r="AC15" i="24" s="1"/>
  <c r="AC19" i="24" a="1"/>
  <c r="AC19" i="24" s="1"/>
  <c r="AC10" i="24" a="1"/>
  <c r="AC10" i="24" s="1"/>
  <c r="AC17" i="24" a="1"/>
  <c r="AC17" i="24" s="1"/>
  <c r="AC12" i="24" a="1"/>
  <c r="AC12" i="24" s="1"/>
  <c r="AC11" i="24" a="1"/>
  <c r="AC11" i="24" s="1"/>
  <c r="D10" i="28"/>
  <c r="D15" i="28"/>
  <c r="D12" i="28"/>
  <c r="D23" i="28"/>
  <c r="D20" i="28"/>
  <c r="D14" i="28"/>
  <c r="D21" i="28"/>
  <c r="D11" i="28"/>
  <c r="D22" i="28"/>
  <c r="D25" i="28"/>
  <c r="D9" i="28"/>
  <c r="D18" i="28"/>
  <c r="D26" i="28"/>
  <c r="D17" i="28"/>
  <c r="D24" i="28"/>
  <c r="D19" i="28"/>
  <c r="D13" i="28"/>
  <c r="D16" i="28"/>
  <c r="O6" i="29" l="1"/>
  <c r="O7" i="29"/>
  <c r="AE14" i="1"/>
</calcChain>
</file>

<file path=xl/sharedStrings.xml><?xml version="1.0" encoding="utf-8"?>
<sst xmlns="http://schemas.openxmlformats.org/spreadsheetml/2006/main" count="6391" uniqueCount="2388">
  <si>
    <t>Prime Officers - Galaxy</t>
  </si>
  <si>
    <t>Advanced Training - Galaxy</t>
  </si>
  <si>
    <t>Officer Conditioning - Territory</t>
  </si>
  <si>
    <t>Officer</t>
  </si>
  <si>
    <t>Helvia</t>
  </si>
  <si>
    <t>Gaila</t>
  </si>
  <si>
    <t>K'Bisch</t>
  </si>
  <si>
    <t>Rukor</t>
  </si>
  <si>
    <t>Shev</t>
  </si>
  <si>
    <t>T'Laan</t>
  </si>
  <si>
    <t>Vartoq</t>
  </si>
  <si>
    <t>Komal</t>
  </si>
  <si>
    <t>Vel</t>
  </si>
  <si>
    <t>Cadet Kirk</t>
  </si>
  <si>
    <t>Cadet McCoy</t>
  </si>
  <si>
    <t>Cadet Scotty</t>
  </si>
  <si>
    <t>Instructor Spock</t>
  </si>
  <si>
    <t>Cadet Uhura</t>
  </si>
  <si>
    <t>Cadet Sulu</t>
  </si>
  <si>
    <t>Domitia</t>
  </si>
  <si>
    <t>Chen</t>
  </si>
  <si>
    <t>Uhura</t>
  </si>
  <si>
    <t>Azetbur</t>
  </si>
  <si>
    <t>Spock</t>
  </si>
  <si>
    <t>Stonn</t>
  </si>
  <si>
    <t>T'Pring</t>
  </si>
  <si>
    <t>Origins Saru</t>
  </si>
  <si>
    <t>Origins Stamets</t>
  </si>
  <si>
    <t>Gonzales</t>
  </si>
  <si>
    <t>Arkady</t>
  </si>
  <si>
    <t>Sulu</t>
  </si>
  <si>
    <t>Arix</t>
  </si>
  <si>
    <t>Joaquin</t>
  </si>
  <si>
    <t>Vixis</t>
  </si>
  <si>
    <t>D'Jaoki</t>
  </si>
  <si>
    <t>Klaa</t>
  </si>
  <si>
    <t>Koth</t>
  </si>
  <si>
    <t>L'Nar</t>
  </si>
  <si>
    <t>M'Ral</t>
  </si>
  <si>
    <t>Scotty</t>
  </si>
  <si>
    <t>Vella</t>
  </si>
  <si>
    <t>Woteln</t>
  </si>
  <si>
    <t>Zhou</t>
  </si>
  <si>
    <t>Barot</t>
  </si>
  <si>
    <t>Bones</t>
  </si>
  <si>
    <t>Chang</t>
  </si>
  <si>
    <t>Vemet</t>
  </si>
  <si>
    <t>0718</t>
  </si>
  <si>
    <t>Decius</t>
  </si>
  <si>
    <t>Kerla</t>
  </si>
  <si>
    <t>Nero</t>
  </si>
  <si>
    <t>Mara</t>
  </si>
  <si>
    <t>M'Benga</t>
  </si>
  <si>
    <t>Yan'Agh</t>
  </si>
  <si>
    <t>Zahra</t>
  </si>
  <si>
    <t>Otto</t>
  </si>
  <si>
    <t>Kati</t>
  </si>
  <si>
    <t>Origins Burnham</t>
  </si>
  <si>
    <t>Livis</t>
  </si>
  <si>
    <t>Joachim</t>
  </si>
  <si>
    <t>Krell</t>
  </si>
  <si>
    <t>Kumak</t>
  </si>
  <si>
    <t>Marla</t>
  </si>
  <si>
    <t>Mirek</t>
  </si>
  <si>
    <t>Moreau</t>
  </si>
  <si>
    <t>Yuki</t>
  </si>
  <si>
    <t>Khan</t>
  </si>
  <si>
    <t>Gorkon</t>
  </si>
  <si>
    <t>Kirk</t>
  </si>
  <si>
    <t>Kras</t>
  </si>
  <si>
    <t>Kang</t>
  </si>
  <si>
    <t>Carol</t>
  </si>
  <si>
    <t>Tiza</t>
  </si>
  <si>
    <t>Hadley</t>
  </si>
  <si>
    <t>Severus</t>
  </si>
  <si>
    <t>Tilly</t>
  </si>
  <si>
    <t>Qa'Ug</t>
  </si>
  <si>
    <t>Navi</t>
  </si>
  <si>
    <t>Pan</t>
  </si>
  <si>
    <t>Rima</t>
  </si>
  <si>
    <t>Charvanek</t>
  </si>
  <si>
    <t>Mitchell</t>
  </si>
  <si>
    <t>Pike</t>
  </si>
  <si>
    <t>Marcus</t>
  </si>
  <si>
    <t>Airiam</t>
  </si>
  <si>
    <t>Culber</t>
  </si>
  <si>
    <t>Linkasa</t>
  </si>
  <si>
    <t>Saru</t>
  </si>
  <si>
    <t>Ro Mudd</t>
  </si>
  <si>
    <t>Tyler</t>
  </si>
  <si>
    <t>Paul Stamets</t>
  </si>
  <si>
    <t>Darwin</t>
  </si>
  <si>
    <t>Sesha</t>
  </si>
  <si>
    <t>Hendorff</t>
  </si>
  <si>
    <t>Leslie</t>
  </si>
  <si>
    <t>Goon</t>
  </si>
  <si>
    <t>Emperor Georgiou</t>
  </si>
  <si>
    <t>Captain Tilly</t>
  </si>
  <si>
    <t>Harrison</t>
  </si>
  <si>
    <t>Keenser</t>
  </si>
  <si>
    <t>Kuron</t>
  </si>
  <si>
    <t>Tal</t>
  </si>
  <si>
    <t>Ahvix</t>
  </si>
  <si>
    <t>Lorca</t>
  </si>
  <si>
    <t>Jaylah</t>
  </si>
  <si>
    <t>Michael Burnham</t>
  </si>
  <si>
    <t>Mudd</t>
  </si>
  <si>
    <t>Eurydice</t>
  </si>
  <si>
    <t>Georgiou</t>
  </si>
  <si>
    <t>Harry Mudd</t>
  </si>
  <si>
    <t>Attack</t>
  </si>
  <si>
    <t>Defence</t>
  </si>
  <si>
    <t>Health</t>
  </si>
  <si>
    <t>Lvl</t>
  </si>
  <si>
    <t>Attack Training - Galaxy</t>
  </si>
  <si>
    <t>Defence Training - Galaxy</t>
  </si>
  <si>
    <t>Levels</t>
  </si>
  <si>
    <t>1 -5</t>
  </si>
  <si>
    <t>6 - 10</t>
  </si>
  <si>
    <t>11 - 15</t>
  </si>
  <si>
    <t>21 - 30</t>
  </si>
  <si>
    <t>16 - 20</t>
  </si>
  <si>
    <t>Javaid</t>
  </si>
  <si>
    <t xml:space="preserve">Place a tick in the Apply Bonuses checkbox if you want to see the officers stats as if they were in an active slot on a ship. </t>
  </si>
  <si>
    <t>Remove the tick in the Apply Bonuses checkbox to see the base stats for officers, without any bonuses.</t>
  </si>
  <si>
    <t>Place a tick in the Show Max Levels checkbox to see the stats of offices at Level 30.</t>
  </si>
  <si>
    <t>Remove the tick in the Show Max Levels checkbox to see the stats, as per your entered officer levels.</t>
  </si>
  <si>
    <t>Using the Roster Screen</t>
  </si>
  <si>
    <t>You can sort the officers by Name, Attack, Defence and Health using the filter arrows in the column headings.</t>
  </si>
  <si>
    <t>Ship Loadout Calculator</t>
  </si>
  <si>
    <t>Bridge</t>
  </si>
  <si>
    <t>Lower Deck</t>
  </si>
  <si>
    <t>Academy - Building</t>
  </si>
  <si>
    <t>There may be a rounding up discrepancy</t>
  </si>
  <si>
    <t xml:space="preserve">Make sure you have Apply Bonuses selected </t>
  </si>
  <si>
    <t>Select the Lower Deck crew, as you would in game. Delete an entry for any empty slots.</t>
  </si>
  <si>
    <t>Select your 3 bridge officers, as you would in game. Delete an entry for any empty slots.</t>
  </si>
  <si>
    <t>Ship Loadout</t>
  </si>
  <si>
    <t>Calculator</t>
  </si>
  <si>
    <t>238.716</t>
  </si>
  <si>
    <t>758.294</t>
  </si>
  <si>
    <t>165.648</t>
  </si>
  <si>
    <t>Bonuses</t>
  </si>
  <si>
    <t>If you find this tool useful, and use it regularly. Please consider making a donation towards the time taken developing it, and future updates, it would be greatly appreciated. Thank you.</t>
  </si>
  <si>
    <t>Version</t>
  </si>
  <si>
    <t>Release Notes</t>
  </si>
  <si>
    <t>1.0.0</t>
  </si>
  <si>
    <t>Add versioning and Change log. Added By Group Sort, to assist with entering officer levels.</t>
  </si>
  <si>
    <t>Territory Services</t>
  </si>
  <si>
    <t>1.0.1</t>
  </si>
  <si>
    <t>1.1.0</t>
  </si>
  <si>
    <t>Minor Interface changes.</t>
  </si>
  <si>
    <t>Added Territory Bonuses.</t>
  </si>
  <si>
    <t>Join us on the official Discord Channel</t>
  </si>
  <si>
    <t>1.1.1</t>
  </si>
  <si>
    <t>Fixed formula error that was incorrectly applying Attack bonus to Defence and Health of the first 11 officers in the roster.</t>
  </si>
  <si>
    <t>Realta</t>
  </si>
  <si>
    <t>Orion Corvette</t>
  </si>
  <si>
    <t>ECS Fortunate</t>
  </si>
  <si>
    <t>Phindra</t>
  </si>
  <si>
    <t>Turas</t>
  </si>
  <si>
    <t>Jellyfish</t>
  </si>
  <si>
    <t>Talla</t>
  </si>
  <si>
    <t>Envoy</t>
  </si>
  <si>
    <t>USS Franklin</t>
  </si>
  <si>
    <t>Botany Bay</t>
  </si>
  <si>
    <t>Kehra</t>
  </si>
  <si>
    <t>Vahklas</t>
  </si>
  <si>
    <t>Kumari</t>
  </si>
  <si>
    <t>North Star</t>
  </si>
  <si>
    <t>Ferengi D'Vor</t>
  </si>
  <si>
    <t>USS Discovery</t>
  </si>
  <si>
    <t>ECS Horizon</t>
  </si>
  <si>
    <t>Stella</t>
  </si>
  <si>
    <t>Sarcophagus</t>
  </si>
  <si>
    <t>D3 Class</t>
  </si>
  <si>
    <t>Bortas</t>
  </si>
  <si>
    <t>B'rel</t>
  </si>
  <si>
    <t>D4 Class</t>
  </si>
  <si>
    <t>USS Mayflower</t>
  </si>
  <si>
    <t>USS Saladin</t>
  </si>
  <si>
    <t>USS Intrepid</t>
  </si>
  <si>
    <t>USS Enterprise</t>
  </si>
  <si>
    <t>USS Antares</t>
  </si>
  <si>
    <t>Legionary</t>
  </si>
  <si>
    <t>Centurion</t>
  </si>
  <si>
    <t>Gladius</t>
  </si>
  <si>
    <t>Augur</t>
  </si>
  <si>
    <t>Valkis</t>
  </si>
  <si>
    <t>Separatist D3 Class</t>
  </si>
  <si>
    <t>Hijacked D3</t>
  </si>
  <si>
    <t>Hijacked USS Mayflower</t>
  </si>
  <si>
    <t>Hijacked Legionary</t>
  </si>
  <si>
    <t>ISS Jellyfish</t>
  </si>
  <si>
    <t>USS Hydra</t>
  </si>
  <si>
    <t>USS Kelvin</t>
  </si>
  <si>
    <t>USS Newton</t>
  </si>
  <si>
    <t>B'Chor</t>
  </si>
  <si>
    <t>K'Vort</t>
  </si>
  <si>
    <t>Vi'Dar</t>
  </si>
  <si>
    <t>K'Tinga</t>
  </si>
  <si>
    <t>Korinar</t>
  </si>
  <si>
    <t>Hegh'ta</t>
  </si>
  <si>
    <t>Vorta Vor</t>
  </si>
  <si>
    <t>Valdore</t>
  </si>
  <si>
    <t>Pilum</t>
  </si>
  <si>
    <t>Tribune</t>
  </si>
  <si>
    <t>432.927</t>
  </si>
  <si>
    <t>Attack Bonus</t>
  </si>
  <si>
    <t>Defence Bonus</t>
  </si>
  <si>
    <t>Health Bonus</t>
  </si>
  <si>
    <t>Select Ship</t>
  </si>
  <si>
    <t>Bonus</t>
  </si>
  <si>
    <t>USS Enterprise A</t>
  </si>
  <si>
    <t>Level</t>
  </si>
  <si>
    <t>Migrating Officer Levels from old spreadsheet</t>
  </si>
  <si>
    <t>1.2.0</t>
  </si>
  <si>
    <t>Add Ship bonus section to Roster Screen, including Ship Stat sheet. Add officer migration mechanics to the Roster and Import sheets.</t>
  </si>
  <si>
    <t>U</t>
  </si>
  <si>
    <t>Captain: Station only</t>
  </si>
  <si>
    <t>R</t>
  </si>
  <si>
    <t>Officer: Protected Cargo buff</t>
  </si>
  <si>
    <t>E</t>
  </si>
  <si>
    <t>C</t>
  </si>
  <si>
    <t>Officer: max Gaila to reduce critical dmg, multiple player can combine her ability up to 0 damage crits</t>
  </si>
  <si>
    <t>Officer: pretty good Warp speed buff for your Miners - or for quick PvP action</t>
  </si>
  <si>
    <t>Hard to get! - Captain ability useful against Eclipse Armadas, can keep you alive for 100 Rounds</t>
  </si>
  <si>
    <t>Captain: ONLY Combat abilities , you can do ALOT with him ; most popular for Cpt. Pike + Moreau + Chen</t>
  </si>
  <si>
    <t>Officer: only officer that can increase the total Cargo Hold</t>
  </si>
  <si>
    <t>Officer: Kinetic Dmg reduction (Interceptor &amp; Battleships) - Combo: Cpt. Pike + Moreau + T'laan (max)</t>
  </si>
  <si>
    <t>Officer: best Protected Cargo boost in game</t>
  </si>
  <si>
    <t>Upgrade Value</t>
  </si>
  <si>
    <t>Overall Score</t>
  </si>
  <si>
    <t>Credits</t>
  </si>
  <si>
    <t>Lewb - For helping me get this tool out there.</t>
  </si>
  <si>
    <t>1 - Works amazingly, straight out of the box!</t>
  </si>
  <si>
    <t>2 - Requires at least Rank 2 to start being useful.</t>
  </si>
  <si>
    <t>3 - Really needs to be Rank 3+ to start being useful.</t>
  </si>
  <si>
    <t>5 - Even at max rank, you'd be better off installing an ashtray on your motorbike.</t>
  </si>
  <si>
    <t>1 - Sell your wife and kids (and the neighbours) to take to max rank.</t>
  </si>
  <si>
    <t>2 - Definitely worth spending credits. Only spend badges if you have them spare.</t>
  </si>
  <si>
    <t>3 - If you can spare the credits, then do so, but probably not worth spending badges (e.g. Uncommon officers)</t>
  </si>
  <si>
    <t>4 - Don't waste credits on these unless you are swimming in them.</t>
  </si>
  <si>
    <t>5 - Only spend XP on them as last resort during Domination events etc.</t>
  </si>
  <si>
    <t>Officer Scoring</t>
  </si>
  <si>
    <t>Upgrade Value: Tells you which officers are worth investing in long term, spending resources in etc.</t>
  </si>
  <si>
    <t>Immediate Usage: Tells you which officers are great, right out of the box, so they should prioritise those in event shops etc.</t>
  </si>
  <si>
    <t>Immed. Value</t>
  </si>
  <si>
    <t>1.2.1</t>
  </si>
  <si>
    <t>Added Officer Scores and Notes</t>
  </si>
  <si>
    <t>Notes (Score's descriptions are on the Instructions Sheet.)</t>
  </si>
  <si>
    <t>Mäkinen</t>
  </si>
  <si>
    <t>TOS Kirk</t>
  </si>
  <si>
    <t>TOS Spock</t>
  </si>
  <si>
    <t>Dupont</t>
  </si>
  <si>
    <t>1.2.2</t>
  </si>
  <si>
    <t>Added New TOS and mining officers, and updated scores.</t>
  </si>
  <si>
    <t>TOS Nyota Uhura</t>
  </si>
  <si>
    <t>1.2.3</t>
  </si>
  <si>
    <t>Minor colour change on the Google Sheets version, and added sorting option to the scores.</t>
  </si>
  <si>
    <t>Universal mining officer - must have!</t>
  </si>
  <si>
    <t>Captain: Increase Mitigation - very powerful; Officer: Increases loot from Hostiles &amp; Armadas</t>
  </si>
  <si>
    <t>Captain: vs. Borg Probes only - very powerful, recommended on Vidar Tier 7 + top weapon upgrade</t>
  </si>
  <si>
    <t>Captain: vs. Borg only; Powerful "Attack stat boost"</t>
  </si>
  <si>
    <t>Captain: vs. Borg only; Powerful "Defense stat boost"</t>
  </si>
  <si>
    <t>Captain: Isogen Mining; Officer: Capture Node only</t>
  </si>
  <si>
    <t>Captain: very low chance of a 1x Round Burning; Officer: too hard to activate</t>
  </si>
  <si>
    <t>Captain: very weak, but can cause Temporary Hit points; Officer: Dmg Buff is twice as displayed</t>
  </si>
  <si>
    <t>Captain: useless; Officer: recommended boost Cadet Uhura´s captain ability</t>
  </si>
  <si>
    <t>Captain: useless; Officer: useless = Bridge only increase</t>
  </si>
  <si>
    <t>Captain: Damage Reduction Ability, very usefull; Officer: very small Shield increase</t>
  </si>
  <si>
    <t>Captain: Small Damage (below 10%) reduction WHEN attacked; Officer: Dmg Buff is twice as displayed</t>
  </si>
  <si>
    <t>Captain: weak damage buff with condition; Officer: too much effort to activate - not worth it</t>
  </si>
  <si>
    <t>Captain: activation condition makes it very impractical; Offficer: needs at least Rank 3+ and 5000+ Health stats</t>
  </si>
  <si>
    <t>Captain: Don´t bother - tiny increase; Officer: Energy Dmg reduction - MAX as fast as possible</t>
  </si>
  <si>
    <t>Captain: useless; Officer: pair him with blue (cpt) Stamets on a Discovery - no where else!</t>
  </si>
  <si>
    <t>Captain: useless; Officer: on Interceptor only - xp bonus</t>
  </si>
  <si>
    <t>Captain: even with full synergy, only small increase; Officer: stacks up fast, make sure you can take the hits</t>
  </si>
  <si>
    <t>Officer: buggy Warp Speed boost, unequip her-save setup-re-equip her to get the speed back</t>
  </si>
  <si>
    <t>Captain: PvP only; not effective; Officer: best Burning in the game , needs to get to Rank 3+</t>
  </si>
  <si>
    <t>Captain &amp; Officer abiliies: surprisingly good on a Stella versus Ecplise Hostiles and even Armadas</t>
  </si>
  <si>
    <t>Captain: first Round buff; Officer: XP boost - never needed him</t>
  </si>
  <si>
    <t>Captain: short fight ability; Officer: Very good "Hull Breach" source; When Klingon algined easy to Level</t>
  </si>
  <si>
    <t>Do not bother with this officer</t>
  </si>
  <si>
    <t>Officer: (first Round only!) good for offensive and Defense; allows you HEAVY damage attacks in the first round</t>
  </si>
  <si>
    <t>Captain: incorrect Dmg Buff tooltip - double it; Officer very weak base increase</t>
  </si>
  <si>
    <t>Captain: super weak piercing increase; Officer: super weak base Armor increase</t>
  </si>
  <si>
    <t>Captain: only Defense Plattforms protection -but- only 1 round; Officer: Damage reduction too small</t>
  </si>
  <si>
    <t>Captain: Protected Cargo up to 100% - very usefull; Officer: independent Credits are to valuable to max him</t>
  </si>
  <si>
    <t>Captain: useless!; Officer: crit Bonus gets further boosted by Hull Breach</t>
  </si>
  <si>
    <t>Captain: BEST Base attack captain; Officer: best critical chance bonus in game</t>
  </si>
  <si>
    <t>Captain: can generate Temporary Hit points; Officer: BEST morale source in game</t>
  </si>
  <si>
    <t>Captain: best solo officer speed source!; Officer: critical Damage increase against EVERYTHING</t>
  </si>
  <si>
    <t>Captain: very small dmg bonus; Officer: don´t bother too much effort for a tiny dmg bonus</t>
  </si>
  <si>
    <t>Captain: do not bother; Officer: need to max</t>
  </si>
  <si>
    <t>Captain: increases Attack, Defense, Health stats during Combat - so many uses!; Officer: do not bother</t>
  </si>
  <si>
    <t>Captain: nope; Officer: good hull increase; One of the highest possible (blue Officer) stats for Health</t>
  </si>
  <si>
    <t>Captain: PvP only - decent dmg reduction; Officer: best possible "Hull Breach" source - recommend Rank 3</t>
  </si>
  <si>
    <t>Captain: do not bother; Officer: loses ALOT of effiency in PvP</t>
  </si>
  <si>
    <t>Captain: can be hard to activate him; Officer: get the Officer to Rank 3 before you use him</t>
  </si>
  <si>
    <t>Captain: speed boost; Officer: get Rank 5; Ship Firing Pattern is important , feed alot of Attack 30.000+</t>
  </si>
  <si>
    <t>Captain: one Round Burning; Officer: max the officer</t>
  </si>
  <si>
    <t>Captain: **Buggy** - affects only Bridge Crew; Officer: Terrible any Dmg bonus resets each round</t>
  </si>
  <si>
    <t>Captain: good shield glitch - any fight doubles your shield capacity; Officer: increase your defense mitigation</t>
  </si>
  <si>
    <t>Captain: you never use it; Officer: Burning Source, every other round - very good Health stats</t>
  </si>
  <si>
    <t>Captain: Speed Officer with very good Synergy; Officer: terrible ability</t>
  </si>
  <si>
    <t>Captain: Discovery only ability; Officer: terrible useless</t>
  </si>
  <si>
    <t>Captain: useless; Officer: you really should max her to get the 60% chance to activate</t>
  </si>
  <si>
    <t>Captain: good effect, but hard to trigger; Officer: if maxed +90% critical damage is pretty usefull against Ecplise</t>
  </si>
  <si>
    <t>Captain: small tritanium loot increase; Officer: small Damage buff</t>
  </si>
  <si>
    <t>Captain: small Base Accuracy increase each round; Officer: should be atleast Rank 3, needs ALOT of Defense</t>
  </si>
  <si>
    <t>Captain: unreliable Morale source; Officer: only small energy damage increase</t>
  </si>
  <si>
    <t>Not available; **Bugged** - removes Hull Points - BUT - returns them after battle - opponent respawns</t>
  </si>
  <si>
    <t>Captain: bad one time shield effect; Officer: To be useful - this ability has to trigger 20 to 40 times</t>
  </si>
  <si>
    <t>Captain: Capture Node only; Officer: probably one of the best Damage booster in game</t>
  </si>
  <si>
    <t>Captain: one time use only; Officer: low base value increase</t>
  </si>
  <si>
    <t>Captain: respawns your ship up to 3 times; Officer: Combine with Georgiou to remove every single round</t>
  </si>
  <si>
    <t>Captain: do not bother; Officer: get him to max before use</t>
  </si>
  <si>
    <t>Captain: the best shield removel ability in game; Officer: anti romulan damage - get her to max</t>
  </si>
  <si>
    <t>Officer: increases your Defense Mitigation with Defense - perfect fit with Kirk + Spock, max him quickly!</t>
  </si>
  <si>
    <t>When migrating to a new version of the sheet, it is recommended that you rename your old workbook, prior to downloading the new one.</t>
  </si>
  <si>
    <t>Once downloaded, open both workbooks, and navigate to the list of officers on the Roster Sheet of the old spreadsheet.</t>
  </si>
  <si>
    <t>This should then automatically populate the Roster screen with your previously entered officer levels. You should now only need to re-input the Bonuses for buildings, research and territories</t>
  </si>
  <si>
    <t>Rev Deuce and MajChaco - For the Officer Scoring concept.</t>
  </si>
  <si>
    <t>Rank</t>
  </si>
  <si>
    <t>Rev Deuce, Gregor, Harliii, Lewb, UltimatDJz and Ripper - For the Officer Scoring Notes.</t>
  </si>
  <si>
    <t>Select and copy the green area below to your new spreadsheet.</t>
  </si>
  <si>
    <t>Rarity</t>
  </si>
  <si>
    <t>Paste data from old spreadsheet in to cell B4 below.</t>
  </si>
  <si>
    <t>Ability1</t>
  </si>
  <si>
    <t>Ability2</t>
  </si>
  <si>
    <t>Ability3</t>
  </si>
  <si>
    <t>Ability4</t>
  </si>
  <si>
    <t>Ability5</t>
  </si>
  <si>
    <t>Captain Maneuver</t>
  </si>
  <si>
    <t>Officer Ability</t>
  </si>
  <si>
    <t>Officer Group</t>
  </si>
  <si>
    <t>Officer Type</t>
  </si>
  <si>
    <t>Full Synergy</t>
  </si>
  <si>
    <t>Half Synergy</t>
  </si>
  <si>
    <t>CM Value</t>
  </si>
  <si>
    <t>Engineering</t>
  </si>
  <si>
    <t>Unimatrix Twelve</t>
  </si>
  <si>
    <t>Auxiliary Controls</t>
  </si>
  <si>
    <t>Science</t>
  </si>
  <si>
    <t>Increate Shield Mitigation</t>
  </si>
  <si>
    <t>Command</t>
  </si>
  <si>
    <t>Increase Protected Cargo</t>
  </si>
  <si>
    <t>Increase Penetration to Armadas by Attack</t>
  </si>
  <si>
    <t>Decrease opponent SHP when hitting by Defence</t>
  </si>
  <si>
    <t>Increase Health of all Officers on the ship</t>
  </si>
  <si>
    <t>Chance to add 2 shots to each weapon when fighting Borg</t>
  </si>
  <si>
    <t>Increase Attack of all Officers on the ship</t>
  </si>
  <si>
    <t>Increase Critical Hit chance against Borg</t>
  </si>
  <si>
    <t>Increase Critical Hit chance when defending the station</t>
  </si>
  <si>
    <t>Alternate Name</t>
  </si>
  <si>
    <t>Increase Defence of all Officers on the ship</t>
  </si>
  <si>
    <t>Decrease Borg critical hit chance</t>
  </si>
  <si>
    <t>Officer 0718</t>
  </si>
  <si>
    <t>Increase Critical hit chance for the first 3 rounds against Eclipse.</t>
  </si>
  <si>
    <t>Mudd's Crew</t>
  </si>
  <si>
    <t>Discovery Crew</t>
  </si>
  <si>
    <t>Cause Burning</t>
  </si>
  <si>
    <t>Use Burning</t>
  </si>
  <si>
    <t>Cause Breach</t>
  </si>
  <si>
    <t>Use Breach</t>
  </si>
  <si>
    <t>Cause Morale</t>
  </si>
  <si>
    <t>Y</t>
  </si>
  <si>
    <t>Increase Armor when ship has less than 70% Hull Health</t>
  </si>
  <si>
    <t>Nero's Crew</t>
  </si>
  <si>
    <t>Enterprise Crew</t>
  </si>
  <si>
    <t>Klingon Patriots</t>
  </si>
  <si>
    <t>Decrease opponet's Hull Health at start of battle if mining</t>
  </si>
  <si>
    <t>Surveyors &amp; Miners</t>
  </si>
  <si>
    <t>Arkady Ivanov</t>
  </si>
  <si>
    <t>Leonard McCoy</t>
  </si>
  <si>
    <t>Increase Defence of all Officers on the bridge when hit</t>
  </si>
  <si>
    <t>Increase Officer abilities during combat</t>
  </si>
  <si>
    <t>Cadet Hikaru Sulu</t>
  </si>
  <si>
    <t>Increase Damage for first round</t>
  </si>
  <si>
    <t>Another Time</t>
  </si>
  <si>
    <t>Increase Armor Piercing every time the ship hits</t>
  </si>
  <si>
    <t>Increase Mining Speed (All)</t>
  </si>
  <si>
    <t>Increase Mining Speed (Par, Trit, Dil)</t>
  </si>
  <si>
    <t>Increase Mining Speed (Isogen)</t>
  </si>
  <si>
    <t>Increase Mining Speed (Crystal)</t>
  </si>
  <si>
    <t>Increase Resources dropped</t>
  </si>
  <si>
    <t>Cadet James T.Kirk</t>
  </si>
  <si>
    <t>Increase all Officer stats on Bridge</t>
  </si>
  <si>
    <t>Cadet Leonard McCoy</t>
  </si>
  <si>
    <t>Increase Captains Maneuver</t>
  </si>
  <si>
    <t>Cadet Montgomery Scott</t>
  </si>
  <si>
    <t>Increase Hull Health</t>
  </si>
  <si>
    <t>Increase Shield Health</t>
  </si>
  <si>
    <t>Increase Weapon Damage</t>
  </si>
  <si>
    <t>Increase Warp Distance</t>
  </si>
  <si>
    <t>Decrease opponents Weapon Damage</t>
  </si>
  <si>
    <t>Attack Bridge</t>
  </si>
  <si>
    <t>Attack All</t>
  </si>
  <si>
    <t>Defence Bridge</t>
  </si>
  <si>
    <t>Defence All</t>
  </si>
  <si>
    <t>Health Bridge</t>
  </si>
  <si>
    <t>Health All</t>
  </si>
  <si>
    <t>Decrease opponent's Sheild Health when defending from a player.</t>
  </si>
  <si>
    <t>Chance to cause Burning to opponent after hitting it with energy weapon</t>
  </si>
  <si>
    <t>Chance to inspire Morale for 3 rounds when Shield is depleted</t>
  </si>
  <si>
    <t>Chance to cause Hull Breach for 2 rounds after hitting with kinetic weapon</t>
  </si>
  <si>
    <t>Chance to Decrease opponent's Officer Attack  by 15% when hit</t>
  </si>
  <si>
    <t>Carol Marcus</t>
  </si>
  <si>
    <t>Decrease opponents Damage when defending in battle</t>
  </si>
  <si>
    <t>Chance to delay opponent's weapon fire for 1 round with a Critical Hit on Hull Breach</t>
  </si>
  <si>
    <t>Increase Damage if opponent Hull Health under 60%</t>
  </si>
  <si>
    <t>Increase Armour Piercing by Health</t>
  </si>
  <si>
    <t>Chance to cause Burning for 3 rounds when Hull Health is lower than 80%</t>
  </si>
  <si>
    <t>Romulan Patriots</t>
  </si>
  <si>
    <t>Liviana Charvanek</t>
  </si>
  <si>
    <t>Starfleet Academy</t>
  </si>
  <si>
    <t>Increase Mitigations against Hostiles</t>
  </si>
  <si>
    <t>Grace Chen</t>
  </si>
  <si>
    <t>CM Attack Bridge</t>
  </si>
  <si>
    <t>CM Attack All</t>
  </si>
  <si>
    <t>CM Defence Bridge</t>
  </si>
  <si>
    <t>CM Defence All</t>
  </si>
  <si>
    <t>CM Health Bridge</t>
  </si>
  <si>
    <t>Increase to Jumping and Summoning Cost Efficiency</t>
  </si>
  <si>
    <t>Hugh Culber</t>
  </si>
  <si>
    <t>Health to Armour when defending on a Capture Node</t>
  </si>
  <si>
    <t>Mae Darwin</t>
  </si>
  <si>
    <t>Increase Ship XP earned on Interceptors</t>
  </si>
  <si>
    <t>Increase Weapon Damage when attacked by a player</t>
  </si>
  <si>
    <t>Shakedown Cruise</t>
  </si>
  <si>
    <t>Increase Damage each time the ship gets hit</t>
  </si>
  <si>
    <t>Increase Accuracy, Armor Piercing and Shield Piercing against stronger ships.</t>
  </si>
  <si>
    <t>Increase Officers Health for 1 minute after winning a battle</t>
  </si>
  <si>
    <t>Increase Warp Speed when Cargo is full</t>
  </si>
  <si>
    <t>Increase Dilithium mining rate</t>
  </si>
  <si>
    <t>Raphaël Dupont</t>
  </si>
  <si>
    <t>Increase G3 Crystal, Gas and Mining Speed</t>
  </si>
  <si>
    <t>Section 31</t>
  </si>
  <si>
    <t>Chance to heal 5% shields when they are depleted</t>
  </si>
  <si>
    <t>Increase Damage when taking SHP damage</t>
  </si>
  <si>
    <t>Increase Parsteel rewards from Hostiles</t>
  </si>
  <si>
    <t>Chance to deal Burning for two rounds at the start of each round</t>
  </si>
  <si>
    <t>Increase Mitigation by Officer Health</t>
  </si>
  <si>
    <t>Increase Cristical Hit Damage against Hostiles</t>
  </si>
  <si>
    <t>Increase Critical Hit Chance against Hostiles</t>
  </si>
  <si>
    <t>Lucia Gonzales</t>
  </si>
  <si>
    <t>Increase Ship XP gained while fighting</t>
  </si>
  <si>
    <t>Inctease Critical Hit Chance against Hostiles for first round</t>
  </si>
  <si>
    <t>Chance to cause Hull Breach for 3 rounds when hitting with Critical Hit</t>
  </si>
  <si>
    <t>Increase Critical Hit Chances for first 2 rounds</t>
  </si>
  <si>
    <t>Geoffrey Hadley</t>
  </si>
  <si>
    <t>Increase Exoerience gained on Survey Ships</t>
  </si>
  <si>
    <t>John Harrison</t>
  </si>
  <si>
    <t>Ignore % of opponents shield for the first round of combat</t>
  </si>
  <si>
    <t>Increase Damage against Explorers</t>
  </si>
  <si>
    <t>Chance of Double Shots in the first round</t>
  </si>
  <si>
    <t>Chance to have 98% Shield Mitigation for the first two combat rounds</t>
  </si>
  <si>
    <t>Harcourt Fenton Mudd</t>
  </si>
  <si>
    <t>Increase damage when shields are depleted</t>
  </si>
  <si>
    <t>Increase Warp Speed when Cargo is empty</t>
  </si>
  <si>
    <t>Increase Parsteel mining</t>
  </si>
  <si>
    <t>Increase Ship XP on Explorers</t>
  </si>
  <si>
    <t>Increase mitigation when Hull Health is below 60% of Health at start of battle</t>
  </si>
  <si>
    <t>Increase Mitigation</t>
  </si>
  <si>
    <t>Increase Damage</t>
  </si>
  <si>
    <t>Increase Accuracy at the start of each round</t>
  </si>
  <si>
    <t>Increase of Defence to SHP of all ships in fleet (Base defence only)</t>
  </si>
  <si>
    <t>TOS Enterprise Crew</t>
  </si>
  <si>
    <t>Increase Armor on a battleship</t>
  </si>
  <si>
    <t>Increase Shield Piercing</t>
  </si>
  <si>
    <t>Chance to drastically increase ship mitigation against Stations for first round</t>
  </si>
  <si>
    <t>Khan's Crew</t>
  </si>
  <si>
    <t>Increase Data Mining Speed</t>
  </si>
  <si>
    <t>Increase Accuracy by Crews Attack</t>
  </si>
  <si>
    <t>Chance to cause Hull Breach at the start of combat</t>
  </si>
  <si>
    <t>Blood &amp; Honor</t>
  </si>
  <si>
    <t>Increase Critical Hit Damage in Station Combat</t>
  </si>
  <si>
    <t>Increase Tritanium mining rate</t>
  </si>
  <si>
    <t>Increase Shield Health as long as ship is in the station</t>
  </si>
  <si>
    <t>Increase Hull Health as long as ship is in the station</t>
  </si>
  <si>
    <t>Increase Critical Damage with Kinetic Weapons</t>
  </si>
  <si>
    <t>Increase Dodge when the Shields are deleted</t>
  </si>
  <si>
    <t>Khan Noonien Singh</t>
  </si>
  <si>
    <t>Increase Critical Chances every time the ship gets hit</t>
  </si>
  <si>
    <t>James T.Kirk</t>
  </si>
  <si>
    <t>Chance to inspire Morale to his ship for 2 rounds</t>
  </si>
  <si>
    <t>Increase all officer stats when the ship has Morale</t>
  </si>
  <si>
    <t>TOS James T.Kirk</t>
  </si>
  <si>
    <t>Chance to give Morale at the start of the round if ship health is above 30% of stating value</t>
  </si>
  <si>
    <t>Increase Critical Hit Damage</t>
  </si>
  <si>
    <t>Increase Impulse Speed</t>
  </si>
  <si>
    <t>Glory in the Kill</t>
  </si>
  <si>
    <t>Decrease Kinetic Weapon Damage from enemy players</t>
  </si>
  <si>
    <t>Increase Weapon Damage  of Battleships against players</t>
  </si>
  <si>
    <t>Increase Kinetic damage while opponent has Hull Breach</t>
  </si>
  <si>
    <t>Increase Repair speed on this ship if it is an Interceptor</t>
  </si>
  <si>
    <t>Use Morale</t>
  </si>
  <si>
    <t>Chance to causing Hull Breach for 1 round when receiving Shield Damage</t>
  </si>
  <si>
    <t>Increase mitigation when opponent is burning</t>
  </si>
  <si>
    <t>Increase Officer Stats each round</t>
  </si>
  <si>
    <t>Chance to automatically recharge first kinetic hit</t>
  </si>
  <si>
    <t>Frank Leslie</t>
  </si>
  <si>
    <t>Increase Ship XP on Battleships</t>
  </si>
  <si>
    <t>Restore Hull Health when under 35% of starting value</t>
  </si>
  <si>
    <t>Increase Officers Defence for 1 min after winning</t>
  </si>
  <si>
    <t>CM Health All</t>
  </si>
  <si>
    <t>Increase ship's max Hull Health if it is a Battleship</t>
  </si>
  <si>
    <t>Increase repair speed on this ship if it is a Battleship</t>
  </si>
  <si>
    <t>Increase Health of Bridge Officers</t>
  </si>
  <si>
    <t>Gabriel Lorca</t>
  </si>
  <si>
    <t>Chance to inflict Hull Breach</t>
  </si>
  <si>
    <t>Increase Impulse speed after destroying a ship</t>
  </si>
  <si>
    <t>Elea Mäkinen</t>
  </si>
  <si>
    <t>Decrease opponent's dodge every round when it has Hull Breach</t>
  </si>
  <si>
    <t>Increase Damage against Interceptors</t>
  </si>
  <si>
    <t>Alexander Marcus</t>
  </si>
  <si>
    <t>Increase Shield piercing by crew's Defence</t>
  </si>
  <si>
    <t>Chance to inspire morale when opponent's HHP is under 80%</t>
  </si>
  <si>
    <t>Increase ships Captain's stats</t>
  </si>
  <si>
    <t>Increase Ships repair speed</t>
  </si>
  <si>
    <t>Jabilo M'Benga</t>
  </si>
  <si>
    <t>Increase Mitigation when defending the Station</t>
  </si>
  <si>
    <t>Increase Armor Piercing, Shield Piercing and Accuracy when defending the Station</t>
  </si>
  <si>
    <t>Chance to cause burning for 1 round when ship is hit</t>
  </si>
  <si>
    <t>Gary Mitchell</t>
  </si>
  <si>
    <t>Increase Damage for 1 round when hit by a critical</t>
  </si>
  <si>
    <t>Increasae all officer stats on board when defending a station</t>
  </si>
  <si>
    <t>Decrease hostile penetration</t>
  </si>
  <si>
    <t>% Shield healed after winning</t>
  </si>
  <si>
    <t>Increase Armor Piercing</t>
  </si>
  <si>
    <t>Decrease Damage taken when mining (*Bugged*)</t>
  </si>
  <si>
    <t>Increase Attack of all Officers on the ship (** Broken  Bridge ONLY **)</t>
  </si>
  <si>
    <t>Increase Attack of crew (**Broken Bridge Only**)</t>
  </si>
  <si>
    <t>Increase mitigation when own ship has hull breach</t>
  </si>
  <si>
    <t>Increase Critical Damage when own ship has Hull Breach</t>
  </si>
  <si>
    <t>Chance to cause Burning when hitting enemy</t>
  </si>
  <si>
    <t>Increase Damage when opponent's ship is Burning</t>
  </si>
  <si>
    <t>Increase All Officers Base Defence</t>
  </si>
  <si>
    <t>Decrease Opponent's Weapon damage</t>
  </si>
  <si>
    <t>Decrease opponents Critical Hit Chance when receiving a critical hit</t>
  </si>
  <si>
    <t>Increase Warp Speed</t>
  </si>
  <si>
    <t>Increase All Officers Base Health</t>
  </si>
  <si>
    <t>Decrease opponent's Armor Piercing when defending from a player</t>
  </si>
  <si>
    <t>Increase Attack of all officers on the bridge</t>
  </si>
  <si>
    <t>Increase damage to defence platforms</t>
  </si>
  <si>
    <t>Chance to apply Hull Breach on your own ship</t>
  </si>
  <si>
    <t>Incrrease Impulse Speed</t>
  </si>
  <si>
    <t>Christopher Pike</t>
  </si>
  <si>
    <t>Increase Ship XP earned</t>
  </si>
  <si>
    <t>Increase Critical Hit chances when own ship hass Hull Breach</t>
  </si>
  <si>
    <t>Increase accuracy when own ship has Hull Breach</t>
  </si>
  <si>
    <t>Increase damage when own ship has hull breach.</t>
  </si>
  <si>
    <t>Chance to increase damage by 300% of Officer Attack</t>
  </si>
  <si>
    <t>Increase Captains Stats</t>
  </si>
  <si>
    <t>Increase Energy Weapon Damage against other ships</t>
  </si>
  <si>
    <t>Increase damage against players when in an Explorer</t>
  </si>
  <si>
    <t>Montgomery Scott</t>
  </si>
  <si>
    <t>Increase ship's Hull Health</t>
  </si>
  <si>
    <t>Increase Critical Hit Damage aginst Eclipse Hostiles</t>
  </si>
  <si>
    <t>Decrease Eclipse hostile's Critical Hit Chance by 15%</t>
  </si>
  <si>
    <t>Increase Damage if own ship is burning</t>
  </si>
  <si>
    <t>Increase Energy Damage against Hostiles</t>
  </si>
  <si>
    <t>Increase Tritanium rewards from Hostiles</t>
  </si>
  <si>
    <t>Increase Cargo size</t>
  </si>
  <si>
    <t>Increase Mining Speed (Ore)</t>
  </si>
  <si>
    <t>Shev Akria</t>
  </si>
  <si>
    <t>Increase Energy Damage when ship has Morale</t>
  </si>
  <si>
    <t>Chance to inspire Morale when being hit by a critical hit</t>
  </si>
  <si>
    <t>Hikaru Sulu</t>
  </si>
  <si>
    <t>Yuki Sulu</t>
  </si>
  <si>
    <t>Increase damage to Romulans by % of crew's Health</t>
  </si>
  <si>
    <t>Increase Damage Against Klingon ships by % of crew's Attack</t>
  </si>
  <si>
    <t>Increases Mitigation by % of Officer Health whilst opponent is burning (Tooltip incorrect)</t>
  </si>
  <si>
    <t>Increase Damage to Federation ships by % of crew's Defence</t>
  </si>
  <si>
    <t>Increase Armor by % of total Attack at the start of combat</t>
  </si>
  <si>
    <t>Increase Damage against Federation by % of crew's Defence</t>
  </si>
  <si>
    <t>Restore Shield by % of crew's Defence when having Morale</t>
  </si>
  <si>
    <t>Decrease the opponents Hull Health each turn while it is burning</t>
  </si>
  <si>
    <t>Increase damage against Battleships</t>
  </si>
  <si>
    <t>Chance to increase mitigation by 100% against Eclipse hostiles</t>
  </si>
  <si>
    <t>Increase Ship XP from battles</t>
  </si>
  <si>
    <t>Increase Energy damage by Officer defence, per round cumulative when ship has Morale</t>
  </si>
  <si>
    <t>Nyota Uhura</t>
  </si>
  <si>
    <t>Increase ship's Accuracy</t>
  </si>
  <si>
    <t>Chance to delay opponent's fire by 1 round when own shield is deleted</t>
  </si>
  <si>
    <t>Increase Mining Speed (Gas)</t>
  </si>
  <si>
    <t>Ash Tyler</t>
  </si>
  <si>
    <t>Increase damage by % of crew's Attack when opponent's ship is Burning</t>
  </si>
  <si>
    <t>Increase all officers Attack when the ship defends a Capture Node</t>
  </si>
  <si>
    <t>Increase Kinetic Weapon Damage against other player's ships</t>
  </si>
  <si>
    <t>Increase Kinetic Damage against Hostiles</t>
  </si>
  <si>
    <t>Increase Dilithium rewards from Hostiles</t>
  </si>
  <si>
    <t>Decrease Shield Health of a Burning opponent by % of crew's Health</t>
  </si>
  <si>
    <t>Resurrect with % Hull Health</t>
  </si>
  <si>
    <t>Decrease Energy Damage from players</t>
  </si>
  <si>
    <t>Chance to delay opponent's Weapons each round, for 1 round</t>
  </si>
  <si>
    <t>Increase dodge when aboard an Interceptor</t>
  </si>
  <si>
    <t>Increase damage if opponent's ship is a Battleship</t>
  </si>
  <si>
    <t>Decrease opponent player's Critical Damage when ship has Morale</t>
  </si>
  <si>
    <t>Decrease opponent player's shield Mitigation if ship has Morale</t>
  </si>
  <si>
    <t>Decrease Ecliple hostile's mitigation by 40%</t>
  </si>
  <si>
    <t>Decrease Energy damage dealt by Hostiles</t>
  </si>
  <si>
    <t>Decrease Critical Damage from Hostiles</t>
  </si>
  <si>
    <t>Decrease all opponents ships and defence platform damage in Station Combat</t>
  </si>
  <si>
    <t>Chance to dramatically Decrease opponent's station and ship mitigation for 2 rounds</t>
  </si>
  <si>
    <t>Decrease all the stats of the opponents Bridge Officers</t>
  </si>
  <si>
    <t>Decrease opponents Captain's Maneuver effectiveness</t>
  </si>
  <si>
    <t>Decrease opponents damge if they have Hull Breach</t>
  </si>
  <si>
    <t xml:space="preserve">Decrease opponent's SHP by % Crew's Attack </t>
  </si>
  <si>
    <t>Decrease Armada Target Weapon Damage when taking damage</t>
  </si>
  <si>
    <t>Decrease opponent's officer stats if own ship recieves a Hull Breach</t>
  </si>
  <si>
    <t>Decrease opponent's Hull Health each round if own ship is burning</t>
  </si>
  <si>
    <t>Decrease Eclipse hostile's Shield Mitigation for the first round</t>
  </si>
  <si>
    <t>Decrease Kinetic Damage dealt by Hostiles</t>
  </si>
  <si>
    <t>Decrease opponent player's Critical hit chance if ship has Morale</t>
  </si>
  <si>
    <t>Decrease the shield Health of the opponent's ship each round</t>
  </si>
  <si>
    <t>Inxrease Damage ro Romulans by % of crew's Health</t>
  </si>
  <si>
    <t>Increase damage after depleting the opponent's Shield Health</t>
  </si>
  <si>
    <t>Increase Damage dealt when defending a Station</t>
  </si>
  <si>
    <t>Increase ships Hull Health when defending a station</t>
  </si>
  <si>
    <t>Vel K'Bentayr</t>
  </si>
  <si>
    <t>Paul Zhou</t>
  </si>
  <si>
    <t>Increase mitigation by % of crew's Defence when having Morale</t>
  </si>
  <si>
    <t xml:space="preserve">Increase Defence of bridge officers </t>
  </si>
  <si>
    <t>Captain: Crystal mining; Officer ability: (**Broken does not work**)</t>
  </si>
  <si>
    <t>Captain: Useful 3 Star all-around Mining boost; Officer: Protected Cargo ability (exact copy of T'Pring)</t>
  </si>
  <si>
    <t>Captain: Shields absorb additional damage (only 2 rounds!) ; Officer : small chance of double shot (first round only!)</t>
  </si>
  <si>
    <t>Captain: only small Armor Piercing bonus; Officer: officer base attack value boost (** Broken Bridge Only**)</t>
  </si>
  <si>
    <t>Captain: 10% to 50% mining speed increase for everything is always useful; Officer: Iso-mining only</t>
  </si>
  <si>
    <t>Captain: terrible Armada damage reduction ; Officer: only usefull with a maxed Eurydice</t>
  </si>
  <si>
    <t>Captain: stacking energy damage buff, depends heavily on your DEFENSE stats; Officer: second best Moral source</t>
  </si>
  <si>
    <t>Captain: terrible shield restore (base defense only!); Officer: a PvP version of Gaila, maybe usefull at max Rank.</t>
  </si>
  <si>
    <t>Captain: preventing critical against you (PvP only); Officer: getting more damage through the shields (PvP only)</t>
  </si>
  <si>
    <t>Captain: useless; Officer: good vs Armadas - needs good attack stats</t>
  </si>
  <si>
    <t>Captain &amp; Oficer: vs. Eclipse only! Officer: useless - too weak!!</t>
  </si>
  <si>
    <t>Captain: does not work ??; Officer: max mitigation over time</t>
  </si>
  <si>
    <t>Captain &amp; Officer; station only; one of the best blue Defense stats if maxed</t>
  </si>
  <si>
    <t>Captain &amp; Officer: PvP only, very weak effects</t>
  </si>
  <si>
    <t>Captain &amp; Officer: PvP only, very weak effects, very good "Lower Deck" Officer</t>
  </si>
  <si>
    <t>Headings</t>
  </si>
  <si>
    <t>Burning</t>
  </si>
  <si>
    <t>Breach</t>
  </si>
  <si>
    <t>Morale</t>
  </si>
  <si>
    <t>Display:</t>
  </si>
  <si>
    <t>Captain: **Tooltip Error** ONLY 2 Rounds of Hull Breach; Officer: get him to Rank 3+</t>
  </si>
  <si>
    <t>Captain &amp; Officer; PvP only, can kill criticals against you. Damage reduction is very small</t>
  </si>
  <si>
    <t>Captain &amp; Officer; needs your own ship to "Burn", almost never happens - Captain Bug , PvP opponent respawns</t>
  </si>
  <si>
    <t>You can toggle between Scores and Skills using the dropdown box. The Burning, Breach and Morale columns show if an officer Causes or Uses each ability "Y|Y" = Cause and Uses, "Y|" = Causes, "|Y" = Uses, "|" Neither</t>
  </si>
  <si>
    <t>TOS McCoy</t>
  </si>
  <si>
    <t>TOS Sulu</t>
  </si>
  <si>
    <t>TOS Uhura and Spock rarity colour incorrect on Google Sheets. Fixed various lookup issue due to Apostrophes. Franklin ship bonus fixed to 100%. Added Ranks, and highlight officers that can be levelled up. Reworked Import and Export screen. Added Officer Skills (Stat changing skills are still NOT calculated in the Loadout section). Added New TOS Officers.</t>
  </si>
  <si>
    <t>TOS Leonard McCoy</t>
  </si>
  <si>
    <t>TOS Hikaru Sulu</t>
  </si>
  <si>
    <t>Increase Critical Hit Chance each round when on an Explorer that has Morale</t>
  </si>
  <si>
    <t>Chance to inspire Morale for 1 round</t>
  </si>
  <si>
    <t>Increase All Stats of All Officers when on an Explorer</t>
  </si>
  <si>
    <t>Increase Mitigation by % of the crew's Health when defending</t>
  </si>
  <si>
    <t>OA</t>
  </si>
  <si>
    <t>1.3.0</t>
  </si>
  <si>
    <t>Old Sheet Lower than V1.3.0</t>
  </si>
  <si>
    <t>You can now Copy the selected range, and past it in cell B4 on the Migration sheet of the new spreadsheet.</t>
  </si>
  <si>
    <t>Once downloaded, open both workbooks, and navigate to the Migration Sheet of the old spreadsheet.</t>
  </si>
  <si>
    <t>Highlight the green Export section of the Migration Screen</t>
  </si>
  <si>
    <t>Paste the selection in to B4, in the Import section of the Migration Sheet of the new spreadsheet</t>
  </si>
  <si>
    <t>Old Sheet V1.3.0 or Higher</t>
  </si>
  <si>
    <t>Terran Empire</t>
  </si>
  <si>
    <t>1.3.1</t>
  </si>
  <si>
    <t>Fix a minor with Rank 0 or Rank 5 officers. Fix a couple of typos in the Scores notes. Fixed TOS Bones and Sulu rarity  colour on Excel version. Fix incorrect Officer Group for Dupont and Makinen. Changed colour or the Scores and Abilities dropdown to make it more noticable.</t>
  </si>
  <si>
    <t>Captain: boost all combat abilities = can boost spock to 1065% and Kirk to 100%</t>
  </si>
  <si>
    <t>Captain: very small damage increase; Officer: very small Dodge increase</t>
  </si>
  <si>
    <t>All</t>
  </si>
  <si>
    <t>Officer Attack Bonus</t>
  </si>
  <si>
    <t>Officer Defence Bonus</t>
  </si>
  <si>
    <t>Officer Health Bonus</t>
  </si>
  <si>
    <t>Officer Abilities</t>
  </si>
  <si>
    <t>Captain Manoeuvres</t>
  </si>
  <si>
    <t>Ensure you have the Apply Bonuses selected.</t>
  </si>
  <si>
    <t>Easter Eggs</t>
  </si>
  <si>
    <t>1.3.2</t>
  </si>
  <si>
    <t>Captian &amp; Officer: capure node only!! Officer: has potential, needs more testing</t>
  </si>
  <si>
    <t>Captian: stacking dmg buff; Officer: needs to be maxed!! then combine with Cpt Pike to get to 100% chance</t>
  </si>
  <si>
    <t>Capain: Crit Bonus too low; Officer: Base attacks only, works best with Cpt Khan's criticals</t>
  </si>
  <si>
    <t>TOS Chekov</t>
  </si>
  <si>
    <t>TOS Scotty</t>
  </si>
  <si>
    <t>Crit boost upto 15% (max tier) is a respectable value to help trigger crits (tbc: is or is not cumulative)</t>
  </si>
  <si>
    <t>Both abilities are not Morale triggered and a straight addition to stats</t>
  </si>
  <si>
    <t>Minor fixes to officer notes. Added Officer stat changing skills. Used officers are now removed from the dropdowns. Added TOS Chekov and TOS Scotty</t>
  </si>
  <si>
    <t>TOS Montgomery Scott</t>
  </si>
  <si>
    <t>Increase Repair Cost Efficiency</t>
  </si>
  <si>
    <t>Increase Warp Range of Explorers</t>
  </si>
  <si>
    <t>TOS Pavel Chekov</t>
  </si>
  <si>
    <t>When attacked on a Capture or Mining node, Decrease Opponents damage.</t>
  </si>
  <si>
    <t>Increase the Impulse Speed of Explorers</t>
  </si>
  <si>
    <t>Dock A</t>
  </si>
  <si>
    <t>USS Franklin A</t>
  </si>
  <si>
    <t>Roster</t>
  </si>
  <si>
    <t>1.3.3</t>
  </si>
  <si>
    <t>Captain: Only the 2nd officer that increases Cargo Capacity; Officer: Good 3* and 4* mining boost!</t>
  </si>
  <si>
    <t>Officer: Ability now works</t>
  </si>
  <si>
    <t>Limited use officer, TC takeover limited</t>
  </si>
  <si>
    <t>Interesting help on warp range on explorers only, otherwise limited in use... one side of double bar synergy and max rank cadet scotty gives the largest boost to warp range.</t>
  </si>
  <si>
    <t>Increase to G3 and G4 Mining speed</t>
  </si>
  <si>
    <t>Increase Cargo Size</t>
  </si>
  <si>
    <t>Increase Resources from hostiles when in any Franklin</t>
  </si>
  <si>
    <t>Increase number of shots against Swarms in any Franklin</t>
  </si>
  <si>
    <t>Increase Mitigation by Health when opponent has Hull Breach</t>
  </si>
  <si>
    <t>Increase Mitigation by Health, when on attacking on a capture node and opponent has Hull Breach</t>
  </si>
  <si>
    <t>Added 2 or 10 and Jaylah. Added Franklin A. Added missing Breach indicator for Captain Tilly. Fixed Max Level for officers that are not owned.</t>
  </si>
  <si>
    <t>Available All Dock</t>
  </si>
  <si>
    <t>Available Roster</t>
  </si>
  <si>
    <t>Used Roster</t>
  </si>
  <si>
    <t>Used All Docks</t>
  </si>
  <si>
    <t>Not Available All Docks</t>
  </si>
  <si>
    <t>Available All Docks</t>
  </si>
  <si>
    <t>Not Available Roster</t>
  </si>
  <si>
    <t>Dock F</t>
  </si>
  <si>
    <t>Dock E</t>
  </si>
  <si>
    <t>Dock D</t>
  </si>
  <si>
    <t>Dock C</t>
  </si>
  <si>
    <t>Dock B</t>
  </si>
  <si>
    <t>Discovery Origins</t>
  </si>
  <si>
    <t>1.4.0</t>
  </si>
  <si>
    <t>Officer All Docks</t>
  </si>
  <si>
    <t>PlowKing: "Spock DOES go on the Enterprise!!"</t>
  </si>
  <si>
    <t>JimHayling: "Lock Up Your Daughters!!"</t>
  </si>
  <si>
    <t>Sulu: "RevDeuce put TOS Sulu on a Battleship! Oh Myyy!"</t>
  </si>
  <si>
    <t>Rev Deuce: "Spock doesn't go on the Enterprise!!"</t>
  </si>
  <si>
    <t>New Release Steps</t>
  </si>
  <si>
    <t>Add New Officers to Score Sheet and collect CC scores and notes.</t>
  </si>
  <si>
    <t>Comments</t>
  </si>
  <si>
    <t>Beverly Crusher</t>
  </si>
  <si>
    <t>Data</t>
  </si>
  <si>
    <t>Geordi La Forge</t>
  </si>
  <si>
    <t>Next Gen Crusher</t>
  </si>
  <si>
    <t>Same as Cadet McCoy</t>
  </si>
  <si>
    <t>Next Gen Data</t>
  </si>
  <si>
    <t>Same as Cadet Kirk</t>
  </si>
  <si>
    <t>Next Gen La Forge</t>
  </si>
  <si>
    <t>Same as Cadet Uhura</t>
  </si>
  <si>
    <t>Next Gen Riker</t>
  </si>
  <si>
    <t>Same as Cadet Sulu</t>
  </si>
  <si>
    <t>Next Gen Troi</t>
  </si>
  <si>
    <t>Same as Instructor Spock</t>
  </si>
  <si>
    <t>Paste Values</t>
  </si>
  <si>
    <t>Name Range Changes</t>
  </si>
  <si>
    <t>OfficerScores</t>
  </si>
  <si>
    <t>Copy Scores to Officer Scores Sheet.</t>
  </si>
  <si>
    <t>Add New Officers to Migration Sheet at the bottom of Import section.</t>
  </si>
  <si>
    <t>Extend Formulas on the Export section</t>
  </si>
  <si>
    <t>Extend Roster by the required number of new officers.</t>
  </si>
  <si>
    <t>Paste in the names of the new officers.</t>
  </si>
  <si>
    <t>Add new Officers to Officer Stats alphabetically</t>
  </si>
  <si>
    <t>OfficerStats (Should be Automatic)</t>
  </si>
  <si>
    <t xml:space="preserve">1 48 192 48 576 200 2 52 208 52 624 800 3 59 235 59 706 1,400 4 67 268 67 804 2,200 5 77 306 77 920 3,200 </t>
  </si>
  <si>
    <t xml:space="preserve">6 87 348 87 1,566 17K 7 98 393 98 1,767 24K 8 110 442 110 1,986 30K 9 123 493 123 2,217 34K 10 137 547 137 2,463 37K </t>
  </si>
  <si>
    <t xml:space="preserve">11 151 604 151 3,624 120K 12 166 662 166 3,976 150K 13 181 723 181 4,340 174K 14 197 786 197 4,720 192K 15 213 851 213 5,108 198K </t>
  </si>
  <si>
    <t xml:space="preserve">16 230 918 230 6,890 434K 17 247 987 247 7,405 525K 18 264 1,057 264 7,925 595K 19 282 1,129 282 8,465 637K 20 301 1,203 301 9,025 665K </t>
  </si>
  <si>
    <t xml:space="preserve">21 320 1,278 320 11,508 1,392K 22 339 1,355 339 12,198 1,696K 23 358 1,433 358 12,894 1,936K 24 378 1,513 378 13,614 2,112K 25 398 1,594 398 14,340 2,224K 26 419 1,676 419 15,084 2,583K 27 440 1,760 440 15,840 2,628K 28 461 1,845 461 16,602 2,655K 29 483 1,932 483 17,388 2,673K 30 505 2,019 505 18,174 2,682K </t>
  </si>
  <si>
    <t>Add New Officers to Officer Skills alphabetically</t>
  </si>
  <si>
    <t>TNG Crew</t>
  </si>
  <si>
    <t>Next Gen</t>
  </si>
  <si>
    <t>Increase Attack of all Officers on the ship (** Broken Bridge ONLY **)</t>
  </si>
  <si>
    <t>OfficersSkillsFull, OfficerSkillsOfficers (Should be Automatic)</t>
  </si>
  <si>
    <t>Add Officer Skill descriptions, stats and influencers</t>
  </si>
  <si>
    <t>When fighting Hostiles and Armadas, increase mitigation by % of crew's Defence.</t>
  </si>
  <si>
    <t>When fighting Hostiles and Armadas, restore Shield by % of crew's Health</t>
  </si>
  <si>
    <t>When fighting Non-Player targets, including Mission Hostiles, Increase Penetration.</t>
  </si>
  <si>
    <t>Increase Rewards from Armadas</t>
  </si>
  <si>
    <t>Increase Weapon Damage against Klingon Hostiles and Armadas</t>
  </si>
  <si>
    <t>Add New Officers to RosterIndirect sheet alphabetically</t>
  </si>
  <si>
    <t>Abilites, Scores (Should Be Automatic)</t>
  </si>
  <si>
    <t>On All Dock screen, extend formula from row one</t>
  </si>
  <si>
    <t>On Loadoutscreen, extend formula from row one (Except last 2 on GS Vesion)</t>
  </si>
  <si>
    <t>Rerouting to Shields - Away</t>
  </si>
  <si>
    <t>Tactical Aggression - Away</t>
  </si>
  <si>
    <t>Synch. Crew - Away</t>
  </si>
  <si>
    <t>Char. Orders - Away</t>
  </si>
  <si>
    <t>Inf. &amp; Heroism - Away</t>
  </si>
  <si>
    <t>Buildings and Research All Crew</t>
  </si>
  <si>
    <t>Buildings and Research Bridge</t>
  </si>
  <si>
    <t>Buildings and Research Captain</t>
  </si>
  <si>
    <t>Total All</t>
  </si>
  <si>
    <t>Total Bridge</t>
  </si>
  <si>
    <t>Total Captain</t>
  </si>
  <si>
    <t>Territory Bonusses</t>
  </si>
  <si>
    <t>Fix Officer group for Origins Officers. Added All Docks sheet. Fixed Burning marker of D'Jaoki. Returned drop down list order to match sort order. Added Away Mission Research.</t>
  </si>
  <si>
    <t>Mining</t>
  </si>
  <si>
    <t>XP Grinding</t>
  </si>
  <si>
    <t>Bases</t>
  </si>
  <si>
    <t>Armadas - Borg</t>
  </si>
  <si>
    <t>Armadas - Swarm</t>
  </si>
  <si>
    <t>Armadas - Eclipse</t>
  </si>
  <si>
    <t>Armadas - Normal</t>
  </si>
  <si>
    <t>Eclipse</t>
  </si>
  <si>
    <t>Swarms</t>
  </si>
  <si>
    <t>Probes</t>
  </si>
  <si>
    <t>Mission Bosses</t>
  </si>
  <si>
    <t>Hostiles</t>
  </si>
  <si>
    <t>For Battleships</t>
  </si>
  <si>
    <t>For Interceptors</t>
  </si>
  <si>
    <t>For Explorers</t>
  </si>
  <si>
    <t>PvP</t>
  </si>
  <si>
    <t>Notes</t>
  </si>
  <si>
    <t>2nd Officer</t>
  </si>
  <si>
    <t>1st Officer</t>
  </si>
  <si>
    <t>Crew Name</t>
  </si>
  <si>
    <t>Vs Explorers</t>
  </si>
  <si>
    <t>Vs Interceptors</t>
  </si>
  <si>
    <t>Vs Battleships</t>
  </si>
  <si>
    <t>Armada - Normal</t>
  </si>
  <si>
    <t>Armada - Eclipse</t>
  </si>
  <si>
    <t>Armada - Swarm</t>
  </si>
  <si>
    <t>Armada - Borg</t>
  </si>
  <si>
    <t>Select Crew</t>
  </si>
  <si>
    <t>Pre-set Crew</t>
  </si>
  <si>
    <t>Loadouts</t>
  </si>
  <si>
    <t>Captain</t>
  </si>
  <si>
    <t>Increase Critical Hit Chances against Defence Platforms</t>
  </si>
  <si>
    <t>Increase Warp Speed of ship</t>
  </si>
  <si>
    <t>Vs Survey</t>
  </si>
  <si>
    <t>Chen rank is vital push to max ASAP</t>
  </si>
  <si>
    <t>Chen rank is vital push to max ASAP. Direct alternative to Cadet crew and to be used until Pike is unlocked. Can swap Next Gen Data for Next Gen Crusher</t>
  </si>
  <si>
    <t>Probes - Alternative Crew</t>
  </si>
  <si>
    <t>5 must be min rank 2 for this set up to net more probes than Pike hostile crew</t>
  </si>
  <si>
    <t>Swarm - Pike no Jaylah</t>
  </si>
  <si>
    <t>Never use Chen for swarms</t>
  </si>
  <si>
    <t>Never use Chen for swarms. Direct alternative to Cadet crew and to be used until Pike is unlocked. Can swap Next Gen Data for Next Gen Crusher</t>
  </si>
  <si>
    <t>Use when other hostile crew are busy</t>
  </si>
  <si>
    <t>Stack lower decks for Health and Defence</t>
  </si>
  <si>
    <t>Stack lower decks for Health and Attack</t>
  </si>
  <si>
    <t>Armadas - 5/6/Khan</t>
  </si>
  <si>
    <t>Hostile Basic - Interceptors (Cadets)</t>
  </si>
  <si>
    <t>Hostile Basic - Interceptors (TNG)</t>
  </si>
  <si>
    <t>Probes - Pike</t>
  </si>
  <si>
    <t>Swarm - Cadet Crew</t>
  </si>
  <si>
    <t>Swarm - Pike with Jaylah</t>
  </si>
  <si>
    <t>Swarm - TNG Crew</t>
  </si>
  <si>
    <t>When attacking a player during takeover. Decrease opponent's Officer Defence</t>
  </si>
  <si>
    <t>When attacking a player on a capture node, Increase number of shots at start of each round.</t>
  </si>
  <si>
    <t>1.5.0</t>
  </si>
  <si>
    <t>Increase Jump and Summoning Cost Efficiency</t>
  </si>
  <si>
    <t>Decrease opponents officers attack when opponent is burning</t>
  </si>
  <si>
    <t>Armadas - Kirk/Spock/6</t>
  </si>
  <si>
    <t>Armadas - Kirk/Spock/Khan</t>
  </si>
  <si>
    <t>Stack lower decks for Defence and Attack</t>
  </si>
  <si>
    <t>Stack lower decks for Defence</t>
  </si>
  <si>
    <t>Eclipse - 5/Morale/Stella</t>
  </si>
  <si>
    <t>General - 5/Morale</t>
  </si>
  <si>
    <t>Hostile Basic - BShips/Exp/Surv (Cadets)</t>
  </si>
  <si>
    <t>Chen rank is vital push to max ASAP. Can swap Cadet Kirk for Cadet Mcoy.</t>
  </si>
  <si>
    <t>Hostile Basic - BShip/Exp/Surv (TNG)</t>
  </si>
  <si>
    <t>Exception to this is when hitting level 29 probes where you would swap Chen for T'Laan due to their firing pattern</t>
  </si>
  <si>
    <t>Leslie/Kirk/Spock</t>
  </si>
  <si>
    <t>MIning - Latinum</t>
  </si>
  <si>
    <t>Mining - G3/G4 without Main Captain</t>
  </si>
  <si>
    <t>Mining - G3 without Main Captain</t>
  </si>
  <si>
    <t>Enterprise - VS Battleships</t>
  </si>
  <si>
    <t>For best effect Yuki and Charvanek need to be minimum Rank 4. Yuki officer ability also is increase damage vs Romulans to extra potent vs Romulan battleships (Legionary, Augur and Tribune)</t>
  </si>
  <si>
    <t>Max Cargo Capacity</t>
  </si>
  <si>
    <t>Probes - vs Level 29 Borg</t>
  </si>
  <si>
    <t>Base Cracking - General</t>
  </si>
  <si>
    <t>Base Cracking - Enterprise</t>
  </si>
  <si>
    <t>Base Cracking - Harrison</t>
  </si>
  <si>
    <t>Base Cracking - Harrison &amp; Mudd 2.0</t>
  </si>
  <si>
    <t>Great if punching up using cheaper ship, Ideally a Saladin to to max damage early on. also very good on ships that fire lots of shots in the first round.</t>
  </si>
  <si>
    <t>3 in 1 Officer - both abilities extremly good - only for PvE and Armada</t>
  </si>
  <si>
    <t>Captain: Little crit Bonus, not worth taking; Officer ability: Because it's a BASE Bonus, too weak. Should Start at 300% or 500%</t>
  </si>
  <si>
    <t>Captain: Loot Bonus, take it or leave it... Terrible terrible Officer ability - use L'Nar instead!</t>
  </si>
  <si>
    <t>Jean-Luc Picard</t>
  </si>
  <si>
    <t>Captain: Same as Pike's but written correctly! Officer: Increased crit damage to Hostiles and Armadas</t>
  </si>
  <si>
    <t>Wesley Crusher</t>
  </si>
  <si>
    <t>Highlight a selection, starting at the Hidden rarity column (Currently B22, Select A22 and press the right arrow to navigate to it), down to the Level column of the last officer in the list.</t>
  </si>
  <si>
    <t>Increase Critical Damage against Hostiles and Armadas</t>
  </si>
  <si>
    <t>Increase Officer Abilities that trigger in combat by 2 x %</t>
  </si>
  <si>
    <t>Increases own stats</t>
  </si>
  <si>
    <t>Increase Damage against Hostiles and Armadas</t>
  </si>
  <si>
    <t>Extend Formulas from cell above including K and L</t>
  </si>
  <si>
    <t>ImportLevel, ImportOfficerList, ImportRank (GS Only)</t>
  </si>
  <si>
    <t>RankLookup, all Roster named ranges</t>
  </si>
  <si>
    <t>Anti-Battleship - Morale/Charvanek</t>
  </si>
  <si>
    <t>Anti-Explorer - Morale/Marcus</t>
  </si>
  <si>
    <t>Anti-Interceptor - Morale/Kang</t>
  </si>
  <si>
    <t>XP grinding - No Pike - Battleship</t>
  </si>
  <si>
    <t>Allows you to grind ship xp while keeping Pike free for other tasks</t>
  </si>
  <si>
    <t>XP grinding - No Pike - Explorer</t>
  </si>
  <si>
    <t>XP grinding - No Pike - Interceptor</t>
  </si>
  <si>
    <t>XP grinding - No Pike - Survey</t>
  </si>
  <si>
    <t>Added Pre-set crews sheet. Fix Officer Stat increasing abilities lookup in Google Sheets Skills sheet. Fix Officer Stat bonus reference sheet lookup. Fix Hadley CM description. Fix Emp Georgiou CM and OP description. Correct Kati and 0782's ability descriptions. Removed By Group number. Changed colour of the Captain's slot on the Roster and All Docks screens.</t>
  </si>
  <si>
    <t>1.5.1</t>
  </si>
  <si>
    <t>Recommended Rank:</t>
  </si>
  <si>
    <t>Anti-Augur and Rom Charvanek/DJ</t>
  </si>
  <si>
    <t>All officers should be R4 or R5. Stack lower deck for Health.</t>
  </si>
  <si>
    <t>Anti-Augur and Rom Yuki/Charvanek</t>
  </si>
  <si>
    <t>Enterprise - VS Jelly</t>
  </si>
  <si>
    <t>Can also be used against other Explorers, although less effective against other Enterprises.</t>
  </si>
  <si>
    <t>Hostiles - BShips/Exp/Surv (Picard)</t>
  </si>
  <si>
    <t>Chen rank is vital push to max ASAP. Better to use Pike version of this crew if you need to level the ship you are using at the same time.</t>
  </si>
  <si>
    <t>Hostiles - BShips/Exp/Surv (Pike)</t>
  </si>
  <si>
    <t>Hostiles - Interceptors (Picard)</t>
  </si>
  <si>
    <t>Hostiles - Interceptors (Pike)</t>
  </si>
  <si>
    <t>Interceptor - Lorca/Tilley/Kang</t>
  </si>
  <si>
    <t>Interceptor - Lorca/Tilley/Khan</t>
  </si>
  <si>
    <t>Probes - Picard</t>
  </si>
  <si>
    <t>Exception to this is when hitting level 29 probes where you would swap Chen for T'Laan due to their firing pattern. Better to use Pike version of this crew if you need to level the ship you are using at the same time.</t>
  </si>
  <si>
    <t>Swarm - Picard no Jaylah</t>
  </si>
  <si>
    <t>Swarm - Picard with Jaylah</t>
  </si>
  <si>
    <t>XP grinding - Alternative</t>
  </si>
  <si>
    <t>Meridian</t>
  </si>
  <si>
    <t>Common</t>
  </si>
  <si>
    <t>Uncommon</t>
  </si>
  <si>
    <t>Rare</t>
  </si>
  <si>
    <t>Epic</t>
  </si>
  <si>
    <t>Power</t>
  </si>
  <si>
    <t>Power Multiplier</t>
  </si>
  <si>
    <t>Attack Ratio</t>
  </si>
  <si>
    <t>Defence Ratio</t>
  </si>
  <si>
    <t>Health Ratio</t>
  </si>
  <si>
    <t>William T. Riker</t>
  </si>
  <si>
    <t>Great if punching up using cheaper ship, Ideally a Saladin to to max damage early on. Swap Joachim to kirk on enterprise</t>
  </si>
  <si>
    <t>Battleship vs Battleship</t>
  </si>
  <si>
    <t>Battleship vs Explorer</t>
  </si>
  <si>
    <t>Battleship vs Interceptor</t>
  </si>
  <si>
    <t>TOS PVP - Generic</t>
  </si>
  <si>
    <t>TOS PVP - Vs Battleship</t>
  </si>
  <si>
    <t>TOS PVP - Vs Explorers</t>
  </si>
  <si>
    <t>TOS PVP - Vs Interceptor</t>
  </si>
  <si>
    <t>Summoning</t>
  </si>
  <si>
    <t>MIrek and Krell must be Maxed for best results, even at Rank 4 not very effective</t>
  </si>
  <si>
    <t>Mining - ISO Max Speed</t>
  </si>
  <si>
    <t>If Mäkinen not attained can use a side of synergy for Airiam as a replacement. Although Recommended Levels are all set as one, the higher the two side officers are the faster your mining speed</t>
  </si>
  <si>
    <t>The Academy Discord - Some crews sourced from The Academy, an awesome source of pre-set crews.</t>
  </si>
  <si>
    <t>Anti-Battleship - 5/Charvanek</t>
  </si>
  <si>
    <t>Stack lower decks for Health</t>
  </si>
  <si>
    <t>Anti-Explorer - 5/Marcus</t>
  </si>
  <si>
    <t>Anti-Federation Battleships</t>
  </si>
  <si>
    <t>Anti-Federation Explorers</t>
  </si>
  <si>
    <t>Anti-Federation Interceptors</t>
  </si>
  <si>
    <t>Anti-Interceptor - 5/Kang</t>
  </si>
  <si>
    <t>Anti-Klingon Interceptor - Gorkon/Kang/L'Nar</t>
  </si>
  <si>
    <t>Stack lower decks for Attack</t>
  </si>
  <si>
    <t>Borg Armada Vi'Dar - 5/6/Lorca</t>
  </si>
  <si>
    <t>Stack lower decks for Attack and Health</t>
  </si>
  <si>
    <t>Mining - North Star speed and max cargo.</t>
  </si>
  <si>
    <t>Mining - North Star speed and protected cargo.</t>
  </si>
  <si>
    <t>Sarcophagus - Anti-Battleship</t>
  </si>
  <si>
    <t>Sarcophagus - Anti-Explorer</t>
  </si>
  <si>
    <t>Sarcophagus - Anti-Interceptor</t>
  </si>
  <si>
    <t>Sarcophagus - Gorkon/Kerla/Harrison</t>
  </si>
  <si>
    <t>Get attack bonus as high as possible.</t>
  </si>
  <si>
    <t>Stack lower decks for Defence and Health</t>
  </si>
  <si>
    <t>Added New Officer Riker. Change Makinen and Dupont's class to match their ingame class, which is incorrect in their information screen. Fix All Dock Ship bonus formulas which were all pointing to Dock A Ship. Fix Riker's skill lookup. Added colour markers for Pre-set crews. Added more pre-set crews.</t>
  </si>
  <si>
    <t>Ship Bonus % at 1</t>
  </si>
  <si>
    <t>Ship Bonus Amount at 1</t>
  </si>
  <si>
    <t>Increases Damage against Federation Hostiles and Armadas</t>
  </si>
  <si>
    <t>Increases Weapon Damage against Armada Targets (Cumulative)</t>
  </si>
  <si>
    <t>Manually change formula to include new lines or insert line in range to automatically change</t>
  </si>
  <si>
    <t>Ship</t>
  </si>
  <si>
    <t>Ability</t>
  </si>
  <si>
    <t>Max Level</t>
  </si>
  <si>
    <t xml:space="preserve">The Maximum Shield Health of the REALTA is increased by </t>
  </si>
  <si>
    <t>AugurCrew</t>
  </si>
  <si>
    <t>B'ChorCrew</t>
  </si>
  <si>
    <t>BortasCrew</t>
  </si>
  <si>
    <t>Botany BayCrew</t>
  </si>
  <si>
    <t>B'relCrew</t>
  </si>
  <si>
    <t>CenturionCrew</t>
  </si>
  <si>
    <t>D3 ClassCrew</t>
  </si>
  <si>
    <t>D4 ClassCrew</t>
  </si>
  <si>
    <t>ECS FortunateCrew</t>
  </si>
  <si>
    <t>ECS HorizonCrew</t>
  </si>
  <si>
    <t>EnvoyCrew</t>
  </si>
  <si>
    <t>Ferengi D'VorCrew</t>
  </si>
  <si>
    <t>GladiusCrew</t>
  </si>
  <si>
    <t>Hegh'taCrew</t>
  </si>
  <si>
    <t>Hijacked D3Crew</t>
  </si>
  <si>
    <t>Hijacked LegionaryCrew</t>
  </si>
  <si>
    <t>Hijacked USS MayflowerCrew</t>
  </si>
  <si>
    <t>ISS JellyfishCrew</t>
  </si>
  <si>
    <t>JellyfishCrew</t>
  </si>
  <si>
    <t>KehraCrew</t>
  </si>
  <si>
    <t>KorinarCrew</t>
  </si>
  <si>
    <t>K'TingaCrew</t>
  </si>
  <si>
    <t>KumariCrew</t>
  </si>
  <si>
    <t>K'VortCrew</t>
  </si>
  <si>
    <t>LegionaryCrew</t>
  </si>
  <si>
    <t>MeridianCrew</t>
  </si>
  <si>
    <t>North StarCrew</t>
  </si>
  <si>
    <t>Orion CorvetteCrew</t>
  </si>
  <si>
    <t>PhindraCrew</t>
  </si>
  <si>
    <t>PilumCrew</t>
  </si>
  <si>
    <t>RealtaCrew</t>
  </si>
  <si>
    <t>SarcophagusCrew</t>
  </si>
  <si>
    <t>Separatist D3 ClassCrew</t>
  </si>
  <si>
    <t>StellaCrew</t>
  </si>
  <si>
    <t>TallaCrew</t>
  </si>
  <si>
    <t>TribuneCrew</t>
  </si>
  <si>
    <t>TurasCrew</t>
  </si>
  <si>
    <t>USS AntaresCrew</t>
  </si>
  <si>
    <t>USS DiscoveryCrew</t>
  </si>
  <si>
    <t>USS EnterpriseCrew</t>
  </si>
  <si>
    <t>USS Enterprise ACrew</t>
  </si>
  <si>
    <t>USS FranklinCrew</t>
  </si>
  <si>
    <t>USS Franklin ACrew</t>
  </si>
  <si>
    <t>USS HydraCrew</t>
  </si>
  <si>
    <t>USS IntrepidCrew</t>
  </si>
  <si>
    <t>USS KelvinCrew</t>
  </si>
  <si>
    <t>USS MayflowerCrew</t>
  </si>
  <si>
    <t>USS NewtonCrew</t>
  </si>
  <si>
    <t>USS SaladinCrew</t>
  </si>
  <si>
    <t>VahklasCrew</t>
  </si>
  <si>
    <t>ValdoreCrew</t>
  </si>
  <si>
    <t>ValkisCrew</t>
  </si>
  <si>
    <t>Vi'DarCrew</t>
  </si>
  <si>
    <t>Vorta VorCrew</t>
  </si>
  <si>
    <t>AugurAbility</t>
  </si>
  <si>
    <t>B'ChorAbility</t>
  </si>
  <si>
    <t>BortasAbility</t>
  </si>
  <si>
    <t>Botany BayAbility</t>
  </si>
  <si>
    <t>B'relAbility</t>
  </si>
  <si>
    <t>CenturionAbility</t>
  </si>
  <si>
    <t>D3 ClassAbility</t>
  </si>
  <si>
    <t>D4 ClassAbility</t>
  </si>
  <si>
    <t>ECS FortunateAbility</t>
  </si>
  <si>
    <t>ECS HorizonAbility</t>
  </si>
  <si>
    <t>EnvoyAbility</t>
  </si>
  <si>
    <t>Ferengi D'VorAbility</t>
  </si>
  <si>
    <t>GladiusAbility</t>
  </si>
  <si>
    <t>Hegh'taAbility</t>
  </si>
  <si>
    <t>Hijacked D3Ability</t>
  </si>
  <si>
    <t>Hijacked LegionaryAbility</t>
  </si>
  <si>
    <t>Hijacked USS MayflowerAbility</t>
  </si>
  <si>
    <t>ISS JellyfishAbility</t>
  </si>
  <si>
    <t>JellyfishAbility</t>
  </si>
  <si>
    <t>KehraAbility</t>
  </si>
  <si>
    <t>KorinarAbility</t>
  </si>
  <si>
    <t>K'TingaAbility</t>
  </si>
  <si>
    <t>KumariAbility</t>
  </si>
  <si>
    <t>K'VortAbility</t>
  </si>
  <si>
    <t>LegionaryAbility</t>
  </si>
  <si>
    <t>MeridianAbility</t>
  </si>
  <si>
    <t>North StarAbility</t>
  </si>
  <si>
    <t>Orion CorvetteAbility</t>
  </si>
  <si>
    <t>PhindraAbility</t>
  </si>
  <si>
    <t>PilumAbility</t>
  </si>
  <si>
    <t>RealtaAbility</t>
  </si>
  <si>
    <t>SarcophagusAbility</t>
  </si>
  <si>
    <t>Separatist D3 ClassAbility</t>
  </si>
  <si>
    <t>StellaAbility</t>
  </si>
  <si>
    <t>TallaAbility</t>
  </si>
  <si>
    <t>TribuneAbility</t>
  </si>
  <si>
    <t>TurasAbility</t>
  </si>
  <si>
    <t>USS AntaresAbility</t>
  </si>
  <si>
    <t>USS DiscoveryAbility</t>
  </si>
  <si>
    <t>USS EnterpriseAbility</t>
  </si>
  <si>
    <t>USS Enterprise AAbility</t>
  </si>
  <si>
    <t>USS FranklinAbility</t>
  </si>
  <si>
    <t>USS Franklin AAbility</t>
  </si>
  <si>
    <t>USS HydraAbility</t>
  </si>
  <si>
    <t>USS IntrepidAbility</t>
  </si>
  <si>
    <t>USS KelvinAbility</t>
  </si>
  <si>
    <t>USS MayflowerAbility</t>
  </si>
  <si>
    <t>USS NewtonAbility</t>
  </si>
  <si>
    <t>USS SaladinAbility</t>
  </si>
  <si>
    <t>VahklasAbility</t>
  </si>
  <si>
    <t>ValdoreAbility</t>
  </si>
  <si>
    <t>ValkisAbility</t>
  </si>
  <si>
    <t>Vi'DarAbility</t>
  </si>
  <si>
    <t>Vorta VorAbility</t>
  </si>
  <si>
    <t xml:space="preserve">The Maximum Hull Health of the ORION CORVETTE is increased by </t>
  </si>
  <si>
    <t>Weapon Name</t>
  </si>
  <si>
    <t>Weapon Type</t>
  </si>
  <si>
    <t>Orion Corvette1</t>
  </si>
  <si>
    <t>Orion Corvette2</t>
  </si>
  <si>
    <t>Energy</t>
  </si>
  <si>
    <t>Realta2</t>
  </si>
  <si>
    <t>Realta1</t>
  </si>
  <si>
    <t>The Mining Rate of Parsteel is increased by </t>
  </si>
  <si>
    <t>WEAPON</t>
  </si>
  <si>
    <t>PLASMA CANNON</t>
  </si>
  <si>
    <t>ECS Fortunate1</t>
  </si>
  <si>
    <t xml:space="preserve">If the opponent's ship is a Battleship, the PHINDRA increases its Weapon Damage by </t>
  </si>
  <si>
    <t>Phindra1</t>
  </si>
  <si>
    <t>Phindra2</t>
  </si>
  <si>
    <t>PHOTONIC TORPEDOES</t>
  </si>
  <si>
    <t xml:space="preserve">If the opponent's ship is an Interceptor, the TURAS increases its Weapon Damage by </t>
  </si>
  <si>
    <t>Turas1</t>
  </si>
  <si>
    <t>Turas2</t>
  </si>
  <si>
    <t>Kinetic</t>
  </si>
  <si>
    <t>PHASER TURRET</t>
  </si>
  <si>
    <t xml:space="preserve">The JELLYFISH increases the effectiveness of its Captain Maneuver by </t>
  </si>
  <si>
    <t>Jellyfish1</t>
  </si>
  <si>
    <t>Jellyfish2</t>
  </si>
  <si>
    <t>PHASER CANNONS</t>
  </si>
  <si>
    <t xml:space="preserve">If the opponent's ship is an Explorer, the TALLA increases its Weapon Damage by </t>
  </si>
  <si>
    <t>Talla1</t>
  </si>
  <si>
    <t>Talla2</t>
  </si>
  <si>
    <t>PHASE CANNON</t>
  </si>
  <si>
    <t xml:space="preserve">The Mining Rate of Tritanium is increased by </t>
  </si>
  <si>
    <t>Envoy1</t>
  </si>
  <si>
    <t>PHASER EMITTER</t>
  </si>
  <si>
    <t xml:space="preserve">When fighting Swarm ships, The Franklin's Damage is increased by </t>
  </si>
  <si>
    <t>USS Franklin1</t>
  </si>
  <si>
    <t>USS Franklin2</t>
  </si>
  <si>
    <t>USS Franklin3</t>
  </si>
  <si>
    <t>PHASER BEAM</t>
  </si>
  <si>
    <t>Botany Bay1</t>
  </si>
  <si>
    <t>PHOTON TORPEDOES</t>
  </si>
  <si>
    <t>1.6.0</t>
  </si>
  <si>
    <t xml:space="preserve">If the opponent's ship is a Battleship, the KEHRA increases its Armor Piercing by </t>
  </si>
  <si>
    <t>Kehra1</t>
  </si>
  <si>
    <t>Kehra2</t>
  </si>
  <si>
    <t>Kehra3</t>
  </si>
  <si>
    <t>PHASER BANK</t>
  </si>
  <si>
    <t xml:space="preserve">If the opponent's ship is an Interceptor, the VAHKLAS increases its Accuracy by </t>
  </si>
  <si>
    <t>Vahklas1</t>
  </si>
  <si>
    <t>Vahklas2</t>
  </si>
  <si>
    <t>Vahklas3</t>
  </si>
  <si>
    <t>Kumari1</t>
  </si>
  <si>
    <t>Kumari2</t>
  </si>
  <si>
    <t>Kumari3</t>
  </si>
  <si>
    <t>PHASER CANNON</t>
  </si>
  <si>
    <t>PULSED PHASER</t>
  </si>
  <si>
    <t xml:space="preserve">The mining rate of 3★ Gas, Ore and Crystal is increased by % per total Officer Health point of all Officers on the ship
(0.20% of 1000 total Health gives a mining bonus of 200%) </t>
  </si>
  <si>
    <t>North Star1</t>
  </si>
  <si>
    <t xml:space="preserve">The D'Vor's Mining Bonus from the Mining Laser, when mining Raw Latinum, is increased by </t>
  </si>
  <si>
    <t xml:space="preserve">The Botany Bay's Mining Bonus from the Mining Laser, when mining Corrupted Data and Decoded Data, is increased by </t>
  </si>
  <si>
    <t>Ferengi D'Vor1</t>
  </si>
  <si>
    <t xml:space="preserve">The Mining Rate of Dilithium is increased by </t>
  </si>
  <si>
    <t xml:space="preserve">The D3 CLASS's weapon damage is increased, against Romulan ships, by </t>
  </si>
  <si>
    <t>D3 Class1</t>
  </si>
  <si>
    <t>D3 Class2</t>
  </si>
  <si>
    <t>LEFT KINETIC CANNON</t>
  </si>
  <si>
    <t>RIGHT KINETIC CANNON</t>
  </si>
  <si>
    <t>ECS Horizon1</t>
  </si>
  <si>
    <t xml:space="preserve">When defending the Station, The BORTAS increases the damage of all the other ships and Defense Platforms by </t>
  </si>
  <si>
    <t>Bortas1</t>
  </si>
  <si>
    <t>Bortas2</t>
  </si>
  <si>
    <t>Bortas3</t>
  </si>
  <si>
    <t xml:space="preserve">When fighting Hostiles, for the first round of Combat, the B'REL decreases the opponent's ship Armor Piercing, Shield Piercing and Accuracy by </t>
  </si>
  <si>
    <t>PHASER TURRETS</t>
  </si>
  <si>
    <t>B'rel1</t>
  </si>
  <si>
    <t>B'rel2</t>
  </si>
  <si>
    <t>B'rel3</t>
  </si>
  <si>
    <t xml:space="preserve">As long as the opponent has a Hull Breach, The D4 Increases its Weapon Damage, every round (cumulative) by </t>
  </si>
  <si>
    <t>D4 Class1</t>
  </si>
  <si>
    <t>D4 Class2</t>
  </si>
  <si>
    <t xml:space="preserve">The Mining Rate of Crystal is increased by </t>
  </si>
  <si>
    <t>K'Vort1</t>
  </si>
  <si>
    <t xml:space="preserve">The USS MAYFLOWER's weapon damage is increased against Klingon ships by </t>
  </si>
  <si>
    <t>USS Mayflower1</t>
  </si>
  <si>
    <t>USS Mayflower2</t>
  </si>
  <si>
    <t>USS Mayflower3</t>
  </si>
  <si>
    <t>PROTOTYPE PHASER ARRAY</t>
  </si>
  <si>
    <t xml:space="preserve">When the Station or the USS SALADIN gets attacked, it increases the Shield Health of all the ships and Defense Platforms by </t>
  </si>
  <si>
    <t>USS Saladin1</t>
  </si>
  <si>
    <t>USS Saladin2</t>
  </si>
  <si>
    <t>HIGH-IMPACT TORPEDO</t>
  </si>
  <si>
    <t>When fighting Hostiles, The USS INTREPID increases its Armor, Shield Deflection and Dodge by </t>
  </si>
  <si>
    <t>USS Intrepid1</t>
  </si>
  <si>
    <t>USS Intrepid2</t>
  </si>
  <si>
    <t>USS Intrepid3</t>
  </si>
  <si>
    <t>DISRUPTOR CANNON</t>
  </si>
  <si>
    <t>DOUBLE CANNON</t>
  </si>
  <si>
    <t>HIGH CHARGE CANNON</t>
  </si>
  <si>
    <t xml:space="preserve">As long as the ship has Morale, the USS ENTERPRISE heals the Shield Health, whenever it gets hit, by </t>
  </si>
  <si>
    <t>USS Enterprise1</t>
  </si>
  <si>
    <t>USS Enterprise2</t>
  </si>
  <si>
    <t>USS Enterprise3</t>
  </si>
  <si>
    <t>DISRUPTOR BANK</t>
  </si>
  <si>
    <t>The Mining Rate of Gas is increased by </t>
  </si>
  <si>
    <t>USS Antares1</t>
  </si>
  <si>
    <t>The LEGIONARY's weapon damage is increased, against Federation ships, by </t>
  </si>
  <si>
    <t>Legionary1</t>
  </si>
  <si>
    <t>Legionary2</t>
  </si>
  <si>
    <t>Legionary3</t>
  </si>
  <si>
    <t>Weapon 3</t>
  </si>
  <si>
    <t>When defending , The CENTURION increases the Armor, Shield deflection and Dodge of all ships and defense platforms by </t>
  </si>
  <si>
    <t>Centurion1</t>
  </si>
  <si>
    <t>Centurion2</t>
  </si>
  <si>
    <t>Centurion3</t>
  </si>
  <si>
    <t>PULSED PHASE CANNONS</t>
  </si>
  <si>
    <t>HIGH CHARGE PHASER BANK</t>
  </si>
  <si>
    <t>When fighting Hostiles, the GLADIUS increases damage by </t>
  </si>
  <si>
    <t>Gladius1</t>
  </si>
  <si>
    <t>Gladius2</t>
  </si>
  <si>
    <t>Gladius3</t>
  </si>
  <si>
    <t>PHASER LASER</t>
  </si>
  <si>
    <t>As long as the opponent's ship is Burning, if the opponent is hit with the Obliterator weapon, the AUGUR increases all weapon damage (Cumulative) by </t>
  </si>
  <si>
    <t>Augur1</t>
  </si>
  <si>
    <t>Augur2</t>
  </si>
  <si>
    <t>Augur3</t>
  </si>
  <si>
    <t>OBLITERATOR</t>
  </si>
  <si>
    <t>The Mining Rate of Ore is increased by </t>
  </si>
  <si>
    <t>Valkis1</t>
  </si>
  <si>
    <t xml:space="preserve">The Vi'dar's Damage in increased, against Borg hostiles, by </t>
  </si>
  <si>
    <t>Vi'Dar1</t>
  </si>
  <si>
    <t>Vi'Dar2</t>
  </si>
  <si>
    <t>Vi'Dar3</t>
  </si>
  <si>
    <t>RAILGUN</t>
  </si>
  <si>
    <t>The STELLA increases the reward you get from Eclipse hostiles and Armada Targets by </t>
  </si>
  <si>
    <t>Stella1</t>
  </si>
  <si>
    <t>Stella2</t>
  </si>
  <si>
    <t>Stella3</t>
  </si>
  <si>
    <t xml:space="preserve">The USS Discovery's Mycelium harvesting speed is increased by </t>
  </si>
  <si>
    <t>USS Discovery1</t>
  </si>
  <si>
    <t>USS Discovery2</t>
  </si>
  <si>
    <t>USS Discovery3</t>
  </si>
  <si>
    <t xml:space="preserve">When attacking or defending on a capture or mining node in an active Takeover, the Sarcophagus' Weapon Damage is increased by </t>
  </si>
  <si>
    <t>Sarcophagus1</t>
  </si>
  <si>
    <t>Sarcophagus2</t>
  </si>
  <si>
    <t>Sarcophagus3</t>
  </si>
  <si>
    <t>Sarcophagus4</t>
  </si>
  <si>
    <t>BLACK FLEET TORPEDO</t>
  </si>
  <si>
    <t>ISOGENIC CANNON</t>
  </si>
  <si>
    <t xml:space="preserve">The Meridian's Mining Bonus from the Mining Laser is increased, when mining Isogen, by </t>
  </si>
  <si>
    <t>Meridian1</t>
  </si>
  <si>
    <t xml:space="preserve">The ISS Jellyfish gains additional damage bonus at the start of every combat round (This bonus stacks with no limit) by </t>
  </si>
  <si>
    <t>ISS Jellyfish1</t>
  </si>
  <si>
    <t>ISS Jellyfish2</t>
  </si>
  <si>
    <t>ISS Jellyfish3</t>
  </si>
  <si>
    <t>RED MATTER TORPEDO</t>
  </si>
  <si>
    <t>B'Chor1</t>
  </si>
  <si>
    <t>LIGHT DISRUPTOR</t>
  </si>
  <si>
    <t xml:space="preserve">The Mining Rate of Gas is increased by </t>
  </si>
  <si>
    <t>USS Hydra1</t>
  </si>
  <si>
    <t>PHASER STRIP</t>
  </si>
  <si>
    <t>MICROTORPEDO</t>
  </si>
  <si>
    <t xml:space="preserve">The Mining Rate of Ore is increased by </t>
  </si>
  <si>
    <t xml:space="preserve">When defending,at the start of each round, the K'T'inga increases the Damage of all Ships and Defense Platforms by </t>
  </si>
  <si>
    <t>K'Tinga1</t>
  </si>
  <si>
    <t>K'Tinga2</t>
  </si>
  <si>
    <t>K'Tinga3</t>
  </si>
  <si>
    <t>HIGH-CHARGE TORPEDO</t>
  </si>
  <si>
    <t xml:space="preserve">The Korinar gains more resources from Hostiles by </t>
  </si>
  <si>
    <t>Korinar1</t>
  </si>
  <si>
    <t>Korinar2</t>
  </si>
  <si>
    <t>Korinar3</t>
  </si>
  <si>
    <t xml:space="preserve">As long as the opponent has a Hull Breach, every time the Hegh'ta hits it with a weapon attack, it increases the Critical Hit Chances by </t>
  </si>
  <si>
    <t>Hegh'ta1</t>
  </si>
  <si>
    <t>Hegh'ta2</t>
  </si>
  <si>
    <t>Hegh'ta3</t>
  </si>
  <si>
    <t>Hegh'ta4</t>
  </si>
  <si>
    <t>UPPER-LEFT KINETIC</t>
  </si>
  <si>
    <t>UPPER-RIGHT KINETIC CANNON</t>
  </si>
  <si>
    <t xml:space="preserve">When defending, at the start of each round, the USS Kelvin increases the Shield Piercing, Armor Piercing and Accuracy of every Ship and Defense Platform by </t>
  </si>
  <si>
    <t>USS Kelvin1</t>
  </si>
  <si>
    <t>USS Kelvin2</t>
  </si>
  <si>
    <t>USS Kelvin3</t>
  </si>
  <si>
    <t>PHOTON TORPEDO</t>
  </si>
  <si>
    <t xml:space="preserve">The USS Newton increases resources gained from Hostiles by </t>
  </si>
  <si>
    <t>CONCUSSIVE CHARGE</t>
  </si>
  <si>
    <t>USS Newton1</t>
  </si>
  <si>
    <t>USS Newton2</t>
  </si>
  <si>
    <t>USS Newton3</t>
  </si>
  <si>
    <t>USS Newton4</t>
  </si>
  <si>
    <t xml:space="preserve">As long as the USS Enterprise A has Morale , everytime it gets hit, it increases the Weapon Damage by </t>
  </si>
  <si>
    <t>USS Enterprise A1</t>
  </si>
  <si>
    <t>USS Enterprise A2</t>
  </si>
  <si>
    <t>USS Enterprise A3</t>
  </si>
  <si>
    <t>HEAVY PULSED PHASER</t>
  </si>
  <si>
    <t>MEDIUM CHARGE CANNON</t>
  </si>
  <si>
    <t xml:space="preserve">When defending, at the start of each round, the Valdore increases the Shield Deflection, Armor and Dodge of all ships and Defense platforms by </t>
  </si>
  <si>
    <t>Valdore1</t>
  </si>
  <si>
    <t>Valdore2</t>
  </si>
  <si>
    <t>Valdore3</t>
  </si>
  <si>
    <t>DISRUPTOR ARRAY</t>
  </si>
  <si>
    <t xml:space="preserve">The Pilum gains more resources from Hostiles by </t>
  </si>
  <si>
    <t>Pilum1</t>
  </si>
  <si>
    <t>Pilum2</t>
  </si>
  <si>
    <t>Pilum3</t>
  </si>
  <si>
    <t xml:space="preserve">As long as the opponent is Burning at the start of a round, the Tribune increases the number of shots of each weapon,  for this round,  by </t>
  </si>
  <si>
    <t>Tribune1</t>
  </si>
  <si>
    <t>Tribune2</t>
  </si>
  <si>
    <t>Tribune3</t>
  </si>
  <si>
    <t>HEAVY PHASER CANNON</t>
  </si>
  <si>
    <t>TYPE-5 DISRUPTOR CANNON</t>
  </si>
  <si>
    <t>Separatist D3 Class1</t>
  </si>
  <si>
    <t>Separatist D3 Class2</t>
  </si>
  <si>
    <t>Hijacked D31</t>
  </si>
  <si>
    <t>Hijacked D32</t>
  </si>
  <si>
    <t>Hijacked Legionary1</t>
  </si>
  <si>
    <t>Hijacked Legionary2</t>
  </si>
  <si>
    <t>Hijacked USS Mayflower1</t>
  </si>
  <si>
    <t>Hijacked USS Mayflower2</t>
  </si>
  <si>
    <t>Hijacked Legionary3</t>
  </si>
  <si>
    <t>Hijacked USS Mayflower3</t>
  </si>
  <si>
    <t xml:space="preserve">When fighting Swarm Hostiles or Swarm Armadas, The Franklin-A's Damage is increased by </t>
  </si>
  <si>
    <t>AugurBonuses</t>
  </si>
  <si>
    <t>B'ChorBonuses</t>
  </si>
  <si>
    <t>BortasBonuses</t>
  </si>
  <si>
    <t>Botany BayBonuses</t>
  </si>
  <si>
    <t>B'relBonuses</t>
  </si>
  <si>
    <t>CenturionBonuses</t>
  </si>
  <si>
    <t>D3 ClassBonuses</t>
  </si>
  <si>
    <t>D4 ClassBonuses</t>
  </si>
  <si>
    <t>ECS FortunateBonuses</t>
  </si>
  <si>
    <t>ECS HorizonBonuses</t>
  </si>
  <si>
    <t>EnvoyBonuses</t>
  </si>
  <si>
    <t>Ferengi D'VorBonuses</t>
  </si>
  <si>
    <t>GladiusBonuses</t>
  </si>
  <si>
    <t>Hegh'taBonuses</t>
  </si>
  <si>
    <t>Hijacked D3Bonuses</t>
  </si>
  <si>
    <t>Hijacked LegionaryBonuses</t>
  </si>
  <si>
    <t>Hijacked USS MayflowerBonuses</t>
  </si>
  <si>
    <t>ISS JellyfishBonuses</t>
  </si>
  <si>
    <t>JellyfishBonuses</t>
  </si>
  <si>
    <t>KehraBonuses</t>
  </si>
  <si>
    <t>KorinarBonuses</t>
  </si>
  <si>
    <t>K'TingaBonuses</t>
  </si>
  <si>
    <t>KumariBonuses</t>
  </si>
  <si>
    <t>K'VortBonuses</t>
  </si>
  <si>
    <t>LegionaryBonuses</t>
  </si>
  <si>
    <t>MeridianBonuses</t>
  </si>
  <si>
    <t>North StarBonuses</t>
  </si>
  <si>
    <t>Orion CorvetteBonuses</t>
  </si>
  <si>
    <t>PhindraBonuses</t>
  </si>
  <si>
    <t>PilumBonuses</t>
  </si>
  <si>
    <t>RealtaBonuses</t>
  </si>
  <si>
    <t>SarcophagusBonuses</t>
  </si>
  <si>
    <t>Separatist D3 ClassBonuses</t>
  </si>
  <si>
    <t>StellaBonuses</t>
  </si>
  <si>
    <t>TallaBonuses</t>
  </si>
  <si>
    <t>TribuneBonuses</t>
  </si>
  <si>
    <t>TurasBonuses</t>
  </si>
  <si>
    <t>USS AntaresBonuses</t>
  </si>
  <si>
    <t>USS DiscoveryBonuses</t>
  </si>
  <si>
    <t>USS EnterpriseBonuses</t>
  </si>
  <si>
    <t>USS FranklinBonuses</t>
  </si>
  <si>
    <t>USS Franklin Abonuses</t>
  </si>
  <si>
    <t>USS HydraBonuses</t>
  </si>
  <si>
    <t>USS IntrepidBonuses</t>
  </si>
  <si>
    <t>USS KelvinBonuses</t>
  </si>
  <si>
    <t>USS MayflowerBonuses</t>
  </si>
  <si>
    <t>USS NewtonBonuses</t>
  </si>
  <si>
    <t>USS SaladinBonuses</t>
  </si>
  <si>
    <t>VahklasBonuses</t>
  </si>
  <si>
    <t>ValdoreBonuses</t>
  </si>
  <si>
    <t>ValkisBonuses</t>
  </si>
  <si>
    <t>Vi'DarBonuses</t>
  </si>
  <si>
    <t>Vorta VorBonuses</t>
  </si>
  <si>
    <t>Ship Name</t>
  </si>
  <si>
    <t>Max. Level</t>
  </si>
  <si>
    <t>Crew</t>
  </si>
  <si>
    <t>Max Crew</t>
  </si>
  <si>
    <t>Firing</t>
  </si>
  <si>
    <t>Pattern</t>
  </si>
  <si>
    <t>Officer Import Data</t>
  </si>
  <si>
    <t>Officer Export Data</t>
  </si>
  <si>
    <t>Ship Import Data</t>
  </si>
  <si>
    <t>Ship Export Data</t>
  </si>
  <si>
    <t>Bonuses Import Data</t>
  </si>
  <si>
    <t>Bonuses Export Data</t>
  </si>
  <si>
    <t>Paste data from old spreadsheet in to cell R4 below.</t>
  </si>
  <si>
    <t>Deanna Troi</t>
  </si>
  <si>
    <t>Captain: Potential to be great for one member of an armada team; Officer: Increase to damage against Romulan Hostiles and Armadas</t>
  </si>
  <si>
    <t>Captain: Cumulative damage to armadas; Officer: Increase to damage against Federation Hostiles and Armadas</t>
  </si>
  <si>
    <t>Worf</t>
  </si>
  <si>
    <t>Captain: Limited use; Officer: Not as strong as Beverly, similar to Moreau but increases your mitigation, rather than decreasing hostile's penetration.</t>
  </si>
  <si>
    <t>Calculate stat</t>
  </si>
  <si>
    <t>Increases Weapon Damage against Romulan Hostiles and Armadas</t>
  </si>
  <si>
    <t>Reduces the Crit Chance of Armada Targets</t>
  </si>
  <si>
    <t>Increases all Mitigation stats against non-player targets</t>
  </si>
  <si>
    <t>After winning a battle, Worf increases the Warp Speed of the ship. This bonus does not stack, and is removed when returning to your station.</t>
  </si>
  <si>
    <t>Sort Roster Alphabetically</t>
  </si>
  <si>
    <t>Reapply filter to all docks roster section, including rarity column</t>
  </si>
  <si>
    <t>Add New Presets</t>
  </si>
  <si>
    <t>Armadas - Breach ship loadout(Gorkon)</t>
  </si>
  <si>
    <t>Used as a support ship for armada to apply breach to the armada that the whole team benefits from. this is run with Morale to increase survivability.</t>
  </si>
  <si>
    <t>Armadas - Breach ship loadout(Lorca)</t>
  </si>
  <si>
    <t>Used as a support ship for armada to apply burning to the armada that the whole team benefits from. this is run with Morale to increase survivability.</t>
  </si>
  <si>
    <t>Armadas - Burning ship loadout(Nero)</t>
  </si>
  <si>
    <t>Used as a support ship for armada to apply burning to the armada that the whole team benefits from. this is run with Morale to increase survivability. If you have Georgiou, then her burning ability is more reliable and should be used over this crew ideally.</t>
  </si>
  <si>
    <t>Armadas - Early Level - Burning (No Epics)</t>
  </si>
  <si>
    <t>Armadas - Early Level - Hull Breach (No Epics)</t>
  </si>
  <si>
    <t>Armadas - Early Level - Morale (No Epics)</t>
  </si>
  <si>
    <t>Gaila Must be MAXED for best results. added benefit over using the pike version of this crew due to the Crit damage officer ability from Picard. This crew reduces critical DAMAGE (different to Critical hit CHANCE). multiple may be required to fully remove all damage when fighting armadas. Scan the armada and check its critical damage to find out how much you need to remove. this crew with maxed Gaila will reduce crit damage by 110%</t>
  </si>
  <si>
    <t>Gaila Must be MAXED for best results. This crew reduces critical DAMAGE (different to Critical hit CHANCE). multiple may be required to fully remove all damage when fighting armadas. Scan the armada and check its critical damage to find out how much you need to remove. this crew with maxed Gaila will reduce crit damage by 110%</t>
  </si>
  <si>
    <t>Armadas - Max Loot</t>
  </si>
  <si>
    <t>Armadas - Riker and Morale</t>
  </si>
  <si>
    <t>Stack for defence for Spock</t>
  </si>
  <si>
    <t>Armadas - Riker plus Penetration</t>
  </si>
  <si>
    <t>Armadas - Very Early Level - Cadets</t>
  </si>
  <si>
    <t>Very Basic crew. This crew would only be used by under level 20 players wanting to try their arm in an armada. once you start to build your officer deck move to the other Early level crew suggestions ASAP.</t>
  </si>
  <si>
    <t>Critical Build</t>
  </si>
  <si>
    <t>Best on an Interceptor</t>
  </si>
  <si>
    <t>Enterprise - PVP General</t>
  </si>
  <si>
    <t>Generic if unknown opponent. Stack lower decks for Defense to feed Zhou mitigation ability.</t>
  </si>
  <si>
    <t>Max Morale - Max Shield regeneration</t>
  </si>
  <si>
    <t>Bones as Captain here boosts Spocks ability over 1000% shield Regeneration. Bones and Spock MUST be maxed and kirk needed for Morale and additional synergy. Without Bones and Spock maxed use different morale crew with Kirk as captain.</t>
  </si>
  <si>
    <t>Mining - Data Max Speed</t>
  </si>
  <si>
    <t>Promotion of side officers will increase speed further.</t>
  </si>
  <si>
    <t>Territory Capture - Revival Crew</t>
  </si>
  <si>
    <t>TOS mining node defense</t>
  </si>
  <si>
    <t>Added New Ships screen to keep track of ship levels, and display ship bonuses and firing patterns. Added new officers Deanna Troi and Worf. Added Riker and Meridian to Google Sheets version, as they had been missed. Added more pre-set crews. Added Bonuses and Ships to the Migration screen.</t>
  </si>
  <si>
    <t xml:space="preserve">If the opponent's ship is an Explorer, the KUMARI increases its Shield Piercing by </t>
  </si>
  <si>
    <t>Accelerated Bioforming</t>
  </si>
  <si>
    <t>Speedups</t>
  </si>
  <si>
    <t>Service Awards</t>
  </si>
  <si>
    <t>Latinum</t>
  </si>
  <si>
    <t>Physicist</t>
  </si>
  <si>
    <t>Engineer</t>
  </si>
  <si>
    <t>Inventor</t>
  </si>
  <si>
    <t>Scientist</t>
  </si>
  <si>
    <t>Address The High Council</t>
  </si>
  <si>
    <t>Away Teams Credits</t>
  </si>
  <si>
    <t>Klingon Credits</t>
  </si>
  <si>
    <t>Relentless</t>
  </si>
  <si>
    <t>Dedicated</t>
  </si>
  <si>
    <t>Ruthless</t>
  </si>
  <si>
    <t>Chancellor</t>
  </si>
  <si>
    <t>Rare Star Charts</t>
  </si>
  <si>
    <t>Tactical</t>
  </si>
  <si>
    <t>Security</t>
  </si>
  <si>
    <t>Warrior</t>
  </si>
  <si>
    <t>Bat'leth Training</t>
  </si>
  <si>
    <t>Premium Recruit Tokens</t>
  </si>
  <si>
    <t>Bloodwine Contest</t>
  </si>
  <si>
    <t>Klingon Rep</t>
  </si>
  <si>
    <t>Calculated Treachery</t>
  </si>
  <si>
    <t>Romulan Rep</t>
  </si>
  <si>
    <t>Romulan Credits</t>
  </si>
  <si>
    <t>Calculated</t>
  </si>
  <si>
    <t>Mastermind</t>
  </si>
  <si>
    <t>Analytical</t>
  </si>
  <si>
    <t>Criminal</t>
  </si>
  <si>
    <t>Collective Bargaining</t>
  </si>
  <si>
    <t>Inert Nanoprobes</t>
  </si>
  <si>
    <t>Active Nanoprobes</t>
  </si>
  <si>
    <t>Fluffy</t>
  </si>
  <si>
    <t>Miner</t>
  </si>
  <si>
    <t>Assimilated</t>
  </si>
  <si>
    <t>Deep Space Reconnaissance</t>
  </si>
  <si>
    <t>Explorer</t>
  </si>
  <si>
    <t>Diplomatic Relations</t>
  </si>
  <si>
    <t>Officer XP</t>
  </si>
  <si>
    <t>Diplomat</t>
  </si>
  <si>
    <t>Federation Rep</t>
  </si>
  <si>
    <t>Federation Credits</t>
  </si>
  <si>
    <t>Cautious</t>
  </si>
  <si>
    <t>Doctor</t>
  </si>
  <si>
    <t>Raw Ore</t>
  </si>
  <si>
    <t>Common Ore</t>
  </si>
  <si>
    <t>Explore Galactic Barrier</t>
  </si>
  <si>
    <t>TOS Spock Shards</t>
  </si>
  <si>
    <t>Psionic</t>
  </si>
  <si>
    <t>Ambitious</t>
  </si>
  <si>
    <t>Form Trade Agreement</t>
  </si>
  <si>
    <t>Charming</t>
  </si>
  <si>
    <t>Empathic</t>
  </si>
  <si>
    <t>Trader</t>
  </si>
  <si>
    <t>Charismatic</t>
  </si>
  <si>
    <t>Geological Evaluation (Crystal)</t>
  </si>
  <si>
    <t>Common Crystal</t>
  </si>
  <si>
    <t>Uncommon Crystal</t>
  </si>
  <si>
    <t>Geological Evaluation (Gas)</t>
  </si>
  <si>
    <t>Common Gas</t>
  </si>
  <si>
    <t>Uncommon Gas</t>
  </si>
  <si>
    <t>Geological Evaluation (Ore)</t>
  </si>
  <si>
    <t>Archaeologist</t>
  </si>
  <si>
    <t>Genius</t>
  </si>
  <si>
    <t>Geothermal Conditioning (Crystal)</t>
  </si>
  <si>
    <t>Geothermal Conditioning (Gas)</t>
  </si>
  <si>
    <t>Augment</t>
  </si>
  <si>
    <t>Geothermal Conditioning (Ore)</t>
  </si>
  <si>
    <t>Uncommon Ore</t>
  </si>
  <si>
    <t>Host Ambassador</t>
  </si>
  <si>
    <t>Imperial Strategy</t>
  </si>
  <si>
    <t>Leader</t>
  </si>
  <si>
    <t>Manipulative</t>
  </si>
  <si>
    <t>Investigate Borg Signal</t>
  </si>
  <si>
    <t>Specialist</t>
  </si>
  <si>
    <t>Lead Expedition</t>
  </si>
  <si>
    <t>Impulsive</t>
  </si>
  <si>
    <t>Intimidating</t>
  </si>
  <si>
    <t>Survivor</t>
  </si>
  <si>
    <t>Low Orbit Flyby</t>
  </si>
  <si>
    <t>Axionic Biochips</t>
  </si>
  <si>
    <t>Ship XP</t>
  </si>
  <si>
    <t>Pilot</t>
  </si>
  <si>
    <t>Mek'ba Judiciary</t>
  </si>
  <si>
    <t>Advisor</t>
  </si>
  <si>
    <t>Trait XP</t>
  </si>
  <si>
    <t>Patriotic</t>
  </si>
  <si>
    <t>Resourceful</t>
  </si>
  <si>
    <t>Uncompromising</t>
  </si>
  <si>
    <t>Repair Speedups</t>
  </si>
  <si>
    <t>Research and Development</t>
  </si>
  <si>
    <t>Focused</t>
  </si>
  <si>
    <t>Rite of MajQa</t>
  </si>
  <si>
    <t>Cybernetic</t>
  </si>
  <si>
    <t>Smuggle Cybernetics</t>
  </si>
  <si>
    <t>Adaptable</t>
  </si>
  <si>
    <t>Rogue</t>
  </si>
  <si>
    <t>Thief</t>
  </si>
  <si>
    <t>Terraforming Expedition</t>
  </si>
  <si>
    <t>Time Heist</t>
  </si>
  <si>
    <t>Escape Artist</t>
  </si>
  <si>
    <t>Mission Name</t>
  </si>
  <si>
    <t>Key Stat</t>
  </si>
  <si>
    <t>Trait 1</t>
  </si>
  <si>
    <t>Trait 2</t>
  </si>
  <si>
    <t>Trait 3</t>
  </si>
  <si>
    <t>Trait 4</t>
  </si>
  <si>
    <t>Reliable</t>
  </si>
  <si>
    <t>Planetary Survey</t>
  </si>
  <si>
    <t>Surveyor</t>
  </si>
  <si>
    <t>Boarding Party</t>
  </si>
  <si>
    <t>Epic Star Charts</t>
  </si>
  <si>
    <t>Marksman</t>
  </si>
  <si>
    <t>Android</t>
  </si>
  <si>
    <t>Perceptive</t>
  </si>
  <si>
    <t>Deceptive</t>
  </si>
  <si>
    <t>Astronomer</t>
  </si>
  <si>
    <t>Spy</t>
  </si>
  <si>
    <t>Admiral</t>
  </si>
  <si>
    <t>Primary Rewards</t>
  </si>
  <si>
    <t>Crit Rewards</t>
  </si>
  <si>
    <t>Raw Crystal</t>
  </si>
  <si>
    <t>Raw Gas</t>
  </si>
  <si>
    <t>Observing Kolinahr</t>
  </si>
  <si>
    <t>Ore Contractor</t>
  </si>
  <si>
    <t>Broken Battleship Parts</t>
  </si>
  <si>
    <t>Uncommon G4 Battleship Parts</t>
  </si>
  <si>
    <t>Salvage Operation (Explorer)</t>
  </si>
  <si>
    <t>Broken Explorer Parts</t>
  </si>
  <si>
    <t>Uncommon G4 Explorer Parts</t>
  </si>
  <si>
    <t>Salvage Operation (Interceptor)</t>
  </si>
  <si>
    <t>Broken Interceptor Parts</t>
  </si>
  <si>
    <t>Uncommon G4 Interceptor Parts</t>
  </si>
  <si>
    <t>Undercover Mission</t>
  </si>
  <si>
    <t>Traits</t>
  </si>
  <si>
    <t>Captain: Better version of T'Pring's Gas bonus; Officer: At rank 1 already better than a maxed T'Pring.</t>
  </si>
  <si>
    <t>Captain: **FIXED** - Correctly gives 2 rounds of Morale.</t>
  </si>
  <si>
    <t>Tasha Yar</t>
  </si>
  <si>
    <t>Captain: Eliminates critical chance on yellow bosses; Officer: Increases damage, might be good with Picard/Bev combo.</t>
  </si>
  <si>
    <t>Reduces the Crit Chance of Mission Hostiles (yellow hostiles)</t>
  </si>
  <si>
    <t>Increases all Weapon Damage against non-player targets</t>
  </si>
  <si>
    <t>Increases Gas mining speed</t>
  </si>
  <si>
    <t>Forensic Investigation</t>
  </si>
  <si>
    <t>Merits of Honor</t>
  </si>
  <si>
    <t>Senate Hearing</t>
  </si>
  <si>
    <t>OfficersAvailable and OfficersAvailableAll</t>
  </si>
  <si>
    <t>Armadas - Borg - Sacrificial Lamb</t>
  </si>
  <si>
    <t>Interceptor - No Lorca</t>
  </si>
  <si>
    <t>Substitute when you do not have Lorca. Cat tilly promotions should be priority but effective with her at t1. this is a generic crew, can change Khan for a trinity officer if you know what you are fighting.</t>
  </si>
  <si>
    <t>Isogen - Defence Crew</t>
  </si>
  <si>
    <t>Best used on Isogen in meridian, where speed and protection officers have little overall effect. Most hunt in Vidars with speed crews and a similar power Meridian can beat the vidar with this crew.</t>
  </si>
  <si>
    <t>Statistics</t>
  </si>
  <si>
    <t>Officer Name</t>
  </si>
  <si>
    <t>Page</t>
  </si>
  <si>
    <t>Description</t>
  </si>
  <si>
    <t>Add New Away Missions</t>
  </si>
  <si>
    <t>And Traits</t>
  </si>
  <si>
    <t>Select Away Mission</t>
  </si>
  <si>
    <t>Critical Reward</t>
  </si>
  <si>
    <t>Trait</t>
  </si>
  <si>
    <t>Officers</t>
  </si>
  <si>
    <t>1.7.0</t>
  </si>
  <si>
    <t>theJ - For the initial concept, and ongoing maintenance of the Away Teams and Traits.</t>
  </si>
  <si>
    <t>Arbiter of Succession</t>
  </si>
  <si>
    <t>Crystal Contractor</t>
  </si>
  <si>
    <t>Added new feature, Away Teams and Traits. Correct Kumari ability description. Correct Bonus Export label on Google Sheets. Correct Sulu Morale error in preset crews. Remove Territory Bonuses from Migration Sheet as they were not working properly.</t>
  </si>
  <si>
    <t>Captain: Better version of Stonn Ore bonus; Officer: At rank 1 already better than a maxed Stonn.</t>
  </si>
  <si>
    <t>Honorguard Worf</t>
  </si>
  <si>
    <t>Captain: Weak increase to Piercing, especially compared to Charvanek; Officer: Great increase to critical, straight out of the box; good for early round wins.</t>
  </si>
  <si>
    <t>Increase Ore mining speed</t>
  </si>
  <si>
    <t>When fighting other players, increases Armor Piercing by % of Crew Attack whenever ship scores a critical hit</t>
  </si>
  <si>
    <t>Khitomer's Revenge</t>
  </si>
  <si>
    <t>For the first 8 rounds of combat against other players, increases the Critical Hit Chance of the ship</t>
  </si>
  <si>
    <t>Add New Officers to Away Missions and Traits alphabetically</t>
  </si>
  <si>
    <t>Armadas - Max Crit Damage reducer (Picard)</t>
  </si>
  <si>
    <t>Armadas - Max Crit Damage reducer (Pike)</t>
  </si>
  <si>
    <t>Never use Chen for swarms.Better to use Pike version of this crew if you need to level the ship you are using at the same time. stack defence for Beverley</t>
  </si>
  <si>
    <t>Better to use Pike version of this crew if you need to level the ship you are using at the same time. stack defence for Beverley</t>
  </si>
  <si>
    <t>Armadas - Max Damage crew</t>
  </si>
  <si>
    <t>Armadas - Riker/Bev/Khan</t>
  </si>
  <si>
    <t>Stack defence for Beverley. Beverley adds Synergy to Riker, increasing damage output and khan increase crit rate. Beverley Level is the higher the better for increased mitigation, but this will hit the maximum mitigation cap even at lower ranks providing you have the officer stats to back it up.</t>
  </si>
  <si>
    <t>Tpring and dupont can be interchanged pending which is the higher rank</t>
  </si>
  <si>
    <t>Armadas - Troi crit reducer - Normal Armadas</t>
  </si>
  <si>
    <t>Normal armadas have a crit chance of 10% this crew will remove all critical shots thrown by the armada. Whilst still providing the survivability offered by Kirk and Spock. ON G3 ENTERPRISE ONLY: swap Spock for Khan/Decius</t>
  </si>
  <si>
    <t>Armadas - Troi crit reducer - Exchange Armadas</t>
  </si>
  <si>
    <t>Armadas - Troi crit reducer - Swarm Armadas</t>
  </si>
  <si>
    <t>Normal armadas have a crit chance of 10% this crew will remove all critical shots thrown by the armada. Whilst still providing the survivability offered by Kirk and Spock. If you have Jaylah then swap Kirk for Jaylah and Khan for spock.</t>
  </si>
  <si>
    <t>1.7.1</t>
  </si>
  <si>
    <t>Double Agent Interrogation</t>
  </si>
  <si>
    <t>Recruit Tokens</t>
  </si>
  <si>
    <t>First Contact</t>
  </si>
  <si>
    <t>Methodical Ambush</t>
  </si>
  <si>
    <t>G4 Common Battleship Parts</t>
  </si>
  <si>
    <t>Ultra Recruit Tokens</t>
  </si>
  <si>
    <t>Data/Kras Shards</t>
  </si>
  <si>
    <t>G4 Common Explorer Parts</t>
  </si>
  <si>
    <t>Salvage Operation (Battleship)</t>
  </si>
  <si>
    <t>Salvage Operation (Survey)</t>
  </si>
  <si>
    <t>Broken Survey Parts</t>
  </si>
  <si>
    <t>Scientific Breakthrough (ops &lt;30)</t>
  </si>
  <si>
    <t>Scientific Breakthrough (ops 30+)</t>
  </si>
  <si>
    <t>Sensor Analysis (ops &lt;20)</t>
  </si>
  <si>
    <t>Axionic Chips</t>
  </si>
  <si>
    <t>Data Shards</t>
  </si>
  <si>
    <t>Michael Burnham Shards</t>
  </si>
  <si>
    <t>Tier</t>
  </si>
  <si>
    <t>Away Teams</t>
  </si>
  <si>
    <t>Overview</t>
  </si>
  <si>
    <t>Analysis</t>
  </si>
  <si>
    <t>Tier 1</t>
  </si>
  <si>
    <t>Tier 2</t>
  </si>
  <si>
    <t>Tier 3</t>
  </si>
  <si>
    <t>Rewards</t>
  </si>
  <si>
    <t xml:space="preserve">Officer Tool by StewieDøø </t>
  </si>
  <si>
    <t>Alliance Exocomp</t>
  </si>
  <si>
    <t>Meridian Shipment (Incomplete)</t>
  </si>
  <si>
    <t>Wargames (Incomplete)</t>
  </si>
  <si>
    <t>Warzone Reclamation</t>
  </si>
  <si>
    <t>G4 Interceptor Parts</t>
  </si>
  <si>
    <t>Xenoarchaeology Trip</t>
  </si>
  <si>
    <t>Matching Traits</t>
  </si>
  <si>
    <t>Officer Match</t>
  </si>
  <si>
    <t>Suitable Missions for Officer</t>
  </si>
  <si>
    <t>Matching Officers</t>
  </si>
  <si>
    <t>Matching Missions</t>
  </si>
  <si>
    <t>Reward</t>
  </si>
  <si>
    <t>Top Traits</t>
  </si>
  <si>
    <t>Top Officers</t>
  </si>
  <si>
    <t>Display</t>
  </si>
  <si>
    <t>Total of all officer's Traits appearance.</t>
  </si>
  <si>
    <t>Matching Rewards</t>
  </si>
  <si>
    <t>Data: "I am programed in multiple techniques."</t>
  </si>
  <si>
    <t>1.7.2</t>
  </si>
  <si>
    <t>One Of Eleven</t>
  </si>
  <si>
    <t>If Dupont not attained can use a side of synergy for Joachim or One Of Eleven as a replacement. Although Recommended Levels are all set as one, the higher the two side officers are the greater your protection.</t>
  </si>
  <si>
    <t>Stack lower decks for Health. The higher One Of Eleven and T'Pring are, the better.</t>
  </si>
  <si>
    <t>Two Of Eleven</t>
  </si>
  <si>
    <t>Three Of Eleven</t>
  </si>
  <si>
    <t>Mining - Max Protected Cargo - no Three Of Eleven</t>
  </si>
  <si>
    <t>Mining - Max Gas mining Rate Three Of Eleven</t>
  </si>
  <si>
    <t>Mining - Max Protected Cargo Three Of Eleven</t>
  </si>
  <si>
    <t>Four Of Eleven</t>
  </si>
  <si>
    <t>Add new Traits Analysis sheet, Trait Overview now shows Trait Level in table, and colour codes Green and Red for trained and untrained. Added New officers Four Of Eleven and Honorguard Worf. Added new preset crews. Added more Away Mission. Corrected incorrect rarity for Scotty on Migration screen. Change preset Notes to Wrap instead of Overwrite. Fix Orion and Realta ship skill description to cater for non percentage units.</t>
  </si>
  <si>
    <t>Five Of Eleven</t>
  </si>
  <si>
    <t>Captiain: Increase loot, similar to Five Of Eleven BUT: for Franky only; Officer: Great increase in firepower against Swarms on any Franky.</t>
  </si>
  <si>
    <t>Six Of Eleven</t>
  </si>
  <si>
    <t>Seven Of Eleven</t>
  </si>
  <si>
    <t>Eight Of Eleven</t>
  </si>
  <si>
    <t>Nine Of Eleven</t>
  </si>
  <si>
    <t>Should fill cargo providing Vi'dar is at least tier 7 with the top gun upgraded. Five Of Eleven can be swapped in for 8 or Nine Of Eleven if you have her - This would increase your loot drops and speed up your run</t>
  </si>
  <si>
    <t>Ten Of Eleven</t>
  </si>
  <si>
    <t>This provides full synergy to captain increasing mining speed. Any of the 'Surveyors &amp; Miners' group can be used in the officer slots with the same effect - Providing one of each officer class is present on the bridge. One side of synergy can be swapped for Ten Of Eleven for even faster speeds</t>
  </si>
  <si>
    <t>Stack lower decks for Health. The higher Ten Of Eleven and Stonn are, the better.</t>
  </si>
  <si>
    <t>Officer: Tooltip is now correct, he increases your Defense Mitigation; try to max him; DOES NOT WORK for Armadas</t>
  </si>
  <si>
    <t>Eleven Of Eleven</t>
  </si>
  <si>
    <t>Captain: Better version of Barot's Crystal bonus; Officer: Warp speed bost, not worth the cost to upgrade whilst you have other Borg officers still to do.</t>
  </si>
  <si>
    <t>Sela</t>
  </si>
  <si>
    <t>Captain: Boost to critical when cloaked; Officer: Reduces opponent player's crit chance with every hit. Great anti Khan or Hon. Worf</t>
  </si>
  <si>
    <t>Tomalak</t>
  </si>
  <si>
    <t>Pride Of Romulus</t>
  </si>
  <si>
    <t>Decrease enemy player's Critical Hit Chance every time the ship scores a hit</t>
  </si>
  <si>
    <t>Increase Critical Hit Damage while cloaked</t>
  </si>
  <si>
    <t>Increase Weapon Damage against Klingon targets by % of crew attack</t>
  </si>
  <si>
    <t>Increase Penetration while cloaked</t>
  </si>
  <si>
    <t>Lorca can be substituted for Gorkon if not attained, but Lorca has provided better results</t>
  </si>
  <si>
    <t>Anti Explorer - Honorguard Worf</t>
  </si>
  <si>
    <t>Anti Interceptor - Honorguard Worf</t>
  </si>
  <si>
    <t>General PVP - Honorguard Worf</t>
  </si>
  <si>
    <t>Lorca can be substituted for Gorkon if not attained, but Lorca has provided better results. Also if gorkon is used then replace Captain Tilly for Kerla</t>
  </si>
  <si>
    <t>Heavy Traders - Augur / ISS Jellyfish</t>
  </si>
  <si>
    <t>Any non-science class officer of the 'Unimatrix twelve' Group can be substituted for Four Of Eleven if not attained.</t>
  </si>
  <si>
    <t>Mining - Crystal - Borg only</t>
  </si>
  <si>
    <t>Any Command class officer from unimatrix twelve group can be swapped for 3 of 11 if needed for the same result.</t>
  </si>
  <si>
    <t>Mining - Gas - Borg only</t>
  </si>
  <si>
    <t>Any science class officer from unimatrix twelve group can be swapped for 7 of 11 if needed for the same result.</t>
  </si>
  <si>
    <t>Mining - Ore - Borg only</t>
  </si>
  <si>
    <t>Swarms - Max Loot</t>
  </si>
  <si>
    <t>Armed Escort (ops &lt;30)</t>
  </si>
  <si>
    <t>Armed Escort (ops 30+)</t>
  </si>
  <si>
    <t>Emergency Evacuation (ops &lt;30)</t>
  </si>
  <si>
    <t>Emergency Evacuation (ops 30+)</t>
  </si>
  <si>
    <t>Experimental Procedures (ops &lt;30)</t>
  </si>
  <si>
    <t>Experimental Procedures (ops 30-39)</t>
  </si>
  <si>
    <t>3* Raw Materials</t>
  </si>
  <si>
    <t>3* Common Materials</t>
  </si>
  <si>
    <t>Experimental Procedures (ops 40+)</t>
  </si>
  <si>
    <t>4* Raw Materials</t>
  </si>
  <si>
    <t>4* Common Materials</t>
  </si>
  <si>
    <t>Gas Contractor (ops &lt;30)</t>
  </si>
  <si>
    <t>Gas Contractor (ops 30+)</t>
  </si>
  <si>
    <t>Peace Treaty (A)</t>
  </si>
  <si>
    <t>Peace Treaty (B)</t>
  </si>
  <si>
    <t>Pike Shards</t>
  </si>
  <si>
    <t>Rescue Attempt (ops &lt;30)</t>
  </si>
  <si>
    <t>Rescue Attempt (ops 30+)</t>
  </si>
  <si>
    <t>Stellar Cartography (ops &lt;30)</t>
  </si>
  <si>
    <t>Stellar Cartography (ops 30+)</t>
  </si>
  <si>
    <t>Tactical Simulator (ops &lt;30)</t>
  </si>
  <si>
    <t>Tactical Simulator (ops 30+)</t>
  </si>
  <si>
    <t>Subterranean Excursion (Crystal ops &lt;30)</t>
  </si>
  <si>
    <t>Subterranean Excursion (Gas ops &lt;30)</t>
  </si>
  <si>
    <t>Hypospray Tech - Away</t>
  </si>
  <si>
    <t>Prime Survival Skills - Galaxy</t>
  </si>
  <si>
    <t>ATA Score</t>
  </si>
  <si>
    <t>Top ATA Scores</t>
  </si>
  <si>
    <t>Top_Officers</t>
  </si>
  <si>
    <t>Added new Prime Officer Bonus. Added new Officer, Sela, Eleven of Eleven and Tomalak. Converted all the Borg names to text, from numbers, and renamed to account for the the change to Eleven, including modification to the Migration screen to maintain backward compatibility. Fixed 0712 appearing as number in Google Sheets version, in the ATA Overview dropdown. Updates and 14 new additions to ATA missions. Added 10 new preset crews. Change Trait Export section to use formulas. Added Officer stat scores for ATA missions.</t>
  </si>
  <si>
    <t>AwayMissionsRewardsAll, AwayMissionsNames, AwayMissionsFull, AwayMissionsTraitsAll</t>
  </si>
  <si>
    <t>1.7.3</t>
  </si>
  <si>
    <t>140%</t>
  </si>
  <si>
    <t>240%</t>
  </si>
  <si>
    <t>Corvus</t>
  </si>
  <si>
    <t>CorvusAbility</t>
  </si>
  <si>
    <t>CorvusCrew</t>
  </si>
  <si>
    <t>CorvusBonuses</t>
  </si>
  <si>
    <t xml:space="preserve">Each time the Corvus is hit, it increases the Armor Piercing, Shield Piercing, and Accuracy (Cumulative) by  </t>
  </si>
  <si>
    <t>40%</t>
  </si>
  <si>
    <t>45%</t>
  </si>
  <si>
    <t>50%</t>
  </si>
  <si>
    <t>55%</t>
  </si>
  <si>
    <t>60%</t>
  </si>
  <si>
    <t>65%</t>
  </si>
  <si>
    <t>70%</t>
  </si>
  <si>
    <t>75%</t>
  </si>
  <si>
    <t>80%</t>
  </si>
  <si>
    <t>85%</t>
  </si>
  <si>
    <t>90%</t>
  </si>
  <si>
    <t>95%</t>
  </si>
  <si>
    <t>100%</t>
  </si>
  <si>
    <t>105%</t>
  </si>
  <si>
    <t>110%</t>
  </si>
  <si>
    <t>115%</t>
  </si>
  <si>
    <t>120%</t>
  </si>
  <si>
    <t>125%</t>
  </si>
  <si>
    <t>130%</t>
  </si>
  <si>
    <t>135%</t>
  </si>
  <si>
    <t>145%</t>
  </si>
  <si>
    <t>150%</t>
  </si>
  <si>
    <t>155%</t>
  </si>
  <si>
    <t>160%</t>
  </si>
  <si>
    <t>165%</t>
  </si>
  <si>
    <t>170%</t>
  </si>
  <si>
    <t>175%</t>
  </si>
  <si>
    <t>180%</t>
  </si>
  <si>
    <t>185%</t>
  </si>
  <si>
    <t>190%</t>
  </si>
  <si>
    <t>195%</t>
  </si>
  <si>
    <t>200%</t>
  </si>
  <si>
    <t>205%</t>
  </si>
  <si>
    <t>210%</t>
  </si>
  <si>
    <t>215%</t>
  </si>
  <si>
    <t>220%</t>
  </si>
  <si>
    <t>225%</t>
  </si>
  <si>
    <t>230%</t>
  </si>
  <si>
    <t>235%</t>
  </si>
  <si>
    <t>245%</t>
  </si>
  <si>
    <t>250%</t>
  </si>
  <si>
    <t>255%</t>
  </si>
  <si>
    <t>260%</t>
  </si>
  <si>
    <t>265%</t>
  </si>
  <si>
    <t>270%</t>
  </si>
  <si>
    <t>275%</t>
  </si>
  <si>
    <t>Corvus1</t>
  </si>
  <si>
    <t>Corvus2</t>
  </si>
  <si>
    <t>Corvus3</t>
  </si>
  <si>
    <t>D'Deridex</t>
  </si>
  <si>
    <t>D'DeridexAbility</t>
  </si>
  <si>
    <t>D'DeridexCrew</t>
  </si>
  <si>
    <t>D'DeridexBonuses</t>
  </si>
  <si>
    <t xml:space="preserve">As long as the opponent is Burning, the D'deridex increases the number of shots of each weapon (cumulative) by </t>
  </si>
  <si>
    <t>Abilities</t>
  </si>
  <si>
    <t>Increase Weapon Damage of Interceptors against Players</t>
  </si>
  <si>
    <t>Orion Syndicate Level</t>
  </si>
  <si>
    <t xml:space="preserve">Officer Attack Bonus </t>
  </si>
  <si>
    <t xml:space="preserve">Officer Defence Bonus </t>
  </si>
  <si>
    <t xml:space="preserve">Officer Health Bonus </t>
  </si>
  <si>
    <t>Orion Bonuses</t>
  </si>
  <si>
    <t>D'Deridex1</t>
  </si>
  <si>
    <t>D'Deridex2</t>
  </si>
  <si>
    <t>D'Deridex3</t>
  </si>
  <si>
    <t>NovaAbility</t>
  </si>
  <si>
    <t>NovaCrew</t>
  </si>
  <si>
    <t>NovaBonuses</t>
  </si>
  <si>
    <t xml:space="preserve">When mining 5* Crystal, Gas and Ore, The Nova's mining speed is increased by </t>
  </si>
  <si>
    <t>Nova1</t>
  </si>
  <si>
    <t>PULSED PHARER</t>
  </si>
  <si>
    <t>Nova</t>
  </si>
  <si>
    <t>Quv'Sompek</t>
  </si>
  <si>
    <t>Quv'SompekAbility</t>
  </si>
  <si>
    <t>Quv'SompekCrew</t>
  </si>
  <si>
    <t>Quv'SompekBonuses</t>
  </si>
  <si>
    <t xml:space="preserve">When fighting Hostiles, the Quv'Sompek decreases Hostile Armor Piercing, Shield Piercing, and Accuracy, for the first 5 rounds of combat, by  </t>
  </si>
  <si>
    <t>Quv'Sompek1</t>
  </si>
  <si>
    <t>Quv'Sompek2</t>
  </si>
  <si>
    <t>Quv'Sompek3</t>
  </si>
  <si>
    <t>RotarranAbility</t>
  </si>
  <si>
    <t xml:space="preserve">As long as the opponent has a Hull Breach, every time the Rotarran deals a Critical Hit with a weapon attack, it increases the Critical Hit Damage (cumulative) by </t>
  </si>
  <si>
    <t>RotarranCrew</t>
  </si>
  <si>
    <t>RotarranBonuses</t>
  </si>
  <si>
    <t>Rotarran1</t>
  </si>
  <si>
    <t>Rotarran2</t>
  </si>
  <si>
    <t>Rotarran3</t>
  </si>
  <si>
    <t>Rotarran</t>
  </si>
  <si>
    <t>Rotarran4</t>
  </si>
  <si>
    <t>SanctusAbility</t>
  </si>
  <si>
    <t>SanctusCrew</t>
  </si>
  <si>
    <t>SanctusBonuses</t>
  </si>
  <si>
    <t xml:space="preserve">When fighting Hostiles, at the beginning of each round for the first 5 rounds of combat, the Sanctus decreases Hostile Shield Health by </t>
  </si>
  <si>
    <t>Sanctus1</t>
  </si>
  <si>
    <t>Sanctus2</t>
  </si>
  <si>
    <t>Sanctus3</t>
  </si>
  <si>
    <t>Sanctus</t>
  </si>
  <si>
    <t>USS Crozier</t>
  </si>
  <si>
    <t>USS CrozierAbility</t>
  </si>
  <si>
    <t>USS CrozierCrew</t>
  </si>
  <si>
    <t>USS CrozierBonuses</t>
  </si>
  <si>
    <t xml:space="preserve">When fighting Hostiles, for the first 5 rounds of combat, the USS Crozier decreases Hostile Critical Hit Damage by </t>
  </si>
  <si>
    <t>USS Crozier1</t>
  </si>
  <si>
    <t>USS Crozier2</t>
  </si>
  <si>
    <t>USS Crozier3</t>
  </si>
  <si>
    <t>USS Enterprise D</t>
  </si>
  <si>
    <t>USS Enterprise DCrew</t>
  </si>
  <si>
    <t>USS Enterprise DAbility</t>
  </si>
  <si>
    <t>USS Enterprise DBonuses</t>
  </si>
  <si>
    <t>USS Enterprise ABonuses</t>
  </si>
  <si>
    <t xml:space="preserve">As long as the ship has Morale, the USS Enterprise-D increases the Weapon Damage, each round (cumulative), by </t>
  </si>
  <si>
    <t>USS Enterprise D1</t>
  </si>
  <si>
    <t>USS Enterprise D2</t>
  </si>
  <si>
    <t>USS Enterprise D3</t>
  </si>
  <si>
    <t>USS Franklin A1</t>
  </si>
  <si>
    <t>USS Franklin A2</t>
  </si>
  <si>
    <t>USS Franklin A3</t>
  </si>
  <si>
    <t>USS Northcutt</t>
  </si>
  <si>
    <t>Vor'Cha</t>
  </si>
  <si>
    <t>USS NorthcuttAbility</t>
  </si>
  <si>
    <t>USS NorthcuttCrew</t>
  </si>
  <si>
    <t>USS NorthcuttBonuses</t>
  </si>
  <si>
    <t xml:space="preserve">Each time the USS Northcutt is hit, it increases the Weapon Damage (cumulative) by </t>
  </si>
  <si>
    <t>USS Northcutt1</t>
  </si>
  <si>
    <t>USS Northcutt2</t>
  </si>
  <si>
    <t>USS Northcutt3</t>
  </si>
  <si>
    <t>Vor'Cha1</t>
  </si>
  <si>
    <t>Vor'Cha2</t>
  </si>
  <si>
    <t>Vor'Cha3</t>
  </si>
  <si>
    <t>Vor'ChaAbility</t>
  </si>
  <si>
    <t>Vor'ChaBonuses</t>
  </si>
  <si>
    <t>Vor'ChaCrew</t>
  </si>
  <si>
    <t xml:space="preserve">Each time the Vor'Cha is hit, it increases the Critical Hit Damage (cumulative) by </t>
  </si>
  <si>
    <t>Captain: useless; Officer: Increase Warp Range (up to +5)</t>
  </si>
  <si>
    <t>Ghrush</t>
  </si>
  <si>
    <t>Captain: Nice 100% increase to protected cargo, currently no synergy officers; Officer: First officer to increase warp by a percentage instead of a fixed amount.</t>
  </si>
  <si>
    <t>Gowron</t>
  </si>
  <si>
    <t>Martok</t>
  </si>
  <si>
    <t>Captain: tiny boost to penetration stats for cloaked ships; Officer: Second Anti-Klingon Officer - only use when maxed</t>
  </si>
  <si>
    <t>Borg Increase Cargo Crew</t>
  </si>
  <si>
    <t>Disco vs Disco PVP</t>
  </si>
  <si>
    <t>Probes - Picard vs 33s</t>
  </si>
  <si>
    <t>If T'Laan is NOT maxed then swap for Chen</t>
  </si>
  <si>
    <t>Probes - Pike Vs 33s</t>
  </si>
  <si>
    <t>Probes - Vs 33s not using Pike/Picard</t>
  </si>
  <si>
    <t>This crew keeps Chen free for other grinding. If T'Laan is NOT maxed then swap for Chen</t>
  </si>
  <si>
    <t>Increase Energy Weapon Damage</t>
  </si>
  <si>
    <t>Increase ship's Shield Deflection by Health of crew</t>
  </si>
  <si>
    <t>Increase Kinetic Weapon Damage</t>
  </si>
  <si>
    <t>Increase ship's Dodge by Defence of crew</t>
  </si>
  <si>
    <t>Grush</t>
  </si>
  <si>
    <t>Syndicate</t>
  </si>
  <si>
    <t>Increase Warp Range</t>
  </si>
  <si>
    <t>Min Crit %</t>
  </si>
  <si>
    <t>Crit per trait</t>
  </si>
  <si>
    <t>Paste data from old spreadsheet in to cell R24 below.</t>
  </si>
  <si>
    <t>Added three new officers Gowron, Martok and Ghrush. Added Orion Syndicate officer bonuses. Updated new Advanced Officer Enhancement calculation to scale with OP. Change Hypospray entry on migration screen, which was different after the last update. Expand ATM ranges to include new missions for dropdown list. Fix ATM Top Officer scores formula on Google Sheets version. Unprotect new bonus on Excel version. Merged some cells in the ATA Overview officer list that had been missed. Fixed spelling of Defence in ATAs. Fix spelling in Vartoq'a CM text.</t>
  </si>
  <si>
    <t>Operations Level</t>
  </si>
  <si>
    <t>1.7.4</t>
  </si>
  <si>
    <t>Increase All Officers Attack</t>
  </si>
  <si>
    <t>"The Origins crew flat stat bonus is not currently calculated."</t>
  </si>
  <si>
    <t>AmalgamAbility</t>
  </si>
  <si>
    <t>AmalgamCrew</t>
  </si>
  <si>
    <t>AmalgamBonuses</t>
  </si>
  <si>
    <t xml:space="preserve">This ability only activates if the Amalgam has available empty Cargo Space before attacking. After winning a battle, if the target has more resources than the Amalgam's available Cargo Space, the Amalgam fills its Cargo Space and then takes an additional amount of the remaining resources by </t>
  </si>
  <si>
    <t>0.01%</t>
  </si>
  <si>
    <t>0.011%</t>
  </si>
  <si>
    <t>0.013%</t>
  </si>
  <si>
    <t>0.014%</t>
  </si>
  <si>
    <t>0.015%</t>
  </si>
  <si>
    <t>0.017%</t>
  </si>
  <si>
    <t>0.019%</t>
  </si>
  <si>
    <t>0.02%</t>
  </si>
  <si>
    <t>0.022%</t>
  </si>
  <si>
    <t>0.024%</t>
  </si>
  <si>
    <t>0.025%</t>
  </si>
  <si>
    <t>0.026%</t>
  </si>
  <si>
    <t>0.028%</t>
  </si>
  <si>
    <t>0.029%</t>
  </si>
  <si>
    <t>0.03%</t>
  </si>
  <si>
    <t>0.032%</t>
  </si>
  <si>
    <t>0.034%</t>
  </si>
  <si>
    <t>0.037%</t>
  </si>
  <si>
    <t>0.039%</t>
  </si>
  <si>
    <t>0.041%</t>
  </si>
  <si>
    <t>0.043%</t>
  </si>
  <si>
    <t>0.044%</t>
  </si>
  <si>
    <t>0.046%</t>
  </si>
  <si>
    <t>0.047%</t>
  </si>
  <si>
    <t>0.049%</t>
  </si>
  <si>
    <t>0.052%</t>
  </si>
  <si>
    <t>0.056%</t>
  </si>
  <si>
    <t>0.059%</t>
  </si>
  <si>
    <t>0.063%</t>
  </si>
  <si>
    <t>0.066%</t>
  </si>
  <si>
    <t>0.068%</t>
  </si>
  <si>
    <t>0.07%</t>
  </si>
  <si>
    <t>0.071%</t>
  </si>
  <si>
    <t>0.073%</t>
  </si>
  <si>
    <t>0.075%</t>
  </si>
  <si>
    <t>0.077%</t>
  </si>
  <si>
    <t>0.078%</t>
  </si>
  <si>
    <t>0.08%</t>
  </si>
  <si>
    <t>0.081%</t>
  </si>
  <si>
    <t>0.083%</t>
  </si>
  <si>
    <t>0.086%</t>
  </si>
  <si>
    <t>0.09%</t>
  </si>
  <si>
    <t>0.093%</t>
  </si>
  <si>
    <t>0.097%</t>
  </si>
  <si>
    <t>0.1%</t>
  </si>
  <si>
    <t>Amalgam1</t>
  </si>
  <si>
    <t>Amalgam</t>
  </si>
  <si>
    <t>New Ship</t>
  </si>
  <si>
    <t>Add 3 new lines for each ship in the Ship Stats sheet.</t>
  </si>
  <si>
    <t xml:space="preserve">Add new lines in the Ship Weapons sheet </t>
  </si>
  <si>
    <t>Add ship to the Ships sheet</t>
  </si>
  <si>
    <t>Increase the ships migration area by number of new ships</t>
  </si>
  <si>
    <t>Expand formula from the first Ship in the export section, righ to the bottom</t>
  </si>
  <si>
    <t>Captain: Small chance to get you a Hull Breach; Officer = only increase of BASE values !</t>
  </si>
  <si>
    <t>Captain: Small increase to base damage; Officer: Anti Trinitiy officer to counter Armor Piercing, increases Armor based on officer attack.</t>
  </si>
  <si>
    <t>Captain: Increase Cloaking duration; Officer: Increases the Amalgam bonus loot ability</t>
  </si>
  <si>
    <t>Captain: Small increase to Energy weapon damage; Officer: Anti Trinitiy officer to counter Shield Penetration, increases Shield Deflection based on officer Health</t>
  </si>
  <si>
    <t>Lursa</t>
  </si>
  <si>
    <t>Captain: Decrease Cloaking cooldown; Officer: Decreases player opponent's damage by a small amount to base.</t>
  </si>
  <si>
    <t>Captain: Small increase to Kinetic weapon damage; Officer: Anti Trinitiy officer to counter Accuracy, increases Dodge based on officer defence.</t>
  </si>
  <si>
    <t>Captain: +damage (vs. everything) increase applies once!; Officer: Self stat boost - Bug - Does not work at all</t>
  </si>
  <si>
    <t>Ba'el</t>
  </si>
  <si>
    <t>B'Etor</t>
  </si>
  <si>
    <t>Increase Armor by Crew Attack</t>
  </si>
  <si>
    <t>When on a ship that can use cloaking, B'Etor increases the duration the ship can stay cloaked</t>
  </si>
  <si>
    <t>When on the Amalgam, B'Etor boosts the Amalgam's bonus loot ship ability</t>
  </si>
  <si>
    <t>When on a ship that can use cloaking, Lursa decreases the cloaking cooldown</t>
  </si>
  <si>
    <t>When attacking other players, Lursa decreases the opponent's Weapon Damage</t>
  </si>
  <si>
    <t>Base Cracking - Enterprise &amp; HGW</t>
  </si>
  <si>
    <t>Khan should always be captain for Base cracking</t>
  </si>
  <si>
    <t>Base Cracking - Honorguard Worf</t>
  </si>
  <si>
    <t>Base Cracking - No Khan</t>
  </si>
  <si>
    <t>Swap for Khan variants as soon as he is unlocked. Khan is the key for Base cracking!</t>
  </si>
  <si>
    <t>Base Cracking - No Khan - Enterprise</t>
  </si>
  <si>
    <t>Swap for Khan variants as soon as he is unlocked. Khan is the key for Base cracking! Kati Can be swapped for Marla, but increase in crit damage offered by Kati can be more valuable than the stat boost offered by Marla. Also if a hull breach officer unlocked (Gorkon or Lorca), that would be a good replacement for Kati.</t>
  </si>
  <si>
    <t>Base Cracking - No Khan &amp; Survivability</t>
  </si>
  <si>
    <t>Base cracking option not using Khan. NOT for use on a G3 epic enterprise as spock is not required. offers Joachims, base -specific ability and the survivability from the shield regeneration given by Kirk and Spock</t>
  </si>
  <si>
    <t>Base Cracking - No Khan but HGW</t>
  </si>
  <si>
    <t>Max Warp Range - Explorer</t>
  </si>
  <si>
    <t>Max warp Range - Explorer - No Ghrush</t>
  </si>
  <si>
    <t>Max Warp Range - NON explorer</t>
  </si>
  <si>
    <t>Stamets can be changed to anything else if it better meets your requirements, but Origins stamets increases Warp Speed</t>
  </si>
  <si>
    <t>Mining - Protection and increase Warp Range</t>
  </si>
  <si>
    <t>Higher the rank the better for Three of Eleven and T'pring for protection and same for Ghrush regarding warp range. Other options to replace side officers include Dupont (same rank:protection as T'Pring) and One of Eleven (even at max only offers a max of 50% protection Boost.</t>
  </si>
  <si>
    <t>Swarm - Alternative with Beverley</t>
  </si>
  <si>
    <t>Swarm - Alternative with Five</t>
  </si>
  <si>
    <t>TOS Uhura</t>
  </si>
  <si>
    <t xml:space="preserve"> | </t>
  </si>
  <si>
    <t xml:space="preserve"> | Y</t>
  </si>
  <si>
    <t>3 new Officers Ba'el, B'Etor and Lursa. New ship the Amalgam. 10 new pre-set crews. Added Formatting to bonuses to show when they are maxed. Fixed typo in Operations Level which was breaking the Import/Export. Re-inserted Import formula for the two Prime officer stats in the (GS). Add missing formula for Scottys traits (XL). Fix Orion bonus to be additive for all levels. Fixed incorrect ability score on the Bortas. Set word wrapping on Ship ability cell (GS). Fixed TOS Uhura's name to match game.</t>
  </si>
  <si>
    <t>There may be the odd discrapency due to rounding up.</t>
  </si>
  <si>
    <t>4 - Be prepare to take them to Rank 4 or 5 before they get useful.</t>
  </si>
  <si>
    <t>1.7.5</t>
  </si>
  <si>
    <t xml:space="preserve">"Shut up Wesley!" - Self stat increase not calculated yet. </t>
  </si>
  <si>
    <t>Academy Bonus</t>
  </si>
  <si>
    <t>Dock G</t>
  </si>
  <si>
    <t>Arrock</t>
  </si>
  <si>
    <t>Captain: Good increase to Concentrated Latinum mining; Officer: Increase to mining speed.</t>
  </si>
  <si>
    <t>Fess</t>
  </si>
  <si>
    <t>Captain: Average mining speed boost; Officer: **REDUCES** protected cargo. Amount of reduction decreases when ranked up.</t>
  </si>
  <si>
    <t>Captain: Tooltip completly wrong "after winning battle" not just "after destroying a ship"- High Damage possibilies; Officer: high Impulse bonus</t>
  </si>
  <si>
    <t>Quark</t>
  </si>
  <si>
    <t>Captain: Good Protected Cargo; Officer: Good mining booster, similar to 10 of 11.</t>
  </si>
  <si>
    <t>Increase Mining Speed</t>
  </si>
  <si>
    <t>Increase Mining speed (Concentrated Latinum)</t>
  </si>
  <si>
    <t>Ferengi Conglomerate</t>
  </si>
  <si>
    <t>Reduce Protected Cargo</t>
  </si>
  <si>
    <t>Increase base mining speed</t>
  </si>
  <si>
    <t>Extend the set of formulas from the last previous officer.</t>
  </si>
  <si>
    <t>D'Vor Feesha</t>
  </si>
  <si>
    <t>D'Vor FeeshaAbility</t>
  </si>
  <si>
    <t>D'Vor FeeshaCrew</t>
  </si>
  <si>
    <t>D'Vor FeeshaBonuses</t>
  </si>
  <si>
    <t>D'Vor Feesha1</t>
  </si>
  <si>
    <t>35,000%</t>
  </si>
  <si>
    <t>35,350%</t>
  </si>
  <si>
    <t>35,704%</t>
  </si>
  <si>
    <t>36,061%</t>
  </si>
  <si>
    <t>37,864%</t>
  </si>
  <si>
    <t>38,242%</t>
  </si>
  <si>
    <t>38,625%</t>
  </si>
  <si>
    <t>39,011%</t>
  </si>
  <si>
    <t>39,401%</t>
  </si>
  <si>
    <t>41,371%</t>
  </si>
  <si>
    <t>41,785%</t>
  </si>
  <si>
    <t>42,203%</t>
  </si>
  <si>
    <t>42,625%</t>
  </si>
  <si>
    <t>43,051%</t>
  </si>
  <si>
    <t>45,203%</t>
  </si>
  <si>
    <t>45,655%</t>
  </si>
  <si>
    <t>46,112%</t>
  </si>
  <si>
    <t>46,573%</t>
  </si>
  <si>
    <t>47,039%</t>
  </si>
  <si>
    <t>49,391%</t>
  </si>
  <si>
    <t>69,147%</t>
  </si>
  <si>
    <t>69,839%</t>
  </si>
  <si>
    <t>70,537%</t>
  </si>
  <si>
    <t>71,242%</t>
  </si>
  <si>
    <t>74,804%</t>
  </si>
  <si>
    <t>75,552%</t>
  </si>
  <si>
    <t>76,308%</t>
  </si>
  <si>
    <t>77,071%</t>
  </si>
  <si>
    <t>77,842%</t>
  </si>
  <si>
    <t>81,734%</t>
  </si>
  <si>
    <t>82,551%</t>
  </si>
  <si>
    <t>83,377%</t>
  </si>
  <si>
    <t>84,210%</t>
  </si>
  <si>
    <t>85,053%</t>
  </si>
  <si>
    <t>89,305%</t>
  </si>
  <si>
    <t>90,198%</t>
  </si>
  <si>
    <t>91,100%</t>
  </si>
  <si>
    <t>92,011%</t>
  </si>
  <si>
    <t>92,931%</t>
  </si>
  <si>
    <t>97,578%</t>
  </si>
  <si>
    <t>98,554%</t>
  </si>
  <si>
    <t>99,539%</t>
  </si>
  <si>
    <t>100,535%</t>
  </si>
  <si>
    <t>101,540%</t>
  </si>
  <si>
    <t>106,617%</t>
  </si>
  <si>
    <t>149,264%</t>
  </si>
  <si>
    <t>150,756%</t>
  </si>
  <si>
    <t>152,264%</t>
  </si>
  <si>
    <t>153,787%</t>
  </si>
  <si>
    <t>161,476%</t>
  </si>
  <si>
    <t>163,091%</t>
  </si>
  <si>
    <t>164,722%</t>
  </si>
  <si>
    <t>166,369%</t>
  </si>
  <si>
    <t>168,033%</t>
  </si>
  <si>
    <t>176,434%</t>
  </si>
  <si>
    <t>178,199%</t>
  </si>
  <si>
    <t>179,981%</t>
  </si>
  <si>
    <t>181,780%</t>
  </si>
  <si>
    <t>183,598%</t>
  </si>
  <si>
    <t>202,000%</t>
  </si>
  <si>
    <t xml:space="preserve">Mining bonus for Concentrated Latinum </t>
  </si>
  <si>
    <t>Planning</t>
  </si>
  <si>
    <t>Away Missions and Traits</t>
  </si>
  <si>
    <t>T3/5</t>
  </si>
  <si>
    <t>T3/9</t>
  </si>
  <si>
    <t>T1/1</t>
  </si>
  <si>
    <t>Trait Level</t>
  </si>
  <si>
    <t>Cost</t>
  </si>
  <si>
    <t>Total Cost</t>
  </si>
  <si>
    <t>TraitTier</t>
  </si>
  <si>
    <t>T1/2</t>
  </si>
  <si>
    <t>T1/3</t>
  </si>
  <si>
    <t>T2/1</t>
  </si>
  <si>
    <t>T2/2</t>
  </si>
  <si>
    <t>T2/3</t>
  </si>
  <si>
    <t>T2/4</t>
  </si>
  <si>
    <t>T3/1</t>
  </si>
  <si>
    <t>T3/2</t>
  </si>
  <si>
    <t>T3/3</t>
  </si>
  <si>
    <t>T3/4</t>
  </si>
  <si>
    <t>T3/6</t>
  </si>
  <si>
    <t>T3/7</t>
  </si>
  <si>
    <t>T3/8</t>
  </si>
  <si>
    <t>Planning 1 List</t>
  </si>
  <si>
    <t>Planning 1 Match</t>
  </si>
  <si>
    <t>Planning 2 Match</t>
  </si>
  <si>
    <t>Planning 2 List</t>
  </si>
  <si>
    <t>Planning 3 Match</t>
  </si>
  <si>
    <t>Planning 3 List</t>
  </si>
  <si>
    <t>Planning 4 Match</t>
  </si>
  <si>
    <t>Planning 4 List</t>
  </si>
  <si>
    <t>Planning 5 Match</t>
  </si>
  <si>
    <t>Planning 5 List</t>
  </si>
  <si>
    <t>Planning 6 Match</t>
  </si>
  <si>
    <t>Planning 6 List</t>
  </si>
  <si>
    <t>Planning 7 Match</t>
  </si>
  <si>
    <t>Planning 7 List</t>
  </si>
  <si>
    <t>Planning 8 Match</t>
  </si>
  <si>
    <t>Planning 8 List</t>
  </si>
  <si>
    <t>Planning 9 Match</t>
  </si>
  <si>
    <t>Planning 9 List</t>
  </si>
  <si>
    <t>Planning 10 Match</t>
  </si>
  <si>
    <t>Planning 10 List</t>
  </si>
  <si>
    <t>T1/0</t>
  </si>
  <si>
    <t>Planning 1 Traits</t>
  </si>
  <si>
    <t>Planning 2 Traits</t>
  </si>
  <si>
    <t>Planning 3 Traits</t>
  </si>
  <si>
    <t>Planning 4 Traits</t>
  </si>
  <si>
    <t>Planning 5 Traits</t>
  </si>
  <si>
    <t>Planning 6 Traits</t>
  </si>
  <si>
    <t>Planning 7 Traits</t>
  </si>
  <si>
    <t>Planning 8 Traits</t>
  </si>
  <si>
    <t>Planning 9 Traits</t>
  </si>
  <si>
    <t>Planning 10 Traits</t>
  </si>
  <si>
    <t>Paste data from old spreadsheet in to cell X4 below.</t>
  </si>
  <si>
    <t>ATA Import Data</t>
  </si>
  <si>
    <t>ATAs and Officers</t>
  </si>
  <si>
    <t>ATA Export Data</t>
  </si>
  <si>
    <t>Added new ATA Planning Sheet. Added 3 new Ferengi Officers Quark, Arrock and Fess. Added new ship, the D'Vor Feesha. Added Dock G. Added links to STFC.space for the officers on the Roster Sheet. Correct typos on the Instruction screen. Correct error for B'Etor's Group. Fix flat stat officers skills on Roster. Fixed Academy Max bonus formatting for OP&gt;40.</t>
  </si>
  <si>
    <t>Armadas - Riker on Enterprise</t>
  </si>
  <si>
    <t>Only for Enterprise to ensure you are activating its Ship ability. the Higher the rank of Beverley the better but her main purpose is to provide synergy to Riker to increase damage each round. Stack for Defence for Beverley.</t>
  </si>
  <si>
    <t>Raiding - Max Cargo (Amalgam only)</t>
  </si>
  <si>
    <t>Higher the rank of Stonn and four of eleven the better. Loot bonus while raiding increases as you promote B'Etor so the same for her. This crew combination can be in any order on the bridge as for all 3 it is the officer ability that is being utilised.</t>
  </si>
  <si>
    <t>Days</t>
  </si>
  <si>
    <t>Trait Points</t>
  </si>
  <si>
    <t>Max Crit %</t>
  </si>
  <si>
    <t>2 Days</t>
  </si>
  <si>
    <t>1 Days</t>
  </si>
  <si>
    <t>Rare Officer Shards</t>
  </si>
  <si>
    <t>3 Days</t>
  </si>
  <si>
    <t>Cultural Exchange</t>
  </si>
  <si>
    <t>Federation G3 Ship BPs</t>
  </si>
  <si>
    <t>Common Officer Shards</t>
  </si>
  <si>
    <t>1 Day</t>
  </si>
  <si>
    <t>Ten of Eleven Shards</t>
  </si>
  <si>
    <t>Romulan G4 Ship BPs</t>
  </si>
  <si>
    <t>Federation G4 Ship BPs</t>
  </si>
  <si>
    <t>Political Espionage</t>
  </si>
  <si>
    <t>Romulan G3 Ship BPs</t>
  </si>
  <si>
    <t>R'uustai Ceremony</t>
  </si>
  <si>
    <t>Klingon G3 Ship BPs</t>
  </si>
  <si>
    <t>Tal Shiar Inquisition (ops 50+?)</t>
  </si>
  <si>
    <t>Tal Shiar Inquisition (ops &lt;50)</t>
  </si>
  <si>
    <t>12 Hours</t>
  </si>
  <si>
    <t>1.7.5a</t>
  </si>
  <si>
    <t>Emergency fix to resolve issue with 1st officer missing from ATA Planning listboxes from the 3rd ATA onwards. Protected sheet stopping sorting and filtering on the Roster sheet (XL). ATA Planning selection 10 Officer lookups were not filtering out duplicates (XL).</t>
  </si>
  <si>
    <t>4 Hour</t>
  </si>
  <si>
    <t>4 Hours</t>
  </si>
  <si>
    <t>8 Hours</t>
  </si>
  <si>
    <t>Common (Solo)</t>
  </si>
  <si>
    <t>12 hour</t>
  </si>
  <si>
    <t>Field Operatives (ops &lt;20)</t>
  </si>
  <si>
    <t>Field Operatives (ops 20+)</t>
  </si>
  <si>
    <t>Uncommon Officer Shards</t>
  </si>
  <si>
    <t>3 Day</t>
  </si>
  <si>
    <t>5 Days</t>
  </si>
  <si>
    <t>Peacekeeping Initiative (Moreau)</t>
  </si>
  <si>
    <t>Peacekeeping Initiative (Uhura)</t>
  </si>
  <si>
    <t>Uncommon G4 Survey Parts</t>
  </si>
  <si>
    <t>Subterranean Excursion (Ore Ops &lt;30)</t>
  </si>
  <si>
    <t>Klingon Ship BPs</t>
  </si>
  <si>
    <t>Select Officers</t>
  </si>
  <si>
    <t>NCC1887 - Also part of the ATA team, helping with calculating ATA critical mechanics.</t>
  </si>
  <si>
    <t>1.7.6</t>
  </si>
  <si>
    <t>Duration</t>
  </si>
  <si>
    <t>Critical Data</t>
  </si>
  <si>
    <t>XP Cost to Max</t>
  </si>
  <si>
    <t>Criticals:</t>
  </si>
  <si>
    <t>New Critical:</t>
  </si>
  <si>
    <t>Critical Chance:</t>
  </si>
  <si>
    <t>Will be less if officer has multiple traits.</t>
  </si>
  <si>
    <t>source data provided by STFC.space</t>
  </si>
  <si>
    <t>XP to Max:</t>
  </si>
  <si>
    <t>XP for Upgrade:</t>
  </si>
  <si>
    <t>Alliance Exocomps (Attack)</t>
  </si>
  <si>
    <t>Alliance Exocomps (Defence)</t>
  </si>
  <si>
    <t>Alliance Exocomps (Health)</t>
  </si>
  <si>
    <t>Alliance Exocomps Mk.II (Attack - Incomplete)</t>
  </si>
  <si>
    <t>Alliance Exocomps Mk.II (Defence - Incomplete)</t>
  </si>
  <si>
    <t>Alliance Exocomps Mk.II (Health - Incomplete)</t>
  </si>
  <si>
    <t>Alliance Exocomps Mk.III (Attack - Incomplete)</t>
  </si>
  <si>
    <t>Alliance Exocomps Mk.III (Defence - Incomplete)</t>
  </si>
  <si>
    <t>Alliance Exocomps Mk.III (Health - Incomplete)</t>
  </si>
  <si>
    <t>Crystal Contractor (2 Day)</t>
  </si>
  <si>
    <t>Cap[tain</t>
  </si>
  <si>
    <t>Escort Dignitary</t>
  </si>
  <si>
    <t>Planetside Shipyard</t>
  </si>
  <si>
    <t>Cath</t>
  </si>
  <si>
    <t>Captain: Simple repair cost reduction; Officer: Kinetic damage reduction, like T'Laan, but better.</t>
  </si>
  <si>
    <t>Rom</t>
  </si>
  <si>
    <t>Captain: During base attacks, delays ALL opponents weapons by 1 round; Officer: Increased the number of all shots for whole battle</t>
  </si>
  <si>
    <t>Increase Repair Cost Efficient of ship</t>
  </si>
  <si>
    <t>When attacking a station, increases number of shots of weapons</t>
  </si>
  <si>
    <t>When attacking a station, delays ship and pltatform weapons by 1 round</t>
  </si>
  <si>
    <t>Paste Values from Migration list. Add stfc.space hyperlink</t>
  </si>
  <si>
    <t>Promotion of Ghrush will improve range further.</t>
  </si>
  <si>
    <t>Mining - Ferrengi protection Crew</t>
  </si>
  <si>
    <t>Good Protection Boost from Quark and 3 of 11. boosted with Arrock synergy to Quark. Improved mining speed from Arrock. 3 of 11 can be swapped for max T'Pring for the same protection (unless 3 of 11 is higher than rank one then T'Pring cannot match)</t>
  </si>
  <si>
    <t>MIning - Crystal - no eleven or eleven</t>
  </si>
  <si>
    <t>MIning - Data Speed &amp; Max Protected</t>
  </si>
  <si>
    <t>If 3 of 11 not attained can use a side of synergy for Joachim, Dupont or One Of Eleven as a replacement. Although Recommended Levels are all set as one, the higher the two side officers are the greater your protection.</t>
  </si>
  <si>
    <t>Mining - Gas - no Three Of Eleven</t>
  </si>
  <si>
    <t>Mining - Max Concentrated Lat Speed Crew</t>
  </si>
  <si>
    <t>Mining - Max Crystal Speed Crew</t>
  </si>
  <si>
    <t>Synergy offered by 10 of 11 plus Quark make this the fastest mining crew for this material. Promotion of the two side officers improve speed further.</t>
  </si>
  <si>
    <t>Mining - Max Gas mining speed crew</t>
  </si>
  <si>
    <t>Synergy offered by 10 of 11 plus Quark make this the fastest mining crew for this material. Promotion of the two side officers improve speed further. Promotion of 3 of 11 improves protection further.</t>
  </si>
  <si>
    <t>Mining - Max Generic Mining Speed Crew</t>
  </si>
  <si>
    <t>Mining - Max Ore mining Speed Crew</t>
  </si>
  <si>
    <t>Mining - Ore - no Four of Eleven</t>
  </si>
  <si>
    <t>PVP - explorer vs Battleship with Marcus</t>
  </si>
  <si>
    <t>PVP - explorer vs explorer with Marcus</t>
  </si>
  <si>
    <t>PVP - explorer vs Interceptor with Marcus</t>
  </si>
  <si>
    <t>PVP - Max anti Fed Battleship</t>
  </si>
  <si>
    <t>Stack Health and Defence. Mirek and Krell generate damage boost vs Federation Ships. Charvanek for her penetration boost specific to fighting battleships</t>
  </si>
  <si>
    <t>PVP - Max anti Fed Explorer</t>
  </si>
  <si>
    <t>Stack Defence for all officers. Mirek and Krell generate damage boost vs Federation Ships. Marcus for penetration boost specific to fighting explorers</t>
  </si>
  <si>
    <t>PVP - Max anti Fed Interceptor</t>
  </si>
  <si>
    <t>Stack Health and Attack. Mirek and Krell generate damage boost vs Federation Ships. Kang for her penetration boost specific to fighting Interceptors</t>
  </si>
  <si>
    <t>PVP - Max anti Klingon Battleship</t>
  </si>
  <si>
    <t>Stack Attack and Health. L'Nar and Tomalak give bonus damage vs Klingon ships. Charvanek for penetration Boost vs Battleships</t>
  </si>
  <si>
    <t>PVP - Max anti Klingon Explorer</t>
  </si>
  <si>
    <t>Stack Attack and Defence. L'Nar and Tomalak give bonus damage vs Klingon ships. Marcus for penetration Boost vs Explorers</t>
  </si>
  <si>
    <t>PVP - Max anti Klingon Interceptor</t>
  </si>
  <si>
    <t>Stack Attack for all officers. L'Nar and Tomalak give bonus damage vs Klingon ships. Kang for penetration Boost vs Interceptors</t>
  </si>
  <si>
    <t>PVP - Max anti Rom battleship</t>
  </si>
  <si>
    <t>PVP - Max anti Rom Explorer</t>
  </si>
  <si>
    <t>Stack Health and Defence. Yuki offer shield strip at 15% per round due to Synergy from Marcus. Yuki and Yan'Agh give bonus damage vs roms and ideally should be maxed. Marcus for penetration boost specific to fighting explorers</t>
  </si>
  <si>
    <t>PVP - Max anti Rom interceptor</t>
  </si>
  <si>
    <t>Stack Health and Attack. Yuki offer shield strip at 10% per round. Yuki and Yan'Agh give bonus damage vs roms and ideally should be maxed. Kang for penetration boost specific to fighting Interceptors</t>
  </si>
  <si>
    <t>Added 2 new officers Rom and Cath. Reworking of ATA  screens to include critical chance calculations and XP costs to upgrade. More crews, including mining crews added to presets. Apply recent changes for flat stats to the All Docks sheet.</t>
  </si>
  <si>
    <t>1.7.7</t>
  </si>
  <si>
    <t>USS CerritosAbility</t>
  </si>
  <si>
    <t>USS CerritosCrew</t>
  </si>
  <si>
    <t>USS CerritosBonuses</t>
  </si>
  <si>
    <t xml:space="preserve">When the USS Cerritos supports another ship, increase the support duration by </t>
  </si>
  <si>
    <t>15</t>
  </si>
  <si>
    <t>210</t>
  </si>
  <si>
    <t>315</t>
  </si>
  <si>
    <t>420</t>
  </si>
  <si>
    <t>525</t>
  </si>
  <si>
    <t>630</t>
  </si>
  <si>
    <t>735</t>
  </si>
  <si>
    <t>840</t>
  </si>
  <si>
    <t>945</t>
  </si>
  <si>
    <t>1050</t>
  </si>
  <si>
    <t>1155</t>
  </si>
  <si>
    <t>1260</t>
  </si>
  <si>
    <t>1365</t>
  </si>
  <si>
    <t>1470</t>
  </si>
  <si>
    <t>1575</t>
  </si>
  <si>
    <t>1680</t>
  </si>
  <si>
    <t>1785</t>
  </si>
  <si>
    <t>1890</t>
  </si>
  <si>
    <t>1995</t>
  </si>
  <si>
    <t>20100</t>
  </si>
  <si>
    <t>21105</t>
  </si>
  <si>
    <t>22110</t>
  </si>
  <si>
    <t>23115</t>
  </si>
  <si>
    <t>24120</t>
  </si>
  <si>
    <t>25125</t>
  </si>
  <si>
    <t>26130</t>
  </si>
  <si>
    <t>27135</t>
  </si>
  <si>
    <t>28140</t>
  </si>
  <si>
    <t>29145</t>
  </si>
  <si>
    <t>30150</t>
  </si>
  <si>
    <t>31155</t>
  </si>
  <si>
    <t>32160</t>
  </si>
  <si>
    <t>33165</t>
  </si>
  <si>
    <t>34170</t>
  </si>
  <si>
    <t>35175</t>
  </si>
  <si>
    <t>36180</t>
  </si>
  <si>
    <t>37185</t>
  </si>
  <si>
    <t>38190</t>
  </si>
  <si>
    <t>39195</t>
  </si>
  <si>
    <t>40200</t>
  </si>
  <si>
    <t>41205</t>
  </si>
  <si>
    <t>42210</t>
  </si>
  <si>
    <t>43215</t>
  </si>
  <si>
    <t>44220</t>
  </si>
  <si>
    <t>45225</t>
  </si>
  <si>
    <t>46230</t>
  </si>
  <si>
    <t>47235</t>
  </si>
  <si>
    <t>48240</t>
  </si>
  <si>
    <t>49245</t>
  </si>
  <si>
    <t>50250</t>
  </si>
  <si>
    <t>51255</t>
  </si>
  <si>
    <t>52260</t>
  </si>
  <si>
    <t>53265</t>
  </si>
  <si>
    <t>54270</t>
  </si>
  <si>
    <t>55275</t>
  </si>
  <si>
    <t>56281</t>
  </si>
  <si>
    <t>57287</t>
  </si>
  <si>
    <t>58293</t>
  </si>
  <si>
    <t>59299</t>
  </si>
  <si>
    <t>60305</t>
  </si>
  <si>
    <t>USS Cerritos1</t>
  </si>
  <si>
    <t>USS Cerritos2</t>
  </si>
  <si>
    <t>USS Cerritos3</t>
  </si>
  <si>
    <t>USS Cerritos</t>
  </si>
  <si>
    <t>Badgey</t>
  </si>
  <si>
    <t>Below Decks: Small increase to Penetration; Officer: Decreased opponents mitigation by a small amount.</t>
  </si>
  <si>
    <t>Beckett Mariner</t>
  </si>
  <si>
    <t>Below Decks: Small increase of Officer's Attack; Officer Ability: Reasonable increase to damage.</t>
  </si>
  <si>
    <t>Brad Boimler</t>
  </si>
  <si>
    <t>Below Deck Officer</t>
  </si>
  <si>
    <t>Below Deck Ability</t>
  </si>
  <si>
    <t>Decreases Armor, Shield and Dodge of all non-Armada targets</t>
  </si>
  <si>
    <t>Chance to Inflict Burning when defending a node</t>
  </si>
  <si>
    <t>Increases Armor Penetration, Shield Penetration and Accuracy</t>
  </si>
  <si>
    <t>Increases Attack of all Officers on the ship</t>
  </si>
  <si>
    <t>Unfit To Lead</t>
  </si>
  <si>
    <t>Lower Decks Crew</t>
  </si>
  <si>
    <t>Increase ship's Weapon Damage</t>
  </si>
  <si>
    <t>Increase Armor Piercing, Shield Piercing and Accuracy</t>
  </si>
  <si>
    <t>Increase Armor, Shield Deflection, and Dodge</t>
  </si>
  <si>
    <t>CM/BDA</t>
  </si>
  <si>
    <t>Captain Manouver, Below Decks and Officer Ability</t>
  </si>
  <si>
    <t>Type</t>
  </si>
  <si>
    <t>Round 1</t>
  </si>
  <si>
    <t>Round 2</t>
  </si>
  <si>
    <t>Round 3</t>
  </si>
  <si>
    <t>Round 4</t>
  </si>
  <si>
    <t>Round 5</t>
  </si>
  <si>
    <t>Round 6</t>
  </si>
  <si>
    <t>Round 7</t>
  </si>
  <si>
    <t>Round 8</t>
  </si>
  <si>
    <t>Round 9</t>
  </si>
  <si>
    <t>Round 10</t>
  </si>
  <si>
    <t>Round 11</t>
  </si>
  <si>
    <t>Round 12</t>
  </si>
  <si>
    <t>Anti Battleship - Honorguard Worf</t>
  </si>
  <si>
    <t>Stack lower decks for Health and Defence. Spock can be swapped out for Khan or anti faction officer on the Enterprise.</t>
  </si>
  <si>
    <t>Stack lower decks for Defence. Spock can be swapped out for Khan or anti faction officer on the Enterprise.</t>
  </si>
  <si>
    <t>Stack lower decks for Attack and Defence. Spock can be swapped out for Khan or anti faction officer on the Enterprise.</t>
  </si>
  <si>
    <t>Armada - Eclipse alternative</t>
  </si>
  <si>
    <t>Stack Health and Defence for Beverley. Beverley offers both shield regeneration and mitigation. Khan and lorca combined offer the ability to deal huge damage with increase in Critical chance and hull breach. This crew will need stella research to be quite advanced M50+ roughly. This crew will not replace Kirk, Spock &amp; Khan, but is a great alternative if Kirk and Spock are busy elseware.</t>
  </si>
  <si>
    <t>Only for the Vidar, this crew removes the crit CHANCE completely Vs borg armadas. Requires full synergy and 5 is interchangeable with 8 if either busy elsewhere or not yet obtained. This crew should be run by just one member of your team and used on the weakest ship.</t>
  </si>
  <si>
    <t>Armadas - Burning ship loadout(Georgiou)</t>
  </si>
  <si>
    <t>Basic Burning Crew, Arix is first officer you will likely unlock which can proc burning and 2 sides of synergy help to increase this chance. Stack Health for Vemet ability. once Georgiou or Nero unlocked move to other crews. NOTE: if using a battleship class, swapping Kumak for one of the battleship specific officers from Nero's crew could be beneficial</t>
  </si>
  <si>
    <t>Basic Breach crew, needs Azetbur to Proc breach and needs your ship to have a kinetic weapon. Synergy with other officers increase its effectiveness while offering additional bonuses from their respective abilities. Once Gorkon or Lorca unlocked, even at rank one, switch to alternative Hull Breach Crew. for additional Stats M'Ral can be swapped for Chang but note that his ability does not work against armadas.</t>
  </si>
  <si>
    <t>Morale is the key to this Crew, however without kirk sulu is the best option. once Kirk unlocked then move to the more advanced crews using him. Bones as side officer boosts defence and therefore improving spocks ability.</t>
  </si>
  <si>
    <t>6 needs to be min t3 for this loadout. stack attack for 6. this crews offers little by the way of survivability. purely used to through the most damage, increase penetration and crit rate</t>
  </si>
  <si>
    <t>ONLY use this crew if you are sure of victory as it offers very little by means of attack abilities and you are using the standard ship power. Provides the highest loot multiplyer available from armadas. Beverley can be swapped to the appropriate anti faction officer within the TNG crew group as long as not also engineering class, which would reduce the synergy and therefore loot received. Beverley is a good choice for the mitigation increase.</t>
  </si>
  <si>
    <t>Stack for Defence and Attack. Offers Damage boost from riker each round. Mitigation from beverley and Penetration boost from Six Of Eleven. Beverley also provides Synergy to riker boosting his captains maneuver.</t>
  </si>
  <si>
    <t>Exchange armadas have a crit chance of 20% this crew will remove all critical shots thrown by the armada as troi will have one side of Synergy. Data can be swapped for any other office not from the scient class for the same effect from troi. Khan can be swapped for deius if lower than a t3 khan is held</t>
  </si>
  <si>
    <t>Base Cracking - Rom Critical Build</t>
  </si>
  <si>
    <t>Rom is the best Base Cracking officer in the game he increases the Shots with his officer ability, but main power is in the Captain Manoeuvre which prevents you from being hit in the first round. In addition to Roms abilities this ensure max damage output with hull breach and increased critical chance. Gorkon can be swapped for Lorca</t>
  </si>
  <si>
    <t>Base Cracking - Rom Max Early Damage</t>
  </si>
  <si>
    <t>Rom is the best Base Cracking officer in the game he increases the Shots with his officer ability, but main power is in the Captain Manoeuvre which prevents you from being hit in the first round. This crew does rely on Rng for maximum effectivness. should mudd activate then you will greatly increase the number of shots in the first round. That, coupled with Harrisons round one ability which affects the split of damage that goes to Hull and shields after mitigation gives you the best chance to cause maximum damage in round 1 without being hit.</t>
  </si>
  <si>
    <t>Base Cracking - Rom on Enterprise</t>
  </si>
  <si>
    <t>Rom is the best Base Cracking officer in the game he increases the Shots with his officer ability, but main power is in the Captain Manoeuvre which prevents you from being hit in the first round. This crew allows the enterprise to keep shields up while increasing critical chance from Honorguard Worf to issue maximum damage during the battle.</t>
  </si>
  <si>
    <t>Base Cracking - Rom with Burning</t>
  </si>
  <si>
    <t>Rom is the best Base Cracking officer in the game he increases the Shots with his officer ability, but main power is in the Captain Manoeuvre which prevents you from being hit in the first round. Great crew when hitting a bigger target as guarantees (unless rom counter crew is being used by opponent) burning to be applied to the opponents target so you will definitely inflict damage.</t>
  </si>
  <si>
    <t>Base Cracking - Rom with Morale</t>
  </si>
  <si>
    <t>Rom is the best Base Cracking officer in the game he increases the Shots with his officer ability, but main power is in the Captain Manoeuvre which prevents you from being hit in the first round. stack defence. This crew offers survivability and the benefits offered by Rom.</t>
  </si>
  <si>
    <t>Works Best on an Augur due to ships burning ability. Stack for Health and Attack</t>
  </si>
  <si>
    <t>Works Best on an Augur due to ships burning ability. Stack for Defence and Attack</t>
  </si>
  <si>
    <t>Works Best on an Augur due to ships burning ability. Stack for Attack</t>
  </si>
  <si>
    <t>Once you are able to fill cargo when hunting Borg Probes, try this crew to see if you can increase your take home of inert probes. if you do not fill your cargo, then return to previous crew that did until vidar is stronger. NB: if you have Cath unlocked from the Ferrengi officers at a rank offering a higher damage reduction percentage than your T'laan then swap Cath her over T'laan.</t>
  </si>
  <si>
    <t>Borg Probes - Advanced</t>
  </si>
  <si>
    <t>Stack of health. check minimum level requirements suggested closely! This crew requires a max vidar ideally and good research. when experimenting with this crew ensure you check your mitigation is as close to Max (71.2%) as possible. Mudd at rank 5 will add additional chance to his proc rate and ultimately yield better results. 5 of 11 and Harrison at higher ranks will also increase effectiveness.</t>
  </si>
  <si>
    <t>When unable to kill with Pike, moreau Tlaan / Picard Beverley tlaan. this crew can be used on either Augur (minimum t5 approx) or ISS jelly (Minimum t4 approx). Khan can be changed for Tlaan for similar results, or swap for Georgiou if on an augur for the damage boost. Furthermore once ISS jellyfish is tier 6 approximately then you can return to Pike moreau Tlaan or equivalent for the heavy traders.</t>
  </si>
  <si>
    <t>Tlaan rank is vital push to max ASAP. Can swap Cadet Kirk for Cadet Mccoy. NB: if you have Cath unlocked from the Ferrengi officers at a rank offering a higher damage reduction percentage than your T'laan then swap Cath her over T'laan.</t>
  </si>
  <si>
    <t>Tlaan rank is vital push to max ASAP. Direct alternative to Cadet crew and to be used until Pike is unlocked. Can swap Next Gen Data for Next Gen Crusher. NB: if you have Cath unlocked from the Ferrengi officers at a rank offering a higher damage reduction percentage than your T'laan then swap Cath her over T'laan.</t>
  </si>
  <si>
    <t>Tlaan rank is vital push to max ASAP.Better to use Pike version of this crew if you need to level the ship you are using at the same time. NB: if you have Cath unlocked from the Ferrengi officers at a rank offering a higher damage reduction percentage than your T'laan then swap Cath her over T'laan.</t>
  </si>
  <si>
    <t>Tlaan rank is vital push to max ASAP.NB: if you have Cath unlocked from the Ferrengi officers at a rank offering a higher damage reduction percentage than your T'laan then swap Cath her over T'laan.</t>
  </si>
  <si>
    <t>Stack lower decks for defence. Good for low damage targets, such as Eclipse Armadas using a Stella. The aim is that the damage done after Shield mitigation, needs to be less than the damage being restored by Leslie. Spock keeps the shield up.</t>
  </si>
  <si>
    <t>Chekov can be changed for anyone who is not engineering class from the synergy group for the same result. Use full synergy and remove Cadet scotty if he is not at least rank 4. Great for stretching the range of the USS Discovery</t>
  </si>
  <si>
    <t>If needing to use more than one miner on the same material. Any of the 'Surveyors &amp; Miners' group can be used in the officer slots with the same effect - Providing one of each officer class is present on the bridge. not as effective as the main crews using main captain on their respective material. Ten Of Eleven can be used to replace one side of synergy if not used elsewhere for greater mining speed</t>
  </si>
  <si>
    <t>Provides fastest speed and T'pring can be changed for any other mining officer offering double bar synergy to makinen, but T'Pring will also boost the protected cargo amount.</t>
  </si>
  <si>
    <t>The higher rank of Quark will improve mining speed. Rom can be swapped with Fess if Rom is not unlocked, but this will reduce your ships protected Cargo due to his officer ability (but hey; mining is dangerous apparently)</t>
  </si>
  <si>
    <t>Offers best gas mining rate in the game with full synergy with Three Of Eleven plus the mining bonuses from Ten Of Eleven and Two Of Eleven. Seven Of Eleven can be swapped for Two Of Eleven if not unlocked. Eight Of Eleven can be swapped for Ten Of Eleven if not unlocked.</t>
  </si>
  <si>
    <t>Higher the rank of side officers, the faster the speed. This crew is overall speed and offers an increase in protection from Quark. Specific targeted officers for a particular mining resource may prove faster if put as captain with Quark and 10 of 11 on the sides.</t>
  </si>
  <si>
    <t>Any command or science class officer from unimatrix twelve group can be swapped for 3 of 11 if needed for the same result, but this offers improved protected caro. Although this crew does not provide full synergy due to 10 or 11 and 4 of 11 being the same class, the benefit from 10 of 11 still outweighs the benefit of a second side of full synergy.</t>
  </si>
  <si>
    <t>Mission Boss - Yuki - General</t>
  </si>
  <si>
    <t>Yuki strips the opponents shield by 10% per round meaning you get through to the hull faster. Khan and Gorkon increase critical chance and damage with Hull Breach.</t>
  </si>
  <si>
    <t>Mission Boss - Yuki vs Explorers</t>
  </si>
  <si>
    <t>Stack Defence for Marcus. Yuki strips the opponents shield by 15% per round (as Marcus add synergy) meaning you get through to the hull faster. Marcus Officer ability specifically built for fighing explorers as he increases penetration to their strongest defensive stat.</t>
  </si>
  <si>
    <t>Stack Health for Charvenek. Yuki strips the opponents shield by 10% per round, meaning you get through to the hull faster. Charveneks Officer ability specifically built for fighing Battleships as she increases penetration to their strongest defensive stat.</t>
  </si>
  <si>
    <t>Stack Attack for Kang. Yuki strips the opponents shield by 10% per round, meaning you get through to the hull faster. Kangs Officer ability specifically built for fighing Interceptors as he increases penetration to their strongest defensive stat.</t>
  </si>
  <si>
    <t>Primarily for use on a ship with energy weapons(generally explorers) to utilise Gowrons Officer ability. Not for use on G3 enterprise as no morale to trigger ship ability. Gowron is stats based and combats the effectiveness of Marcus. Higher the Gowron and lower the Marcus you are fighting the better results this will have. Charvanek for her penetration boost specific to fighting battleships</t>
  </si>
  <si>
    <t>Primarily for use on a ship with energy weapons(generally explorers) to utilise Gowrons Officer ability. Not for use on G3 enterprise as no morale to trigger ship ability. Gowron is stats based and combats the effectiveness of Marcus. Higher the Gowron and lower the Marcus you are fighting the better results this will have. Marcus for penetration boost specific to fighting explorers</t>
  </si>
  <si>
    <t>Primarily for use on a ship with energy weapons(generally explorers) to utilise Gowrons Officer ability. Not for use on G3 enterprise as no morale to trigger ship ability. Gowron is stats based and combats the effectiveness of Marcus. Higher the Gowron and lower the Marcus you are fighting the better results this will have. Kang for penetration boost specific to fighting Interceptors</t>
  </si>
  <si>
    <t>Stack Health for all officers. Yuki offer shield strip at 10% per round. Yuki and Yan'Agh give binus damages roms and ideally should be maxed. Charvanek for her penetration boost specific to fighting battleships</t>
  </si>
  <si>
    <t>Most efficiency jump and summoning crew for Discovery. Promoting Culber increases efficiency further. Saru can be swapped out for Georgio or Arium and maintain the same efficiency.</t>
  </si>
  <si>
    <t>Stack for Attack and Defence to fuel Kang and Beverley. Swap Jaylah to captain if during the battle you do not lose shield to increase loot bonus. Beverleys captain manoeuvre restores shields and if in battle logs you do not lose Shield then you do not need as captain and can benefit from the extra loot from Jaylah as captain</t>
  </si>
  <si>
    <t>Never use Chen for swarms. Can swap Cadet Kirk for Cadet Mccoy.</t>
  </si>
  <si>
    <t>Crew will net more frequency Modulators than any other standard swarm crew in each hull of your Franklin-A. If you lose shield when hitting hostiles, then swap Beverley to captain for her shield regeneration ability. This will reduce loot per hostile but may result in more Kills per hull.</t>
  </si>
  <si>
    <t>Use on cheap ship such as realta during takeovers to be resurrected once destroyed in attempt to gain additional points. Specific side officers are completely optional for this build.</t>
  </si>
  <si>
    <t>Good for defending against lower power warships. Vidars are the main OPC hunting crew so can swap Chekov for Kang if a higher Rank</t>
  </si>
  <si>
    <t>Explorers only. swap for HGW/Khan if Mccoy only t1/t2</t>
  </si>
  <si>
    <t>Crew where you have not attained the Shakedown Cruise officers (Currently only available through purchase packs) If you do not yet have pike would suggest using chen to help survivability</t>
  </si>
  <si>
    <t>Officer Training (Resourceful bug, cannot get 100%)</t>
  </si>
  <si>
    <t>Below Decks: Small increase to piercing stats; Officer Ability: Reasonable increase to mitigation.</t>
  </si>
  <si>
    <t>Added 3 Lower Decks officers, Mariner, Boimler and Badgey. Changed various screens to accommodate new Below Decks Abilities (BDA). Added new ship USS Cerritos. Fix Paul Zhou's Rank 5 skill error. Correct Ba'el and B'tor's officer group (GS). Removed incorrect conditional formatting on first lower deck slot (GS). Added ATA critical data to Overview sheet that was missing (GS). Added Conditional formatting to target tiers on planning sheet (GS). Fix Turas crew figures. Added column names to the Ship screen firing pattern.</t>
  </si>
  <si>
    <t>Official Tool  Discord Server</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</si>
</sst>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 #,##0.00_-;_-* &quot;-&quot;??_-;_-@_-"/>
    <numFmt numFmtId="164" formatCode="0.0%"/>
    <numFmt numFmtId="165" formatCode="0.000%"/>
    <numFmt numFmtId="166" formatCode="0.000000000"/>
  </numFmts>
  <fonts count="45" x14ac:knownFonts="1">
    <font>
      <sz val="11"/>
      <color theme="1"/>
      <name val="Calibri"/>
      <family val="2"/>
      <scheme val="minor"/>
    </font>
    <font>
      <sz val="11"/>
      <color rgb="FFB9BBBE"/>
      <name val="Consolas"/>
      <family val="3"/>
    </font>
    <font>
      <sz val="8"/>
      <color rgb="FF000000"/>
      <name val="Tahoma"/>
      <family val="2"/>
    </font>
    <font>
      <sz val="12"/>
      <color theme="1"/>
      <name val="Impact"/>
      <family val="2"/>
    </font>
    <font>
      <sz val="12"/>
      <color rgb="FFF5C548"/>
      <name val="Impact"/>
      <family val="2"/>
    </font>
    <font>
      <sz val="12"/>
      <color rgb="FF000000"/>
      <name val="Impact"/>
      <family val="2"/>
    </font>
    <font>
      <i/>
      <sz val="12"/>
      <color rgb="FFF5C548"/>
      <name val="Impact"/>
      <family val="2"/>
    </font>
    <font>
      <sz val="12"/>
      <color rgb="FFBF90BF"/>
      <name val="Impact"/>
      <family val="2"/>
    </font>
    <font>
      <sz val="12"/>
      <color rgb="FF99CCFF"/>
      <name val="Impact"/>
      <family val="2"/>
    </font>
    <font>
      <sz val="16"/>
      <color rgb="FFFFC000"/>
      <name val="Impact"/>
      <family val="2"/>
    </font>
    <font>
      <sz val="12"/>
      <color rgb="FFFFC000"/>
      <name val="Impact"/>
      <family val="2"/>
    </font>
    <font>
      <sz val="11"/>
      <color rgb="FFF5C548"/>
      <name val="Calibri"/>
      <family val="2"/>
      <scheme val="minor"/>
    </font>
    <font>
      <u/>
      <sz val="11"/>
      <color theme="10"/>
      <name val="Calibri"/>
      <family val="2"/>
      <scheme val="minor"/>
    </font>
    <font>
      <sz val="14"/>
      <color rgb="FFF5C548"/>
      <name val="Impact"/>
      <family val="2"/>
    </font>
    <font>
      <i/>
      <sz val="12"/>
      <color rgb="FF99CCFF"/>
      <name val="Impact"/>
      <family val="2"/>
    </font>
    <font>
      <sz val="10"/>
      <color theme="1"/>
      <name val="Impact"/>
      <family val="2"/>
    </font>
    <font>
      <u/>
      <sz val="14"/>
      <color rgb="FFBF90BF"/>
      <name val="Impact"/>
      <family val="2"/>
    </font>
    <font>
      <sz val="11"/>
      <color rgb="FFF5C548"/>
      <name val="Calibri"/>
      <family val="2"/>
    </font>
    <font>
      <sz val="12"/>
      <color theme="1" tint="0.249977111117893"/>
      <name val="Impact"/>
      <family val="2"/>
    </font>
    <font>
      <sz val="11"/>
      <color rgb="FFFFC000"/>
      <name val="Calibri"/>
      <family val="2"/>
      <scheme val="minor"/>
    </font>
    <font>
      <sz val="11"/>
      <color rgb="FF99CCFF"/>
      <name val="Impact"/>
      <family val="2"/>
    </font>
    <font>
      <sz val="10"/>
      <color rgb="FF99CCFF"/>
      <name val="Impact"/>
      <family val="2"/>
    </font>
    <font>
      <sz val="14"/>
      <color rgb="FFFFC000"/>
      <name val="Impact"/>
      <family val="2"/>
    </font>
    <font>
      <sz val="11"/>
      <color rgb="FF99CCFF"/>
      <name val="Calibri"/>
      <family val="2"/>
      <scheme val="minor"/>
    </font>
    <font>
      <sz val="28"/>
      <color rgb="FFBF90BF"/>
      <name val="Impact"/>
      <family val="2"/>
    </font>
    <font>
      <sz val="11"/>
      <color rgb="FF000000"/>
      <name val="Calibri"/>
      <family val="2"/>
      <scheme val="minor"/>
    </font>
    <font>
      <b/>
      <sz val="11"/>
      <color rgb="FFFFC000"/>
      <name val="Calibri"/>
      <family val="2"/>
      <scheme val="minor"/>
    </font>
    <font>
      <sz val="12"/>
      <name val="Impact"/>
      <family val="2"/>
    </font>
    <font>
      <sz val="11"/>
      <color theme="1"/>
      <name val="Impact"/>
      <family val="2"/>
    </font>
    <font>
      <sz val="11"/>
      <color rgb="FFF5C548"/>
      <name val="Impact"/>
      <family val="2"/>
    </font>
    <font>
      <sz val="11"/>
      <name val="Impact"/>
      <family val="2"/>
    </font>
    <font>
      <b/>
      <sz val="11"/>
      <color rgb="FFF5C548"/>
      <name val="Calibri"/>
      <family val="2"/>
      <scheme val="minor"/>
    </font>
    <font>
      <sz val="11"/>
      <color rgb="FF9999CC"/>
      <name val="Impact"/>
      <family val="2"/>
    </font>
    <font>
      <sz val="11"/>
      <color rgb="FFBF90BF"/>
      <name val="Impact"/>
      <family val="2"/>
    </font>
    <font>
      <sz val="16"/>
      <color rgb="FFF5C548"/>
      <name val="Impact"/>
      <family val="2"/>
    </font>
    <font>
      <sz val="12"/>
      <color rgb="FFFF0000"/>
      <name val="Impact"/>
      <family val="2"/>
    </font>
    <font>
      <sz val="11"/>
      <color rgb="FFFFC000"/>
      <name val="Impact"/>
      <family val="2"/>
    </font>
    <font>
      <sz val="11"/>
      <color theme="9" tint="-0.249977111117893"/>
      <name val="Impact"/>
      <family val="2"/>
    </font>
    <font>
      <sz val="11"/>
      <color rgb="FF000000"/>
      <name val="Impact"/>
      <family val="2"/>
    </font>
    <font>
      <i/>
      <sz val="11"/>
      <color rgb="FFF5C548"/>
      <name val="Impact"/>
      <family val="2"/>
    </font>
    <font>
      <sz val="16"/>
      <color theme="1"/>
      <name val="Calibri"/>
      <family val="2"/>
      <scheme val="minor"/>
    </font>
    <font>
      <sz val="11"/>
      <name val="Calibri"/>
      <family val="2"/>
      <scheme val="minor"/>
    </font>
    <font>
      <u/>
      <sz val="11"/>
      <color theme="11"/>
      <name val="Calibri"/>
      <family val="2"/>
      <scheme val="minor"/>
    </font>
    <font>
      <sz val="11"/>
      <color theme="1"/>
      <name val="Calibri"/>
      <family val="2"/>
      <scheme val="minor"/>
    </font>
    <font>
      <sz val="11"/>
      <color rgb="FFFF0000"/>
      <name val="Impact"/>
      <family val="2"/>
    </font>
  </fonts>
  <fills count="14">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rgb="FF000000"/>
        <bgColor indexed="64"/>
      </patternFill>
    </fill>
    <fill>
      <patternFill patternType="solid">
        <fgColor rgb="FF9999CC"/>
        <bgColor indexed="64"/>
      </patternFill>
    </fill>
    <fill>
      <patternFill patternType="solid">
        <fgColor rgb="FF99CCFF"/>
        <bgColor indexed="64"/>
      </patternFill>
    </fill>
    <fill>
      <patternFill patternType="solid">
        <fgColor rgb="FFBF90BF"/>
        <bgColor rgb="FF000000"/>
      </patternFill>
    </fill>
    <fill>
      <patternFill patternType="solid">
        <fgColor rgb="FFBF90BF"/>
        <bgColor indexed="64"/>
      </patternFill>
    </fill>
    <fill>
      <patternFill patternType="solid">
        <fgColor rgb="FFF5C548"/>
        <bgColor indexed="64"/>
      </patternFill>
    </fill>
    <fill>
      <patternFill patternType="solid">
        <fgColor theme="1"/>
        <bgColor rgb="FF000000"/>
      </patternFill>
    </fill>
    <fill>
      <patternFill patternType="solid">
        <fgColor theme="6" tint="-0.249977111117893"/>
        <bgColor indexed="64"/>
      </patternFill>
    </fill>
    <fill>
      <patternFill patternType="solid">
        <fgColor rgb="FFFFC000"/>
        <bgColor indexed="64"/>
      </patternFill>
    </fill>
    <fill>
      <patternFill patternType="solid">
        <fgColor theme="1" tint="0.249977111117893"/>
        <bgColor indexed="64"/>
      </patternFill>
    </fill>
  </fills>
  <borders count="10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rgb="FF99CCFF"/>
      </left>
      <right style="thin">
        <color rgb="FF99CCFF"/>
      </right>
      <top style="thin">
        <color rgb="FF99CCFF"/>
      </top>
      <bottom style="thin">
        <color rgb="FF99CCFF"/>
      </bottom>
      <diagonal/>
    </border>
    <border>
      <left style="thin">
        <color theme="1"/>
      </left>
      <right/>
      <top style="thin">
        <color theme="1"/>
      </top>
      <bottom style="thin">
        <color theme="1"/>
      </bottom>
      <diagonal/>
    </border>
    <border>
      <left style="thin">
        <color theme="1"/>
      </left>
      <right/>
      <top style="thin">
        <color theme="1"/>
      </top>
      <bottom/>
      <diagonal/>
    </border>
    <border>
      <left/>
      <right style="thin">
        <color theme="1"/>
      </right>
      <top style="thin">
        <color theme="1"/>
      </top>
      <bottom/>
      <diagonal/>
    </border>
    <border>
      <left style="thin">
        <color theme="1"/>
      </left>
      <right style="thin">
        <color theme="1"/>
      </right>
      <top style="thin">
        <color theme="1"/>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style="thin">
        <color rgb="FF99CCFF"/>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ck">
        <color rgb="FF99CCFF"/>
      </left>
      <right/>
      <top/>
      <bottom style="thin">
        <color indexed="64"/>
      </bottom>
      <diagonal/>
    </border>
    <border>
      <left style="thick">
        <color rgb="FF99CCFF"/>
      </left>
      <right/>
      <top style="thick">
        <color rgb="FF99CCFF"/>
      </top>
      <bottom/>
      <diagonal/>
    </border>
    <border>
      <left style="thick">
        <color rgb="FF99CCFF"/>
      </left>
      <right style="thick">
        <color rgb="FF99CCFF"/>
      </right>
      <top/>
      <bottom/>
      <diagonal/>
    </border>
    <border>
      <left style="thin">
        <color theme="1"/>
      </left>
      <right style="thin">
        <color theme="1"/>
      </right>
      <top style="thin">
        <color theme="1"/>
      </top>
      <bottom style="thin">
        <color theme="1"/>
      </bottom>
      <diagonal/>
    </border>
    <border>
      <left/>
      <right/>
      <top style="thin">
        <color theme="1"/>
      </top>
      <bottom/>
      <diagonal/>
    </border>
    <border>
      <left style="thick">
        <color rgb="FF99CCFF"/>
      </left>
      <right/>
      <top style="thin">
        <color theme="1"/>
      </top>
      <bottom style="thick">
        <color rgb="FF99CCFF"/>
      </bottom>
      <diagonal/>
    </border>
    <border>
      <left style="thick">
        <color rgb="FF99CCFF"/>
      </left>
      <right/>
      <top style="thin">
        <color theme="1"/>
      </top>
      <bottom/>
      <diagonal/>
    </border>
    <border>
      <left/>
      <right style="thick">
        <color rgb="FF99CCFF"/>
      </right>
      <top style="thin">
        <color theme="1"/>
      </top>
      <bottom style="thick">
        <color rgb="FF99CCFF"/>
      </bottom>
      <diagonal/>
    </border>
    <border>
      <left style="thin">
        <color theme="1"/>
      </left>
      <right/>
      <top/>
      <bottom/>
      <diagonal/>
    </border>
    <border>
      <left/>
      <right style="thin">
        <color theme="1"/>
      </right>
      <top/>
      <bottom/>
      <diagonal/>
    </border>
    <border>
      <left style="thin">
        <color theme="1"/>
      </left>
      <right/>
      <top/>
      <bottom style="thin">
        <color indexed="64"/>
      </bottom>
      <diagonal/>
    </border>
    <border>
      <left style="thin">
        <color theme="1"/>
      </left>
      <right style="thin">
        <color indexed="64"/>
      </right>
      <top style="thin">
        <color indexed="64"/>
      </top>
      <bottom style="thin">
        <color indexed="64"/>
      </bottom>
      <diagonal/>
    </border>
    <border>
      <left style="thin">
        <color theme="1"/>
      </left>
      <right/>
      <top/>
      <bottom style="thin">
        <color theme="1"/>
      </bottom>
      <diagonal/>
    </border>
    <border>
      <left/>
      <right/>
      <top/>
      <bottom style="thin">
        <color theme="1"/>
      </bottom>
      <diagonal/>
    </border>
    <border>
      <left style="thin">
        <color rgb="FF99CCFF"/>
      </left>
      <right style="thin">
        <color rgb="FF99CCFF"/>
      </right>
      <top style="thin">
        <color rgb="FF99CCFF"/>
      </top>
      <bottom style="thin">
        <color theme="1"/>
      </bottom>
      <diagonal/>
    </border>
    <border>
      <left/>
      <right style="thin">
        <color theme="1"/>
      </right>
      <top/>
      <bottom style="thin">
        <color theme="1"/>
      </bottom>
      <diagonal/>
    </border>
    <border>
      <left/>
      <right/>
      <top style="thin">
        <color theme="1"/>
      </top>
      <bottom style="thin">
        <color theme="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rgb="FF99CCFF"/>
      </left>
      <right/>
      <top style="thin">
        <color rgb="FF99CCFF"/>
      </top>
      <bottom/>
      <diagonal/>
    </border>
    <border>
      <left/>
      <right/>
      <top style="thin">
        <color rgb="FF99CCFF"/>
      </top>
      <bottom/>
      <diagonal/>
    </border>
    <border>
      <left/>
      <right style="thin">
        <color rgb="FF99CCFF"/>
      </right>
      <top style="thin">
        <color rgb="FF99CCFF"/>
      </top>
      <bottom/>
      <diagonal/>
    </border>
    <border>
      <left style="thin">
        <color rgb="FF99CCFF"/>
      </left>
      <right/>
      <top/>
      <bottom/>
      <diagonal/>
    </border>
    <border>
      <left/>
      <right style="thin">
        <color rgb="FF99CCFF"/>
      </right>
      <top/>
      <bottom/>
      <diagonal/>
    </border>
    <border>
      <left style="thin">
        <color rgb="FF99CCFF"/>
      </left>
      <right/>
      <top/>
      <bottom style="thin">
        <color rgb="FF99CCFF"/>
      </bottom>
      <diagonal/>
    </border>
    <border>
      <left/>
      <right/>
      <top/>
      <bottom style="thin">
        <color rgb="FF99CCFF"/>
      </bottom>
      <diagonal/>
    </border>
    <border>
      <left/>
      <right style="thin">
        <color rgb="FF99CCFF"/>
      </right>
      <top/>
      <bottom style="thin">
        <color rgb="FF99CCFF"/>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BF90BF"/>
      </left>
      <right/>
      <top style="thin">
        <color rgb="FFBF90BF"/>
      </top>
      <bottom/>
      <diagonal/>
    </border>
    <border>
      <left/>
      <right style="thin">
        <color rgb="FFBF90BF"/>
      </right>
      <top style="thin">
        <color rgb="FFBF90BF"/>
      </top>
      <bottom/>
      <diagonal/>
    </border>
    <border>
      <left style="thin">
        <color rgb="FFBF90BF"/>
      </left>
      <right/>
      <top/>
      <bottom/>
      <diagonal/>
    </border>
    <border>
      <left/>
      <right style="thin">
        <color rgb="FFBF90BF"/>
      </right>
      <top/>
      <bottom/>
      <diagonal/>
    </border>
    <border>
      <left style="thin">
        <color rgb="FFBF90BF"/>
      </left>
      <right/>
      <top/>
      <bottom style="thin">
        <color rgb="FFBF90BF"/>
      </bottom>
      <diagonal/>
    </border>
    <border>
      <left/>
      <right style="thin">
        <color rgb="FFBF90BF"/>
      </right>
      <top/>
      <bottom style="thin">
        <color rgb="FFBF90BF"/>
      </bottom>
      <diagonal/>
    </border>
    <border>
      <left style="thin">
        <color rgb="FF000000"/>
      </left>
      <right/>
      <top style="thin">
        <color rgb="FF000000"/>
      </top>
      <bottom style="thin">
        <color rgb="FF000000"/>
      </bottom>
      <diagonal/>
    </border>
    <border>
      <left/>
      <right/>
      <top style="thin">
        <color rgb="FFBF90BF"/>
      </top>
      <bottom/>
      <diagonal/>
    </border>
    <border>
      <left/>
      <right/>
      <top/>
      <bottom style="thin">
        <color rgb="FFBF90BF"/>
      </bottom>
      <diagonal/>
    </border>
    <border>
      <left/>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rgb="FF000000"/>
      </top>
      <bottom/>
      <diagonal/>
    </border>
    <border>
      <left/>
      <right style="thin">
        <color rgb="FFBF90BF"/>
      </right>
      <top style="thin">
        <color rgb="FF000000"/>
      </top>
      <bottom/>
      <diagonal/>
    </border>
    <border>
      <left style="thin">
        <color rgb="FF000000"/>
      </left>
      <right style="thin">
        <color rgb="FF000000"/>
      </right>
      <top/>
      <bottom style="thin">
        <color rgb="FF000000"/>
      </bottom>
      <diagonal/>
    </border>
    <border>
      <left style="thin">
        <color rgb="FFBF90BF"/>
      </left>
      <right/>
      <top style="thin">
        <color rgb="FF000000"/>
      </top>
      <bottom/>
      <diagonal/>
    </border>
    <border>
      <left/>
      <right style="thin">
        <color rgb="FF000000"/>
      </right>
      <top style="thin">
        <color rgb="FF000000"/>
      </top>
      <bottom style="thin">
        <color rgb="FF000000"/>
      </bottom>
      <diagonal/>
    </border>
    <border>
      <left style="thin">
        <color theme="1" tint="0.14999847407452621"/>
      </left>
      <right style="thin">
        <color theme="1" tint="0.14999847407452621"/>
      </right>
      <top style="thin">
        <color theme="1" tint="0.14999847407452621"/>
      </top>
      <bottom style="thin">
        <color theme="1" tint="0.14999847407452621"/>
      </bottom>
      <diagonal/>
    </border>
    <border>
      <left/>
      <right style="thin">
        <color theme="1" tint="0.14999847407452621"/>
      </right>
      <top style="thin">
        <color theme="1" tint="0.14999847407452621"/>
      </top>
      <bottom style="thin">
        <color theme="1" tint="0.14999847407452621"/>
      </bottom>
      <diagonal/>
    </border>
    <border>
      <left style="thin">
        <color theme="1"/>
      </left>
      <right style="thin">
        <color theme="1"/>
      </right>
      <top/>
      <bottom style="thin">
        <color theme="1"/>
      </bottom>
      <diagonal/>
    </border>
    <border>
      <left style="thin">
        <color theme="1" tint="0.14999847407452621"/>
      </left>
      <right/>
      <top style="thin">
        <color theme="1" tint="0.14999847407452621"/>
      </top>
      <bottom style="thin">
        <color theme="1" tint="0.14999847407452621"/>
      </bottom>
      <diagonal/>
    </border>
    <border>
      <left/>
      <right/>
      <top style="thin">
        <color theme="1" tint="0.14999847407452621"/>
      </top>
      <bottom style="thin">
        <color theme="1" tint="0.14999847407452621"/>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indexed="64"/>
      </left>
      <right/>
      <top/>
      <bottom style="thin">
        <color rgb="FF99CCFF"/>
      </bottom>
      <diagonal/>
    </border>
    <border>
      <left/>
      <right style="thin">
        <color indexed="64"/>
      </right>
      <top/>
      <bottom style="thin">
        <color rgb="FF99CCFF"/>
      </bottom>
      <diagonal/>
    </border>
  </borders>
  <cellStyleXfs count="5">
    <xf numFmtId="0" fontId="0" fillId="0" borderId="0"/>
    <xf numFmtId="0" fontId="1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43" fillId="0" borderId="0" applyFont="0" applyFill="0" applyBorder="0" applyAlignment="0" applyProtection="0"/>
  </cellStyleXfs>
  <cellXfs count="727">
    <xf numFmtId="0" fontId="0" fillId="0" borderId="0" xfId="0"/>
    <xf numFmtId="0" fontId="3" fillId="3" borderId="0" xfId="0" applyFont="1" applyFill="1" applyAlignment="1">
      <alignment vertical="center"/>
    </xf>
    <xf numFmtId="0" fontId="4" fillId="3" borderId="0" xfId="0" applyFont="1" applyFill="1" applyBorder="1" applyAlignment="1">
      <alignment vertical="center"/>
    </xf>
    <xf numFmtId="0" fontId="4" fillId="9" borderId="10" xfId="0" applyFont="1" applyFill="1" applyBorder="1" applyAlignment="1">
      <alignment horizontal="right" vertical="center"/>
    </xf>
    <xf numFmtId="0" fontId="4" fillId="9" borderId="12" xfId="0" applyFont="1" applyFill="1" applyBorder="1" applyAlignment="1">
      <alignment horizontal="right" vertical="center"/>
    </xf>
    <xf numFmtId="0" fontId="5" fillId="9" borderId="11" xfId="0" applyFont="1" applyFill="1" applyBorder="1" applyAlignment="1">
      <alignment horizontal="right" vertical="center"/>
    </xf>
    <xf numFmtId="0" fontId="4" fillId="8" borderId="10" xfId="0" applyFont="1" applyFill="1" applyBorder="1" applyAlignment="1">
      <alignment horizontal="right" vertical="center"/>
    </xf>
    <xf numFmtId="0" fontId="4" fillId="3" borderId="0" xfId="0" applyFont="1" applyFill="1" applyAlignment="1">
      <alignment vertical="center"/>
    </xf>
    <xf numFmtId="0" fontId="4" fillId="3" borderId="0" xfId="0" applyFont="1" applyFill="1" applyBorder="1" applyAlignment="1">
      <alignment horizontal="center" vertical="center"/>
    </xf>
    <xf numFmtId="0" fontId="4" fillId="3" borderId="3" xfId="0" applyFont="1" applyFill="1" applyBorder="1" applyAlignment="1">
      <alignment vertical="center"/>
    </xf>
    <xf numFmtId="1" fontId="4" fillId="3" borderId="0" xfId="0" applyNumberFormat="1" applyFont="1" applyFill="1" applyBorder="1" applyAlignment="1">
      <alignment vertical="center"/>
    </xf>
    <xf numFmtId="49" fontId="3" fillId="8" borderId="5" xfId="0" applyNumberFormat="1" applyFont="1" applyFill="1" applyBorder="1" applyAlignment="1">
      <alignment horizontal="right" vertical="center"/>
    </xf>
    <xf numFmtId="0" fontId="6" fillId="3" borderId="0" xfId="0" applyFont="1" applyFill="1" applyBorder="1" applyAlignment="1">
      <alignment vertical="center"/>
    </xf>
    <xf numFmtId="0" fontId="3" fillId="3" borderId="0" xfId="0" applyFont="1" applyFill="1" applyAlignment="1" applyProtection="1">
      <alignment vertical="center"/>
      <protection locked="0" hidden="1"/>
    </xf>
    <xf numFmtId="9" fontId="4" fillId="3" borderId="0" xfId="0" applyNumberFormat="1" applyFont="1" applyFill="1" applyBorder="1" applyAlignment="1">
      <alignment vertical="center"/>
    </xf>
    <xf numFmtId="1" fontId="4" fillId="3" borderId="0" xfId="0" applyNumberFormat="1" applyFont="1" applyFill="1" applyBorder="1" applyAlignment="1">
      <alignment horizontal="center" vertical="center"/>
    </xf>
    <xf numFmtId="0" fontId="7" fillId="9" borderId="12" xfId="0" applyFont="1" applyFill="1" applyBorder="1" applyAlignment="1">
      <alignment horizontal="right" vertical="center"/>
    </xf>
    <xf numFmtId="9" fontId="4" fillId="5" borderId="10" xfId="0" applyNumberFormat="1" applyFont="1" applyFill="1" applyBorder="1" applyAlignment="1">
      <alignment horizontal="right" vertical="center"/>
    </xf>
    <xf numFmtId="0" fontId="4" fillId="5" borderId="12" xfId="0" applyFont="1" applyFill="1" applyBorder="1" applyAlignment="1">
      <alignment horizontal="right" vertical="center"/>
    </xf>
    <xf numFmtId="1" fontId="4" fillId="5" borderId="12" xfId="0" applyNumberFormat="1" applyFont="1" applyFill="1" applyBorder="1" applyAlignment="1">
      <alignment horizontal="right" vertical="center"/>
    </xf>
    <xf numFmtId="49" fontId="5" fillId="5" borderId="11" xfId="0" applyNumberFormat="1" applyFont="1" applyFill="1" applyBorder="1" applyAlignment="1">
      <alignment horizontal="right" vertical="center"/>
    </xf>
    <xf numFmtId="0" fontId="4" fillId="7" borderId="0" xfId="0" applyFont="1" applyFill="1" applyBorder="1" applyAlignment="1">
      <alignment horizontal="left" vertical="center"/>
    </xf>
    <xf numFmtId="0" fontId="4" fillId="8" borderId="0" xfId="0" applyFont="1" applyFill="1" applyAlignment="1">
      <alignment vertical="center"/>
    </xf>
    <xf numFmtId="0" fontId="9" fillId="4" borderId="0" xfId="0" applyFont="1" applyFill="1"/>
    <xf numFmtId="0" fontId="10" fillId="4" borderId="0" xfId="0" applyFont="1" applyFill="1"/>
    <xf numFmtId="0" fontId="10" fillId="4" borderId="0" xfId="0" applyFont="1" applyFill="1" applyAlignment="1">
      <alignment horizontal="center"/>
    </xf>
    <xf numFmtId="49" fontId="10" fillId="4" borderId="0" xfId="0" applyNumberFormat="1" applyFont="1" applyFill="1" applyBorder="1" applyAlignment="1">
      <alignment horizontal="center"/>
    </xf>
    <xf numFmtId="0" fontId="10" fillId="2" borderId="0" xfId="0" applyFont="1" applyFill="1" applyBorder="1"/>
    <xf numFmtId="0" fontId="4" fillId="10" borderId="0" xfId="0" applyFont="1" applyFill="1" applyBorder="1" applyAlignment="1">
      <alignment horizontal="left" vertical="center"/>
    </xf>
    <xf numFmtId="49" fontId="11" fillId="3" borderId="0" xfId="0" applyNumberFormat="1" applyFont="1" applyFill="1" applyAlignment="1" applyProtection="1">
      <alignment horizontal="left"/>
      <protection locked="0"/>
    </xf>
    <xf numFmtId="0" fontId="11" fillId="3" borderId="0" xfId="0" applyFont="1" applyFill="1" applyProtection="1">
      <protection locked="0"/>
    </xf>
    <xf numFmtId="0" fontId="10" fillId="4" borderId="0" xfId="0" applyFont="1" applyFill="1" applyProtection="1"/>
    <xf numFmtId="1" fontId="10" fillId="4" borderId="0" xfId="0" applyNumberFormat="1" applyFont="1" applyFill="1" applyProtection="1"/>
    <xf numFmtId="0" fontId="8" fillId="3" borderId="0" xfId="0" applyFont="1" applyFill="1" applyAlignment="1" applyProtection="1">
      <alignment horizontal="center" vertical="center"/>
      <protection locked="0" hidden="1"/>
    </xf>
    <xf numFmtId="0" fontId="8" fillId="3" borderId="0" xfId="0" applyFont="1" applyFill="1" applyAlignment="1" applyProtection="1">
      <alignment vertical="center"/>
      <protection locked="0" hidden="1"/>
    </xf>
    <xf numFmtId="1" fontId="8" fillId="3" borderId="0" xfId="0" applyNumberFormat="1" applyFont="1" applyFill="1" applyAlignment="1" applyProtection="1">
      <alignment vertical="center"/>
      <protection locked="0" hidden="1"/>
    </xf>
    <xf numFmtId="1" fontId="4" fillId="3" borderId="0" xfId="0" applyNumberFormat="1" applyFont="1" applyFill="1" applyProtection="1"/>
    <xf numFmtId="0" fontId="4" fillId="10" borderId="0" xfId="0" applyFont="1" applyFill="1" applyBorder="1" applyAlignment="1" applyProtection="1">
      <alignment horizontal="left" vertical="center"/>
      <protection locked="0" hidden="1"/>
    </xf>
    <xf numFmtId="0" fontId="4" fillId="7" borderId="0" xfId="0" applyFont="1" applyFill="1" applyBorder="1" applyAlignment="1" applyProtection="1">
      <alignment horizontal="left" vertical="center"/>
      <protection locked="0" hidden="1"/>
    </xf>
    <xf numFmtId="0" fontId="4" fillId="8" borderId="0" xfId="0" applyFont="1" applyFill="1" applyAlignment="1" applyProtection="1">
      <alignment vertical="center"/>
      <protection locked="0" hidden="1"/>
    </xf>
    <xf numFmtId="0" fontId="4" fillId="3" borderId="0" xfId="0" applyFont="1" applyFill="1" applyAlignment="1" applyProtection="1">
      <alignment vertical="center"/>
      <protection locked="0" hidden="1"/>
    </xf>
    <xf numFmtId="0" fontId="12" fillId="4" borderId="0" xfId="1" applyFill="1"/>
    <xf numFmtId="0" fontId="13" fillId="3" borderId="0" xfId="0" applyFont="1" applyFill="1"/>
    <xf numFmtId="0" fontId="4" fillId="3" borderId="0" xfId="0" applyFont="1" applyFill="1"/>
    <xf numFmtId="0" fontId="8" fillId="4" borderId="0" xfId="0" applyFont="1" applyFill="1" applyProtection="1">
      <protection locked="0" hidden="1"/>
    </xf>
    <xf numFmtId="0" fontId="17" fillId="3" borderId="0" xfId="0" applyFont="1" applyFill="1"/>
    <xf numFmtId="0" fontId="4" fillId="8" borderId="12" xfId="0" applyFont="1" applyFill="1" applyBorder="1" applyAlignment="1">
      <alignment horizontal="right" vertical="center"/>
    </xf>
    <xf numFmtId="0" fontId="6" fillId="5" borderId="11" xfId="0" applyFont="1" applyFill="1" applyBorder="1" applyAlignment="1">
      <alignment vertical="center"/>
    </xf>
    <xf numFmtId="49" fontId="5" fillId="6" borderId="10" xfId="0" applyNumberFormat="1" applyFont="1" applyFill="1" applyBorder="1" applyAlignment="1">
      <alignment horizontal="right" vertical="center"/>
    </xf>
    <xf numFmtId="49" fontId="5" fillId="5" borderId="12" xfId="0" applyNumberFormat="1" applyFont="1" applyFill="1" applyBorder="1" applyAlignment="1">
      <alignment horizontal="right" vertical="center"/>
    </xf>
    <xf numFmtId="0" fontId="6" fillId="5" borderId="12" xfId="0" applyFont="1" applyFill="1" applyBorder="1" applyAlignment="1">
      <alignment vertical="center"/>
    </xf>
    <xf numFmtId="49" fontId="5" fillId="6" borderId="11" xfId="0" applyNumberFormat="1" applyFont="1" applyFill="1" applyBorder="1" applyAlignment="1">
      <alignment horizontal="right" vertical="center"/>
    </xf>
    <xf numFmtId="0" fontId="5" fillId="9" borderId="12" xfId="0" applyFont="1" applyFill="1" applyBorder="1" applyAlignment="1">
      <alignment horizontal="right" vertical="center"/>
    </xf>
    <xf numFmtId="9" fontId="17" fillId="3" borderId="0" xfId="0" applyNumberFormat="1" applyFont="1" applyFill="1"/>
    <xf numFmtId="1" fontId="17" fillId="3" borderId="0" xfId="0" applyNumberFormat="1" applyFont="1" applyFill="1"/>
    <xf numFmtId="0" fontId="1" fillId="0" borderId="0" xfId="0" applyFont="1"/>
    <xf numFmtId="0" fontId="11" fillId="3" borderId="0" xfId="0" applyFont="1" applyFill="1" applyBorder="1" applyAlignment="1">
      <alignment horizontal="left" vertical="center"/>
    </xf>
    <xf numFmtId="49" fontId="11" fillId="3" borderId="0" xfId="0" applyNumberFormat="1" applyFont="1" applyFill="1" applyBorder="1" applyAlignment="1">
      <alignment horizontal="left" vertical="center"/>
    </xf>
    <xf numFmtId="0" fontId="10" fillId="4" borderId="0" xfId="0" applyFont="1" applyFill="1" applyBorder="1"/>
    <xf numFmtId="0" fontId="10" fillId="3" borderId="0" xfId="0" applyFont="1" applyFill="1" applyBorder="1"/>
    <xf numFmtId="0" fontId="10" fillId="3" borderId="0" xfId="0" applyFont="1" applyFill="1" applyBorder="1" applyAlignment="1">
      <alignment horizontal="right"/>
    </xf>
    <xf numFmtId="49" fontId="5" fillId="11" borderId="0" xfId="0" applyNumberFormat="1" applyFont="1" applyFill="1" applyBorder="1" applyAlignment="1" applyProtection="1">
      <alignment horizontal="left" vertical="center"/>
      <protection locked="0" hidden="1"/>
    </xf>
    <xf numFmtId="0" fontId="5" fillId="11" borderId="0" xfId="0" applyFont="1" applyFill="1" applyBorder="1" applyProtection="1">
      <protection locked="0" hidden="1"/>
    </xf>
    <xf numFmtId="0" fontId="4" fillId="3" borderId="0" xfId="0" applyFont="1" applyFill="1" applyAlignment="1">
      <alignment wrapText="1"/>
    </xf>
    <xf numFmtId="0" fontId="10" fillId="3" borderId="0" xfId="0" applyFont="1" applyFill="1" applyBorder="1" applyAlignment="1">
      <alignment horizontal="center"/>
    </xf>
    <xf numFmtId="0" fontId="5" fillId="11" borderId="0" xfId="0" applyFont="1" applyFill="1" applyBorder="1" applyAlignment="1" applyProtection="1">
      <alignment horizontal="center" vertical="center"/>
      <protection locked="0" hidden="1"/>
    </xf>
    <xf numFmtId="0" fontId="10" fillId="4" borderId="0" xfId="0" applyFont="1" applyFill="1" applyBorder="1" applyAlignment="1">
      <alignment horizontal="center"/>
    </xf>
    <xf numFmtId="0" fontId="11" fillId="3" borderId="0" xfId="0" applyFont="1" applyFill="1"/>
    <xf numFmtId="0" fontId="11" fillId="3" borderId="0" xfId="0" applyFont="1" applyFill="1" applyAlignment="1">
      <alignment horizontal="center"/>
    </xf>
    <xf numFmtId="9" fontId="11" fillId="3" borderId="0" xfId="0" applyNumberFormat="1" applyFont="1" applyFill="1" applyAlignment="1">
      <alignment horizontal="center"/>
    </xf>
    <xf numFmtId="9" fontId="11" fillId="3" borderId="0" xfId="0" applyNumberFormat="1" applyFont="1" applyFill="1" applyAlignment="1" applyProtection="1">
      <alignment horizontal="center"/>
      <protection locked="0"/>
    </xf>
    <xf numFmtId="0" fontId="11" fillId="3" borderId="0" xfId="0" applyFont="1" applyFill="1" applyAlignment="1">
      <alignment vertical="center" wrapText="1"/>
    </xf>
    <xf numFmtId="49" fontId="11" fillId="3" borderId="0" xfId="0" applyNumberFormat="1" applyFont="1" applyFill="1" applyAlignment="1" applyProtection="1">
      <alignment horizontal="left" vertical="center" wrapText="1"/>
      <protection locked="0"/>
    </xf>
    <xf numFmtId="0" fontId="11" fillId="3" borderId="0" xfId="0" applyFont="1" applyFill="1" applyAlignment="1">
      <alignment horizontal="center" vertical="center" wrapText="1"/>
    </xf>
    <xf numFmtId="1" fontId="11" fillId="3" borderId="0" xfId="0" applyNumberFormat="1" applyFont="1" applyFill="1" applyAlignment="1">
      <alignment horizontal="center"/>
    </xf>
    <xf numFmtId="9" fontId="11" fillId="3" borderId="0" xfId="0" applyNumberFormat="1" applyFont="1" applyFill="1"/>
    <xf numFmtId="0" fontId="11" fillId="3" borderId="0" xfId="0" applyNumberFormat="1" applyFont="1" applyFill="1" applyAlignment="1">
      <alignment horizontal="center"/>
    </xf>
    <xf numFmtId="2" fontId="11" fillId="3" borderId="0" xfId="0" applyNumberFormat="1" applyFont="1" applyFill="1" applyAlignment="1">
      <alignment horizontal="center"/>
    </xf>
    <xf numFmtId="0" fontId="0" fillId="3" borderId="0" xfId="0" applyFill="1"/>
    <xf numFmtId="0" fontId="3" fillId="8" borderId="10" xfId="0" applyFont="1" applyFill="1" applyBorder="1" applyAlignment="1">
      <alignment vertical="center"/>
    </xf>
    <xf numFmtId="0" fontId="19" fillId="3" borderId="0" xfId="0" applyFont="1" applyFill="1"/>
    <xf numFmtId="9" fontId="19" fillId="3" borderId="0" xfId="0" applyNumberFormat="1" applyFont="1" applyFill="1"/>
    <xf numFmtId="1" fontId="19" fillId="3" borderId="0" xfId="0" applyNumberFormat="1" applyFont="1" applyFill="1"/>
    <xf numFmtId="2" fontId="19" fillId="3" borderId="0" xfId="0" applyNumberFormat="1" applyFont="1" applyFill="1"/>
    <xf numFmtId="0" fontId="20" fillId="3" borderId="0" xfId="0" applyFont="1" applyFill="1" applyAlignment="1" applyProtection="1">
      <alignment vertical="center"/>
      <protection locked="0" hidden="1"/>
    </xf>
    <xf numFmtId="49" fontId="19" fillId="3" borderId="0" xfId="0" applyNumberFormat="1" applyFont="1" applyFill="1" applyAlignment="1" applyProtection="1">
      <alignment horizontal="left"/>
      <protection locked="0"/>
    </xf>
    <xf numFmtId="0" fontId="19" fillId="3" borderId="0" xfId="0" applyFont="1" applyFill="1" applyAlignment="1">
      <alignment horizontal="center"/>
    </xf>
    <xf numFmtId="0" fontId="21" fillId="3" borderId="0" xfId="0" applyFont="1" applyFill="1" applyAlignment="1" applyProtection="1">
      <alignment horizontal="center" vertical="center"/>
      <protection locked="0" hidden="1"/>
    </xf>
    <xf numFmtId="0" fontId="21" fillId="3" borderId="0" xfId="0" applyFont="1" applyFill="1" applyAlignment="1" applyProtection="1">
      <alignment horizontal="left" vertical="center"/>
      <protection locked="0" hidden="1"/>
    </xf>
    <xf numFmtId="0" fontId="21" fillId="3" borderId="0" xfId="0" applyFont="1" applyFill="1" applyAlignment="1" applyProtection="1">
      <alignment horizontal="center" vertical="center" wrapText="1"/>
      <protection locked="0" hidden="1"/>
    </xf>
    <xf numFmtId="0" fontId="5" fillId="11" borderId="0" xfId="0" applyFont="1" applyFill="1" applyBorder="1" applyAlignment="1" applyProtection="1">
      <alignment horizontal="center"/>
      <protection locked="0" hidden="1"/>
    </xf>
    <xf numFmtId="0" fontId="5" fillId="11" borderId="0" xfId="0" applyFont="1" applyFill="1" applyBorder="1" applyAlignment="1" applyProtection="1">
      <alignment horizontal="center" vertical="center"/>
      <protection hidden="1"/>
    </xf>
    <xf numFmtId="2" fontId="5" fillId="11" borderId="0" xfId="0" applyNumberFormat="1" applyFont="1" applyFill="1" applyBorder="1" applyAlignment="1" applyProtection="1">
      <alignment horizontal="left" vertical="center"/>
      <protection hidden="1"/>
    </xf>
    <xf numFmtId="0" fontId="5" fillId="11" borderId="0" xfId="0" applyFont="1" applyFill="1" applyBorder="1" applyProtection="1">
      <protection hidden="1"/>
    </xf>
    <xf numFmtId="0" fontId="22" fillId="4" borderId="0" xfId="0" applyFont="1" applyFill="1"/>
    <xf numFmtId="0" fontId="3" fillId="9" borderId="9" xfId="0" applyFont="1" applyFill="1" applyBorder="1" applyAlignment="1" applyProtection="1">
      <alignment vertical="center"/>
      <protection locked="0"/>
    </xf>
    <xf numFmtId="0" fontId="15" fillId="3" borderId="0" xfId="0" applyFont="1" applyFill="1" applyAlignment="1" applyProtection="1">
      <alignment horizontal="center" vertical="center"/>
      <protection locked="0" hidden="1"/>
    </xf>
    <xf numFmtId="0" fontId="11" fillId="3" borderId="0" xfId="0" applyFont="1" applyFill="1" applyAlignment="1">
      <alignment horizontal="center"/>
    </xf>
    <xf numFmtId="0" fontId="11" fillId="3" borderId="0" xfId="0" applyFont="1" applyFill="1" applyAlignment="1">
      <alignment horizontal="center"/>
    </xf>
    <xf numFmtId="0" fontId="3" fillId="3" borderId="0" xfId="0" applyFont="1" applyFill="1"/>
    <xf numFmtId="0" fontId="8" fillId="3" borderId="0" xfId="0" applyFont="1" applyFill="1"/>
    <xf numFmtId="0" fontId="23" fillId="3" borderId="0" xfId="0" applyFont="1" applyFill="1"/>
    <xf numFmtId="0" fontId="11" fillId="3" borderId="0" xfId="0" applyFont="1" applyFill="1" applyAlignment="1">
      <alignment horizontal="center"/>
    </xf>
    <xf numFmtId="0" fontId="11" fillId="3" borderId="0" xfId="0" applyFont="1" applyFill="1" applyAlignment="1">
      <alignment horizontal="center"/>
    </xf>
    <xf numFmtId="0" fontId="11" fillId="3" borderId="0" xfId="0" applyFont="1" applyFill="1" applyAlignment="1">
      <alignment wrapText="1"/>
    </xf>
    <xf numFmtId="0" fontId="11" fillId="3" borderId="0" xfId="0" applyFont="1" applyFill="1" applyAlignment="1">
      <alignment horizontal="center" wrapText="1"/>
    </xf>
    <xf numFmtId="0" fontId="23" fillId="3" borderId="0" xfId="0" applyFont="1" applyFill="1" applyAlignment="1">
      <alignment horizontal="center" wrapText="1"/>
    </xf>
    <xf numFmtId="0" fontId="23" fillId="3" borderId="0" xfId="0" applyFont="1" applyFill="1" applyAlignment="1">
      <alignment horizontal="center"/>
    </xf>
    <xf numFmtId="0" fontId="23" fillId="3" borderId="0" xfId="0" applyNumberFormat="1" applyFont="1" applyFill="1"/>
    <xf numFmtId="0" fontId="3" fillId="4" borderId="0" xfId="0" applyFont="1" applyFill="1"/>
    <xf numFmtId="0" fontId="11" fillId="3" borderId="0" xfId="0" applyFont="1" applyFill="1" applyAlignment="1">
      <alignment horizontal="center"/>
    </xf>
    <xf numFmtId="0" fontId="25" fillId="3" borderId="0" xfId="0" applyFont="1" applyFill="1" applyAlignment="1">
      <alignment horizontal="left"/>
    </xf>
    <xf numFmtId="0" fontId="3" fillId="3" borderId="0" xfId="0" applyFont="1" applyFill="1" applyProtection="1">
      <protection hidden="1"/>
    </xf>
    <xf numFmtId="0" fontId="3" fillId="5" borderId="0" xfId="0" applyFont="1" applyFill="1" applyProtection="1">
      <protection hidden="1"/>
    </xf>
    <xf numFmtId="0" fontId="3" fillId="5" borderId="0" xfId="0" applyFont="1" applyFill="1" applyBorder="1" applyProtection="1">
      <protection hidden="1"/>
    </xf>
    <xf numFmtId="0" fontId="3" fillId="3" borderId="32" xfId="0" applyFont="1" applyFill="1" applyBorder="1" applyProtection="1">
      <protection hidden="1"/>
    </xf>
    <xf numFmtId="0" fontId="8" fillId="3" borderId="33" xfId="0" applyFont="1" applyFill="1" applyBorder="1" applyAlignment="1" applyProtection="1">
      <alignment horizontal="center" vertical="center"/>
      <protection hidden="1"/>
    </xf>
    <xf numFmtId="9" fontId="4" fillId="3" borderId="32" xfId="0" applyNumberFormat="1" applyFont="1" applyFill="1" applyBorder="1" applyAlignment="1" applyProtection="1">
      <alignment horizontal="center" vertical="center"/>
      <protection hidden="1"/>
    </xf>
    <xf numFmtId="9" fontId="4" fillId="3" borderId="34" xfId="0" applyNumberFormat="1" applyFont="1" applyFill="1" applyBorder="1" applyAlignment="1" applyProtection="1">
      <alignment horizontal="center" vertical="center"/>
      <protection hidden="1"/>
    </xf>
    <xf numFmtId="0" fontId="8" fillId="3" borderId="35" xfId="0" applyFont="1" applyFill="1" applyBorder="1" applyAlignment="1" applyProtection="1">
      <alignment horizontal="center" vertical="center"/>
      <protection hidden="1"/>
    </xf>
    <xf numFmtId="0" fontId="8" fillId="3" borderId="34" xfId="0" applyFont="1" applyFill="1" applyBorder="1" applyAlignment="1" applyProtection="1">
      <alignment horizontal="left" vertical="center"/>
      <protection hidden="1"/>
    </xf>
    <xf numFmtId="0" fontId="3" fillId="4" borderId="20" xfId="0" applyFont="1" applyFill="1" applyBorder="1" applyProtection="1">
      <protection hidden="1"/>
    </xf>
    <xf numFmtId="0" fontId="4" fillId="3" borderId="0" xfId="0" applyFont="1" applyFill="1" applyBorder="1" applyAlignment="1" applyProtection="1">
      <alignment horizontal="center" vertical="center"/>
      <protection hidden="1"/>
    </xf>
    <xf numFmtId="0" fontId="3" fillId="3" borderId="0" xfId="0" applyFont="1" applyFill="1" applyBorder="1" applyProtection="1">
      <protection hidden="1"/>
    </xf>
    <xf numFmtId="9" fontId="4" fillId="3" borderId="30" xfId="0" applyNumberFormat="1" applyFont="1" applyFill="1" applyBorder="1" applyAlignment="1" applyProtection="1">
      <alignment horizontal="center" vertical="center"/>
      <protection hidden="1"/>
    </xf>
    <xf numFmtId="0" fontId="3" fillId="3" borderId="29" xfId="0" applyFont="1" applyFill="1" applyBorder="1" applyProtection="1">
      <protection hidden="1"/>
    </xf>
    <xf numFmtId="0" fontId="8" fillId="3" borderId="0" xfId="0" applyFont="1" applyFill="1" applyBorder="1" applyAlignment="1" applyProtection="1">
      <alignment horizontal="left" vertical="center"/>
      <protection hidden="1"/>
    </xf>
    <xf numFmtId="0" fontId="3" fillId="4" borderId="37" xfId="0" applyFont="1" applyFill="1" applyBorder="1" applyProtection="1">
      <protection hidden="1"/>
    </xf>
    <xf numFmtId="0" fontId="3" fillId="3" borderId="0" xfId="0" applyFont="1" applyFill="1" applyBorder="1" applyAlignment="1" applyProtection="1">
      <alignment vertical="center"/>
      <protection hidden="1"/>
    </xf>
    <xf numFmtId="9" fontId="4" fillId="3" borderId="28" xfId="0" applyNumberFormat="1" applyFont="1" applyFill="1" applyBorder="1" applyAlignment="1" applyProtection="1">
      <alignment horizontal="center" vertical="center"/>
      <protection hidden="1"/>
    </xf>
    <xf numFmtId="0" fontId="3" fillId="3" borderId="28" xfId="0" applyFont="1" applyFill="1" applyBorder="1" applyProtection="1">
      <protection hidden="1"/>
    </xf>
    <xf numFmtId="0" fontId="5" fillId="4" borderId="37" xfId="0" applyFont="1" applyFill="1" applyBorder="1" applyAlignment="1" applyProtection="1">
      <alignment horizontal="center" vertical="center"/>
      <protection hidden="1"/>
    </xf>
    <xf numFmtId="0" fontId="3" fillId="3" borderId="36" xfId="0" applyFont="1" applyFill="1" applyBorder="1" applyAlignment="1" applyProtection="1">
      <alignment vertical="center"/>
      <protection hidden="1"/>
    </xf>
    <xf numFmtId="0" fontId="8" fillId="3" borderId="18" xfId="0" applyFont="1" applyFill="1" applyBorder="1" applyAlignment="1" applyProtection="1">
      <alignment vertical="center"/>
      <protection hidden="1"/>
    </xf>
    <xf numFmtId="0" fontId="18" fillId="3" borderId="17" xfId="0" applyFont="1" applyFill="1" applyBorder="1" applyAlignment="1" applyProtection="1">
      <alignment horizontal="center" vertical="center"/>
      <protection hidden="1"/>
    </xf>
    <xf numFmtId="9" fontId="8" fillId="3" borderId="17" xfId="0" applyNumberFormat="1" applyFont="1" applyFill="1" applyBorder="1" applyAlignment="1" applyProtection="1">
      <alignment horizontal="center" vertical="center"/>
      <protection hidden="1"/>
    </xf>
    <xf numFmtId="9" fontId="8" fillId="4" borderId="37" xfId="0" applyNumberFormat="1" applyFont="1" applyFill="1" applyBorder="1" applyAlignment="1" applyProtection="1">
      <alignment horizontal="center" vertical="center"/>
      <protection hidden="1"/>
    </xf>
    <xf numFmtId="0" fontId="3" fillId="3" borderId="36" xfId="0" applyFont="1" applyFill="1" applyBorder="1" applyProtection="1">
      <protection hidden="1"/>
    </xf>
    <xf numFmtId="0" fontId="3" fillId="3" borderId="40" xfId="0" applyFont="1" applyFill="1" applyBorder="1" applyProtection="1">
      <protection hidden="1"/>
    </xf>
    <xf numFmtId="0" fontId="3" fillId="3" borderId="41" xfId="0" applyFont="1" applyFill="1" applyBorder="1" applyProtection="1">
      <protection hidden="1"/>
    </xf>
    <xf numFmtId="9" fontId="8" fillId="3" borderId="42" xfId="0" applyNumberFormat="1" applyFont="1" applyFill="1" applyBorder="1" applyAlignment="1" applyProtection="1">
      <alignment horizontal="center" vertical="center"/>
      <protection hidden="1"/>
    </xf>
    <xf numFmtId="9" fontId="8" fillId="4" borderId="43" xfId="0" applyNumberFormat="1" applyFont="1" applyFill="1" applyBorder="1" applyAlignment="1" applyProtection="1">
      <alignment horizontal="center" vertical="center"/>
      <protection hidden="1"/>
    </xf>
    <xf numFmtId="0" fontId="4" fillId="3" borderId="0" xfId="0" applyFont="1" applyFill="1" applyProtection="1">
      <protection locked="0" hidden="1"/>
    </xf>
    <xf numFmtId="0" fontId="8" fillId="3" borderId="0" xfId="0" applyFont="1" applyFill="1" applyProtection="1">
      <protection locked="0" hidden="1"/>
    </xf>
    <xf numFmtId="1" fontId="8" fillId="3" borderId="0" xfId="0" applyNumberFormat="1" applyFont="1" applyFill="1" applyProtection="1">
      <protection locked="0" hidden="1"/>
    </xf>
    <xf numFmtId="0" fontId="3" fillId="3" borderId="0" xfId="0" applyFont="1" applyFill="1" applyProtection="1">
      <protection locked="0" hidden="1"/>
    </xf>
    <xf numFmtId="0" fontId="26" fillId="3" borderId="0" xfId="0" applyFont="1" applyFill="1"/>
    <xf numFmtId="0" fontId="3" fillId="11" borderId="0" xfId="0" applyFont="1" applyFill="1" applyBorder="1"/>
    <xf numFmtId="0" fontId="3" fillId="11" borderId="0" xfId="0" applyFont="1" applyFill="1" applyBorder="1" applyAlignment="1">
      <alignment horizontal="center"/>
    </xf>
    <xf numFmtId="0" fontId="0" fillId="3" borderId="0" xfId="0" applyFont="1" applyFill="1"/>
    <xf numFmtId="0" fontId="8" fillId="3" borderId="0" xfId="0" applyFont="1" applyFill="1" applyBorder="1" applyAlignment="1">
      <alignment horizontal="center" vertical="center"/>
    </xf>
    <xf numFmtId="0" fontId="4" fillId="9" borderId="9" xfId="0" applyFont="1" applyFill="1" applyBorder="1" applyAlignment="1">
      <alignment vertical="center"/>
    </xf>
    <xf numFmtId="0" fontId="4" fillId="5" borderId="9" xfId="0" applyFont="1" applyFill="1" applyBorder="1" applyAlignment="1">
      <alignment vertical="center"/>
    </xf>
    <xf numFmtId="0" fontId="3" fillId="9" borderId="5" xfId="0" applyFont="1" applyFill="1" applyBorder="1" applyAlignment="1">
      <alignment horizontal="right" vertical="center"/>
    </xf>
    <xf numFmtId="0" fontId="29" fillId="3" borderId="0" xfId="0" applyFont="1" applyFill="1"/>
    <xf numFmtId="0" fontId="29" fillId="9" borderId="1" xfId="0" applyFont="1" applyFill="1" applyBorder="1"/>
    <xf numFmtId="0" fontId="29" fillId="9" borderId="3" xfId="0" applyFont="1" applyFill="1" applyBorder="1"/>
    <xf numFmtId="0" fontId="29" fillId="6" borderId="1" xfId="0" applyFont="1" applyFill="1" applyBorder="1"/>
    <xf numFmtId="0" fontId="29" fillId="6" borderId="3" xfId="0" applyFont="1" applyFill="1" applyBorder="1"/>
    <xf numFmtId="0" fontId="29" fillId="9" borderId="4" xfId="0" applyFont="1" applyFill="1" applyBorder="1"/>
    <xf numFmtId="0" fontId="29" fillId="3" borderId="0" xfId="0" applyFont="1" applyFill="1" applyAlignment="1">
      <alignment vertical="top"/>
    </xf>
    <xf numFmtId="0" fontId="29" fillId="3" borderId="0" xfId="0" applyFont="1" applyFill="1" applyBorder="1"/>
    <xf numFmtId="0" fontId="29" fillId="6" borderId="4" xfId="0" applyFont="1" applyFill="1" applyBorder="1"/>
    <xf numFmtId="0" fontId="29" fillId="6" borderId="5" xfId="0" applyFont="1" applyFill="1" applyBorder="1"/>
    <xf numFmtId="0" fontId="29" fillId="6" borderId="6" xfId="0" applyFont="1" applyFill="1" applyBorder="1"/>
    <xf numFmtId="0" fontId="29" fillId="6" borderId="8" xfId="0" applyFont="1" applyFill="1" applyBorder="1"/>
    <xf numFmtId="0" fontId="29" fillId="9" borderId="5" xfId="0" applyFont="1" applyFill="1" applyBorder="1"/>
    <xf numFmtId="0" fontId="29" fillId="5" borderId="10" xfId="0" applyFont="1" applyFill="1" applyBorder="1"/>
    <xf numFmtId="0" fontId="29" fillId="5" borderId="11" xfId="0" applyFont="1" applyFill="1" applyBorder="1"/>
    <xf numFmtId="0" fontId="29" fillId="9" borderId="6" xfId="0" applyFont="1" applyFill="1" applyBorder="1"/>
    <xf numFmtId="0" fontId="29" fillId="9" borderId="8" xfId="0" applyFont="1" applyFill="1" applyBorder="1"/>
    <xf numFmtId="0" fontId="29" fillId="8" borderId="1" xfId="0" applyFont="1" applyFill="1" applyBorder="1"/>
    <xf numFmtId="0" fontId="29" fillId="8" borderId="3" xfId="0" applyFont="1" applyFill="1" applyBorder="1"/>
    <xf numFmtId="0" fontId="29" fillId="5" borderId="1" xfId="0" applyFont="1" applyFill="1" applyBorder="1"/>
    <xf numFmtId="0" fontId="29" fillId="5" borderId="3" xfId="0" applyFont="1" applyFill="1" applyBorder="1"/>
    <xf numFmtId="0" fontId="29" fillId="8" borderId="4" xfId="0" applyFont="1" applyFill="1" applyBorder="1"/>
    <xf numFmtId="0" fontId="29" fillId="5" borderId="4" xfId="0" applyFont="1" applyFill="1" applyBorder="1"/>
    <xf numFmtId="0" fontId="29" fillId="5" borderId="5" xfId="0" applyFont="1" applyFill="1" applyBorder="1"/>
    <xf numFmtId="0" fontId="29" fillId="8" borderId="6" xfId="0" applyFont="1" applyFill="1" applyBorder="1"/>
    <xf numFmtId="0" fontId="29" fillId="8" borderId="8" xfId="0" applyFont="1" applyFill="1" applyBorder="1"/>
    <xf numFmtId="49" fontId="3" fillId="5" borderId="5" xfId="0" applyNumberFormat="1" applyFont="1" applyFill="1" applyBorder="1" applyAlignment="1">
      <alignment horizontal="right" vertical="center"/>
    </xf>
    <xf numFmtId="0" fontId="31" fillId="3" borderId="0" xfId="0" applyFont="1" applyFill="1"/>
    <xf numFmtId="0" fontId="20" fillId="3" borderId="0" xfId="0" applyFont="1" applyFill="1"/>
    <xf numFmtId="0" fontId="20" fillId="3" borderId="0" xfId="0" applyFont="1" applyFill="1" applyAlignment="1"/>
    <xf numFmtId="0" fontId="28" fillId="3" borderId="0" xfId="0" applyFont="1" applyFill="1" applyAlignment="1">
      <alignment vertical="top"/>
    </xf>
    <xf numFmtId="0" fontId="29" fillId="3" borderId="6" xfId="0" applyFont="1" applyFill="1" applyBorder="1"/>
    <xf numFmtId="0" fontId="29" fillId="3" borderId="8" xfId="0" applyFont="1" applyFill="1" applyBorder="1"/>
    <xf numFmtId="0" fontId="27" fillId="8" borderId="23" xfId="0" applyFont="1" applyFill="1" applyBorder="1" applyProtection="1">
      <protection locked="0"/>
    </xf>
    <xf numFmtId="0" fontId="29" fillId="8" borderId="46" xfId="0" applyFont="1" applyFill="1" applyBorder="1" applyProtection="1">
      <protection locked="0"/>
    </xf>
    <xf numFmtId="0" fontId="29" fillId="3" borderId="0" xfId="0" applyFont="1" applyFill="1" applyProtection="1">
      <protection locked="0"/>
    </xf>
    <xf numFmtId="0" fontId="29" fillId="9" borderId="26" xfId="0" applyFont="1" applyFill="1" applyBorder="1" applyProtection="1">
      <protection locked="0"/>
    </xf>
    <xf numFmtId="0" fontId="27" fillId="9" borderId="24" xfId="0" applyFont="1" applyFill="1" applyBorder="1" applyProtection="1">
      <protection locked="0"/>
    </xf>
    <xf numFmtId="0" fontId="29" fillId="9" borderId="27" xfId="0" applyFont="1" applyFill="1" applyBorder="1" applyProtection="1">
      <protection locked="0"/>
    </xf>
    <xf numFmtId="0" fontId="27" fillId="5" borderId="24" xfId="0" applyFont="1" applyFill="1" applyBorder="1" applyProtection="1">
      <protection locked="0"/>
    </xf>
    <xf numFmtId="0" fontId="29" fillId="5" borderId="27" xfId="0" applyFont="1" applyFill="1" applyBorder="1" applyProtection="1">
      <protection locked="0"/>
    </xf>
    <xf numFmtId="0" fontId="27" fillId="6" borderId="24" xfId="0" applyFont="1" applyFill="1" applyBorder="1" applyProtection="1">
      <protection locked="0"/>
    </xf>
    <xf numFmtId="0" fontId="29" fillId="6" borderId="27" xfId="0" applyFont="1" applyFill="1" applyBorder="1" applyProtection="1">
      <protection locked="0"/>
    </xf>
    <xf numFmtId="0" fontId="27" fillId="8" borderId="24" xfId="0" applyFont="1" applyFill="1" applyBorder="1" applyProtection="1">
      <protection locked="0"/>
    </xf>
    <xf numFmtId="0" fontId="29" fillId="8" borderId="27" xfId="0" applyFont="1" applyFill="1" applyBorder="1" applyProtection="1">
      <protection locked="0"/>
    </xf>
    <xf numFmtId="0" fontId="27" fillId="6" borderId="0" xfId="0" applyFont="1" applyFill="1" applyBorder="1" applyProtection="1">
      <protection locked="0"/>
    </xf>
    <xf numFmtId="0" fontId="29" fillId="3" borderId="47" xfId="0" applyFont="1" applyFill="1" applyBorder="1" applyProtection="1">
      <protection locked="0"/>
    </xf>
    <xf numFmtId="0" fontId="29" fillId="3" borderId="0" xfId="0" applyFont="1" applyFill="1" applyBorder="1" applyProtection="1">
      <protection locked="0"/>
    </xf>
    <xf numFmtId="0" fontId="29" fillId="3" borderId="48" xfId="0" applyFont="1" applyFill="1" applyBorder="1" applyProtection="1">
      <protection locked="0"/>
    </xf>
    <xf numFmtId="0" fontId="33" fillId="8" borderId="45" xfId="0" applyFont="1" applyFill="1" applyBorder="1" applyProtection="1">
      <protection locked="0"/>
    </xf>
    <xf numFmtId="0" fontId="33" fillId="8" borderId="26" xfId="0" applyFont="1" applyFill="1" applyBorder="1" applyProtection="1">
      <protection locked="0"/>
    </xf>
    <xf numFmtId="0" fontId="32" fillId="5" borderId="26" xfId="0" applyFont="1" applyFill="1" applyBorder="1" applyProtection="1">
      <protection locked="0"/>
    </xf>
    <xf numFmtId="0" fontId="20" fillId="6" borderId="26" xfId="0" applyFont="1" applyFill="1" applyBorder="1" applyProtection="1">
      <protection locked="0"/>
    </xf>
    <xf numFmtId="0" fontId="20" fillId="6" borderId="47" xfId="0" applyFont="1" applyFill="1" applyBorder="1" applyProtection="1">
      <protection locked="0"/>
    </xf>
    <xf numFmtId="0" fontId="29" fillId="6" borderId="48" xfId="0" applyFont="1" applyFill="1" applyBorder="1" applyProtection="1">
      <protection locked="0"/>
    </xf>
    <xf numFmtId="0" fontId="20" fillId="3" borderId="26" xfId="0" applyFont="1" applyFill="1" applyBorder="1" applyProtection="1">
      <protection locked="0"/>
    </xf>
    <xf numFmtId="0" fontId="27" fillId="3" borderId="24" xfId="0" applyFont="1" applyFill="1" applyBorder="1" applyProtection="1">
      <protection locked="0"/>
    </xf>
    <xf numFmtId="0" fontId="29" fillId="3" borderId="27" xfId="0" applyFont="1" applyFill="1" applyBorder="1" applyProtection="1">
      <protection locked="0"/>
    </xf>
    <xf numFmtId="0" fontId="11" fillId="3" borderId="0" xfId="0" applyFont="1" applyFill="1" applyAlignment="1">
      <alignment horizontal="center"/>
    </xf>
    <xf numFmtId="0" fontId="34" fillId="10" borderId="0" xfId="0" applyFont="1" applyFill="1" applyBorder="1" applyAlignment="1">
      <alignment horizontal="right" vertical="center"/>
    </xf>
    <xf numFmtId="0" fontId="3" fillId="5" borderId="0" xfId="0" applyFont="1" applyFill="1" applyAlignment="1">
      <alignment vertical="center"/>
    </xf>
    <xf numFmtId="0" fontId="3" fillId="5" borderId="0" xfId="0" applyFont="1" applyFill="1" applyAlignment="1">
      <alignment horizontal="right" vertical="center"/>
    </xf>
    <xf numFmtId="0" fontId="3" fillId="3" borderId="0" xfId="0" applyFont="1" applyFill="1" applyAlignment="1">
      <alignment horizontal="left" vertical="center"/>
    </xf>
    <xf numFmtId="0" fontId="4" fillId="8" borderId="11" xfId="0" applyFont="1" applyFill="1" applyBorder="1" applyAlignment="1">
      <alignment horizontal="right" vertical="center"/>
    </xf>
    <xf numFmtId="0" fontId="3" fillId="3" borderId="0" xfId="0" applyFont="1" applyFill="1" applyBorder="1" applyAlignment="1" applyProtection="1">
      <alignment vertical="center"/>
      <protection locked="0"/>
    </xf>
    <xf numFmtId="9" fontId="4" fillId="3" borderId="0" xfId="0" applyNumberFormat="1" applyFont="1" applyFill="1" applyBorder="1" applyAlignment="1">
      <alignment horizontal="center" vertical="center"/>
    </xf>
    <xf numFmtId="0" fontId="8" fillId="3" borderId="0" xfId="0" applyFont="1" applyFill="1" applyBorder="1" applyAlignment="1">
      <alignment horizontal="left" vertical="center"/>
    </xf>
    <xf numFmtId="0" fontId="4" fillId="3" borderId="5" xfId="0" applyFont="1" applyFill="1" applyBorder="1" applyAlignment="1">
      <alignment vertical="center"/>
    </xf>
    <xf numFmtId="0" fontId="4" fillId="3" borderId="1" xfId="0" applyFont="1" applyFill="1" applyBorder="1" applyAlignment="1">
      <alignment vertical="center"/>
    </xf>
    <xf numFmtId="0" fontId="4" fillId="3" borderId="2" xfId="0" applyFont="1" applyFill="1" applyBorder="1" applyAlignment="1">
      <alignment vertical="center"/>
    </xf>
    <xf numFmtId="0" fontId="4" fillId="9" borderId="13" xfId="0" applyFont="1" applyFill="1" applyBorder="1" applyAlignment="1">
      <alignment vertical="center"/>
    </xf>
    <xf numFmtId="0" fontId="8" fillId="3" borderId="0" xfId="0" applyFont="1" applyFill="1" applyBorder="1" applyAlignment="1">
      <alignment vertical="center"/>
    </xf>
    <xf numFmtId="9" fontId="5" fillId="9" borderId="9" xfId="0" applyNumberFormat="1" applyFont="1" applyFill="1" applyBorder="1" applyAlignment="1" applyProtection="1">
      <alignment vertical="center"/>
      <protection locked="0"/>
    </xf>
    <xf numFmtId="0" fontId="5" fillId="6" borderId="1" xfId="0" applyFont="1" applyFill="1" applyBorder="1" applyAlignment="1">
      <alignment vertical="center"/>
    </xf>
    <xf numFmtId="0" fontId="4" fillId="6" borderId="2" xfId="0" applyFont="1" applyFill="1" applyBorder="1" applyAlignment="1">
      <alignment vertical="center"/>
    </xf>
    <xf numFmtId="0" fontId="3" fillId="6" borderId="3" xfId="0" applyFont="1" applyFill="1" applyBorder="1" applyAlignment="1">
      <alignment horizontal="right" vertical="center"/>
    </xf>
    <xf numFmtId="0" fontId="3" fillId="9" borderId="14" xfId="0" applyFont="1" applyFill="1" applyBorder="1" applyAlignment="1">
      <alignment horizontal="right" vertical="center"/>
    </xf>
    <xf numFmtId="0" fontId="3" fillId="3" borderId="0" xfId="0" applyFont="1" applyFill="1" applyAlignment="1" applyProtection="1">
      <alignment vertical="center"/>
      <protection locked="0"/>
    </xf>
    <xf numFmtId="0" fontId="5" fillId="6" borderId="6" xfId="0" applyFont="1" applyFill="1" applyBorder="1" applyAlignment="1">
      <alignment vertical="center"/>
    </xf>
    <xf numFmtId="0" fontId="4" fillId="6" borderId="7" xfId="0" applyFont="1" applyFill="1" applyBorder="1" applyAlignment="1">
      <alignment vertical="center"/>
    </xf>
    <xf numFmtId="0" fontId="3" fillId="6" borderId="8" xfId="0" applyFont="1" applyFill="1" applyBorder="1" applyAlignment="1">
      <alignment horizontal="right" vertical="center"/>
    </xf>
    <xf numFmtId="0" fontId="4" fillId="5" borderId="6" xfId="0" applyFont="1" applyFill="1" applyBorder="1" applyAlignment="1">
      <alignment vertical="center"/>
    </xf>
    <xf numFmtId="0" fontId="4" fillId="5" borderId="7" xfId="0" applyFont="1" applyFill="1" applyBorder="1" applyAlignment="1">
      <alignment vertical="center"/>
    </xf>
    <xf numFmtId="0" fontId="4" fillId="5" borderId="8" xfId="0" applyFont="1" applyFill="1" applyBorder="1" applyAlignment="1">
      <alignment vertical="center"/>
    </xf>
    <xf numFmtId="0" fontId="4" fillId="9" borderId="14" xfId="0" applyFont="1" applyFill="1" applyBorder="1" applyAlignment="1">
      <alignment vertical="center"/>
    </xf>
    <xf numFmtId="0" fontId="4" fillId="8" borderId="1" xfId="0" applyFont="1" applyFill="1" applyBorder="1" applyAlignment="1">
      <alignment vertical="center"/>
    </xf>
    <xf numFmtId="0" fontId="4" fillId="8" borderId="2" xfId="0" applyFont="1" applyFill="1" applyBorder="1" applyAlignment="1">
      <alignment vertical="center"/>
    </xf>
    <xf numFmtId="0" fontId="4" fillId="8" borderId="3" xfId="0" applyFont="1" applyFill="1" applyBorder="1" applyAlignment="1">
      <alignment vertical="center"/>
    </xf>
    <xf numFmtId="0" fontId="4" fillId="8" borderId="4" xfId="0" applyFont="1" applyFill="1" applyBorder="1" applyAlignment="1">
      <alignment vertical="center"/>
    </xf>
    <xf numFmtId="0" fontId="4" fillId="8" borderId="0" xfId="0" applyFont="1" applyFill="1" applyBorder="1" applyAlignment="1">
      <alignment vertical="center"/>
    </xf>
    <xf numFmtId="49" fontId="3" fillId="5" borderId="13" xfId="0" applyNumberFormat="1" applyFont="1" applyFill="1" applyBorder="1" applyAlignment="1">
      <alignment horizontal="right" vertical="center"/>
    </xf>
    <xf numFmtId="0" fontId="3" fillId="3" borderId="0" xfId="0" applyFont="1" applyFill="1" applyAlignment="1" applyProtection="1">
      <alignment vertical="center"/>
    </xf>
    <xf numFmtId="0" fontId="4" fillId="8" borderId="6" xfId="0" applyFont="1" applyFill="1" applyBorder="1" applyAlignment="1">
      <alignment vertical="center"/>
    </xf>
    <xf numFmtId="0" fontId="4" fillId="8" borderId="7" xfId="0" applyFont="1" applyFill="1" applyBorder="1" applyAlignment="1">
      <alignment vertical="center"/>
    </xf>
    <xf numFmtId="0" fontId="4" fillId="8" borderId="8" xfId="0" applyFont="1" applyFill="1" applyBorder="1" applyAlignment="1">
      <alignment vertical="center"/>
    </xf>
    <xf numFmtId="49" fontId="3" fillId="5" borderId="14" xfId="0" applyNumberFormat="1" applyFont="1" applyFill="1" applyBorder="1" applyAlignment="1">
      <alignment horizontal="right" vertical="center"/>
    </xf>
    <xf numFmtId="9" fontId="3" fillId="9" borderId="13" xfId="0" applyNumberFormat="1" applyFont="1" applyFill="1" applyBorder="1" applyAlignment="1" applyProtection="1">
      <alignment vertical="center"/>
      <protection locked="0"/>
    </xf>
    <xf numFmtId="0" fontId="8" fillId="3" borderId="0" xfId="0" applyFont="1" applyFill="1" applyAlignment="1">
      <alignment vertical="center"/>
    </xf>
    <xf numFmtId="0" fontId="8" fillId="3" borderId="44" xfId="0" applyFont="1" applyFill="1" applyBorder="1" applyAlignment="1">
      <alignment vertical="center"/>
    </xf>
    <xf numFmtId="0" fontId="8" fillId="3" borderId="0" xfId="0" applyFont="1" applyFill="1" applyAlignment="1">
      <alignment horizontal="center" vertical="center"/>
    </xf>
    <xf numFmtId="0" fontId="18" fillId="3" borderId="17" xfId="0" applyFont="1" applyFill="1" applyBorder="1" applyAlignment="1" applyProtection="1">
      <alignment horizontal="center" vertical="center"/>
      <protection locked="0" hidden="1"/>
    </xf>
    <xf numFmtId="9" fontId="8" fillId="3" borderId="17" xfId="0" applyNumberFormat="1" applyFont="1" applyFill="1" applyBorder="1" applyAlignment="1" applyProtection="1">
      <alignment horizontal="center" vertical="center"/>
      <protection locked="0" hidden="1"/>
    </xf>
    <xf numFmtId="49" fontId="3" fillId="5" borderId="15" xfId="0" applyNumberFormat="1" applyFont="1" applyFill="1" applyBorder="1" applyAlignment="1">
      <alignment horizontal="right" vertical="center"/>
    </xf>
    <xf numFmtId="0" fontId="8" fillId="3" borderId="18" xfId="0" applyFont="1" applyFill="1" applyBorder="1" applyAlignment="1">
      <alignment vertical="center"/>
    </xf>
    <xf numFmtId="1" fontId="4" fillId="3" borderId="8" xfId="0" applyNumberFormat="1" applyFont="1" applyFill="1" applyBorder="1" applyAlignment="1">
      <alignment vertical="center"/>
    </xf>
    <xf numFmtId="0" fontId="11" fillId="3" borderId="0" xfId="0" applyFont="1" applyFill="1" applyAlignment="1">
      <alignment horizontal="center"/>
    </xf>
    <xf numFmtId="0" fontId="11" fillId="3" borderId="0" xfId="0" applyFont="1" applyFill="1" applyAlignment="1">
      <alignment horizontal="left"/>
    </xf>
    <xf numFmtId="0" fontId="4" fillId="3" borderId="0" xfId="0" applyFont="1" applyFill="1" applyBorder="1" applyAlignment="1">
      <alignment horizontal="right" vertical="center"/>
    </xf>
    <xf numFmtId="0" fontId="7" fillId="3" borderId="0" xfId="0" applyFont="1" applyFill="1" applyBorder="1" applyAlignment="1">
      <alignment horizontal="right" vertical="center"/>
    </xf>
    <xf numFmtId="0" fontId="5" fillId="3" borderId="0" xfId="0" applyFont="1" applyFill="1" applyBorder="1" applyAlignment="1">
      <alignment horizontal="right" vertical="center"/>
    </xf>
    <xf numFmtId="9" fontId="4" fillId="3" borderId="0" xfId="0" applyNumberFormat="1" applyFont="1" applyFill="1" applyBorder="1" applyAlignment="1">
      <alignment horizontal="right" vertical="center"/>
    </xf>
    <xf numFmtId="1" fontId="4" fillId="3" borderId="0" xfId="0" applyNumberFormat="1" applyFont="1" applyFill="1" applyBorder="1" applyAlignment="1">
      <alignment horizontal="right" vertical="center"/>
    </xf>
    <xf numFmtId="49" fontId="5" fillId="3" borderId="0" xfId="0" applyNumberFormat="1" applyFont="1" applyFill="1" applyBorder="1" applyAlignment="1">
      <alignment horizontal="right" vertical="center"/>
    </xf>
    <xf numFmtId="0" fontId="0" fillId="3" borderId="0" xfId="0" applyFont="1" applyFill="1" applyAlignment="1">
      <alignment horizontal="left"/>
    </xf>
    <xf numFmtId="0" fontId="11" fillId="3" borderId="0" xfId="0" applyFont="1" applyFill="1" applyAlignment="1">
      <alignment horizontal="center"/>
    </xf>
    <xf numFmtId="0" fontId="31" fillId="3" borderId="0" xfId="0" applyFont="1" applyFill="1" applyAlignment="1">
      <alignment wrapText="1"/>
    </xf>
    <xf numFmtId="0" fontId="36" fillId="3" borderId="0" xfId="0" applyFont="1" applyFill="1"/>
    <xf numFmtId="0" fontId="37" fillId="3" borderId="0" xfId="0" applyFont="1" applyFill="1"/>
    <xf numFmtId="0" fontId="20" fillId="3" borderId="0" xfId="0" applyFont="1" applyFill="1" applyAlignment="1">
      <alignment horizontal="right"/>
    </xf>
    <xf numFmtId="0" fontId="31" fillId="3" borderId="0" xfId="0" applyFont="1" applyFill="1" applyAlignment="1">
      <alignment horizontal="center"/>
    </xf>
    <xf numFmtId="1" fontId="11" fillId="3" borderId="0" xfId="0" applyNumberFormat="1" applyFont="1" applyFill="1"/>
    <xf numFmtId="1" fontId="11" fillId="3" borderId="0" xfId="0" applyNumberFormat="1" applyFont="1" applyFill="1" applyAlignment="1">
      <alignment horizontal="right"/>
    </xf>
    <xf numFmtId="2" fontId="11" fillId="3" borderId="0" xfId="0" applyNumberFormat="1" applyFont="1" applyFill="1"/>
    <xf numFmtId="0" fontId="0" fillId="6" borderId="50" xfId="0" applyFont="1" applyFill="1" applyBorder="1"/>
    <xf numFmtId="0" fontId="0" fillId="6" borderId="51" xfId="0" applyFont="1" applyFill="1" applyBorder="1"/>
    <xf numFmtId="0" fontId="0" fillId="6" borderId="49" xfId="0" applyFont="1" applyFill="1" applyBorder="1"/>
    <xf numFmtId="9" fontId="0" fillId="6" borderId="0" xfId="0" applyNumberFormat="1" applyFont="1" applyFill="1"/>
    <xf numFmtId="0" fontId="0" fillId="6" borderId="0" xfId="0" applyFont="1" applyFill="1"/>
    <xf numFmtId="0" fontId="11" fillId="3" borderId="0" xfId="0" applyFont="1" applyFill="1" applyAlignment="1">
      <alignment horizontal="center"/>
    </xf>
    <xf numFmtId="0" fontId="11" fillId="3" borderId="0" xfId="0" applyFont="1" applyFill="1" applyAlignment="1">
      <alignment horizontal="center"/>
    </xf>
    <xf numFmtId="164" fontId="11" fillId="3" borderId="0" xfId="0" applyNumberFormat="1" applyFont="1" applyFill="1"/>
    <xf numFmtId="49" fontId="11" fillId="3" borderId="0" xfId="0" applyNumberFormat="1" applyFont="1" applyFill="1"/>
    <xf numFmtId="0" fontId="29" fillId="3" borderId="26" xfId="0" applyFont="1" applyFill="1" applyBorder="1" applyProtection="1">
      <protection locked="0"/>
    </xf>
    <xf numFmtId="0" fontId="29" fillId="3" borderId="0" xfId="0" applyFont="1" applyFill="1" applyAlignment="1">
      <alignment horizontal="right"/>
    </xf>
    <xf numFmtId="0" fontId="29" fillId="3" borderId="0" xfId="0" applyFont="1" applyFill="1" applyBorder="1" applyAlignment="1">
      <alignment vertical="center"/>
    </xf>
    <xf numFmtId="0" fontId="29" fillId="10" borderId="0" xfId="0" applyFont="1" applyFill="1" applyBorder="1" applyAlignment="1">
      <alignment horizontal="left" vertical="center"/>
    </xf>
    <xf numFmtId="0" fontId="29" fillId="9" borderId="10" xfId="0" applyFont="1" applyFill="1" applyBorder="1" applyAlignment="1">
      <alignment horizontal="right" vertical="center"/>
    </xf>
    <xf numFmtId="0" fontId="29" fillId="9" borderId="12" xfId="0" applyFont="1" applyFill="1" applyBorder="1" applyAlignment="1">
      <alignment horizontal="right" vertical="center"/>
    </xf>
    <xf numFmtId="0" fontId="29" fillId="8" borderId="10" xfId="0" applyFont="1" applyFill="1" applyBorder="1" applyAlignment="1">
      <alignment horizontal="right" vertical="center"/>
    </xf>
    <xf numFmtId="0" fontId="29" fillId="8" borderId="12" xfId="0" applyFont="1" applyFill="1" applyBorder="1" applyAlignment="1">
      <alignment horizontal="right" vertical="center"/>
    </xf>
    <xf numFmtId="0" fontId="29" fillId="9" borderId="9" xfId="0" applyFont="1" applyFill="1" applyBorder="1" applyAlignment="1">
      <alignment vertical="center"/>
    </xf>
    <xf numFmtId="0" fontId="29" fillId="3" borderId="0" xfId="0" applyFont="1" applyFill="1" applyAlignment="1">
      <alignment vertical="center"/>
    </xf>
    <xf numFmtId="0" fontId="28" fillId="3" borderId="0" xfId="0" applyFont="1" applyFill="1" applyAlignment="1">
      <alignment vertical="center"/>
    </xf>
    <xf numFmtId="0" fontId="29" fillId="3" borderId="0" xfId="0" applyFont="1" applyFill="1" applyBorder="1" applyAlignment="1">
      <alignment horizontal="center" vertical="center"/>
    </xf>
    <xf numFmtId="0" fontId="29" fillId="3" borderId="3" xfId="0" applyFont="1" applyFill="1" applyBorder="1" applyAlignment="1">
      <alignment vertical="center"/>
    </xf>
    <xf numFmtId="0" fontId="29" fillId="3" borderId="24" xfId="0" applyFont="1" applyFill="1" applyBorder="1" applyProtection="1">
      <protection locked="0"/>
    </xf>
    <xf numFmtId="0" fontId="33" fillId="9" borderId="12" xfId="0" applyFont="1" applyFill="1" applyBorder="1" applyAlignment="1">
      <alignment horizontal="right" vertical="center"/>
    </xf>
    <xf numFmtId="9" fontId="29" fillId="5" borderId="10" xfId="0" applyNumberFormat="1" applyFont="1" applyFill="1" applyBorder="1" applyAlignment="1">
      <alignment horizontal="right" vertical="center"/>
    </xf>
    <xf numFmtId="0" fontId="29" fillId="5" borderId="12" xfId="0" applyFont="1" applyFill="1" applyBorder="1" applyAlignment="1">
      <alignment horizontal="right" vertical="center"/>
    </xf>
    <xf numFmtId="1" fontId="29" fillId="5" borderId="12" xfId="0" applyNumberFormat="1" applyFont="1" applyFill="1" applyBorder="1" applyAlignment="1">
      <alignment horizontal="right" vertical="center"/>
    </xf>
    <xf numFmtId="49" fontId="38" fillId="5" borderId="12" xfId="0" applyNumberFormat="1" applyFont="1" applyFill="1" applyBorder="1" applyAlignment="1">
      <alignment horizontal="right" vertical="center"/>
    </xf>
    <xf numFmtId="49" fontId="38" fillId="6" borderId="10" xfId="0" applyNumberFormat="1" applyFont="1" applyFill="1" applyBorder="1" applyAlignment="1">
      <alignment horizontal="right" vertical="center"/>
    </xf>
    <xf numFmtId="0" fontId="39" fillId="5" borderId="12" xfId="0" applyFont="1" applyFill="1" applyBorder="1" applyAlignment="1">
      <alignment vertical="center"/>
    </xf>
    <xf numFmtId="0" fontId="39" fillId="5" borderId="11" xfId="0" applyFont="1" applyFill="1" applyBorder="1" applyAlignment="1">
      <alignment vertical="center"/>
    </xf>
    <xf numFmtId="0" fontId="29" fillId="5" borderId="9" xfId="0" applyFont="1" applyFill="1" applyBorder="1" applyAlignment="1">
      <alignment vertical="center"/>
    </xf>
    <xf numFmtId="1" fontId="29" fillId="3" borderId="0" xfId="0" applyNumberFormat="1" applyFont="1" applyFill="1" applyBorder="1" applyAlignment="1">
      <alignment vertical="center"/>
    </xf>
    <xf numFmtId="0" fontId="29" fillId="3" borderId="0" xfId="0" applyFont="1" applyFill="1" applyBorder="1" applyAlignment="1">
      <alignment horizontal="right" vertical="center"/>
    </xf>
    <xf numFmtId="0" fontId="33" fillId="3" borderId="0" xfId="0" applyFont="1" applyFill="1" applyBorder="1" applyAlignment="1">
      <alignment horizontal="right" vertical="center"/>
    </xf>
    <xf numFmtId="0" fontId="38" fillId="3" borderId="0" xfId="0" applyFont="1" applyFill="1" applyBorder="1" applyAlignment="1">
      <alignment horizontal="right" vertical="center"/>
    </xf>
    <xf numFmtId="9" fontId="29" fillId="3" borderId="0" xfId="0" applyNumberFormat="1" applyFont="1" applyFill="1" applyBorder="1" applyAlignment="1">
      <alignment horizontal="right" vertical="center"/>
    </xf>
    <xf numFmtId="1" fontId="29" fillId="3" borderId="0" xfId="0" applyNumberFormat="1" applyFont="1" applyFill="1" applyBorder="1" applyAlignment="1">
      <alignment horizontal="right" vertical="center"/>
    </xf>
    <xf numFmtId="49" fontId="38" fillId="3" borderId="0" xfId="0" applyNumberFormat="1" applyFont="1" applyFill="1" applyBorder="1" applyAlignment="1">
      <alignment horizontal="right" vertical="center"/>
    </xf>
    <xf numFmtId="0" fontId="39" fillId="3" borderId="0" xfId="0" applyFont="1" applyFill="1" applyBorder="1" applyAlignment="1">
      <alignment vertical="center"/>
    </xf>
    <xf numFmtId="0" fontId="29" fillId="3" borderId="0" xfId="0" applyFont="1" applyFill="1" applyAlignment="1">
      <alignment horizontal="center"/>
    </xf>
    <xf numFmtId="0" fontId="20" fillId="3" borderId="0" xfId="0" applyFont="1" applyFill="1" applyAlignment="1">
      <alignment horizontal="center"/>
    </xf>
    <xf numFmtId="0" fontId="29" fillId="3" borderId="27" xfId="0" applyFont="1" applyFill="1" applyBorder="1" applyAlignment="1"/>
    <xf numFmtId="0" fontId="29" fillId="3" borderId="7" xfId="0" applyFont="1" applyFill="1" applyBorder="1" applyAlignment="1"/>
    <xf numFmtId="0" fontId="29" fillId="3" borderId="52" xfId="0" applyFont="1" applyFill="1" applyBorder="1" applyAlignment="1">
      <alignment horizontal="center"/>
    </xf>
    <xf numFmtId="0" fontId="20" fillId="3" borderId="7" xfId="0" applyFont="1" applyFill="1" applyBorder="1" applyAlignment="1">
      <alignment horizontal="center"/>
    </xf>
    <xf numFmtId="0" fontId="20" fillId="3" borderId="45" xfId="0" applyFont="1" applyFill="1" applyBorder="1" applyProtection="1">
      <protection locked="0"/>
    </xf>
    <xf numFmtId="0" fontId="28" fillId="8" borderId="26" xfId="0" applyFont="1" applyFill="1" applyBorder="1" applyAlignment="1">
      <alignment horizontal="center"/>
    </xf>
    <xf numFmtId="0" fontId="28" fillId="8" borderId="27" xfId="0" applyFont="1" applyFill="1" applyBorder="1" applyAlignment="1">
      <alignment horizontal="center"/>
    </xf>
    <xf numFmtId="0" fontId="28" fillId="8" borderId="53" xfId="0" applyFont="1" applyFill="1" applyBorder="1" applyAlignment="1">
      <alignment horizontal="center"/>
    </xf>
    <xf numFmtId="9" fontId="29" fillId="3" borderId="17" xfId="0" applyNumberFormat="1" applyFont="1" applyFill="1" applyBorder="1" applyAlignment="1" applyProtection="1">
      <alignment horizontal="center"/>
      <protection locked="0"/>
    </xf>
    <xf numFmtId="0" fontId="29" fillId="3" borderId="17" xfId="0" applyFont="1" applyFill="1" applyBorder="1" applyAlignment="1" applyProtection="1">
      <alignment horizontal="center"/>
      <protection locked="0"/>
    </xf>
    <xf numFmtId="0" fontId="29" fillId="3" borderId="17" xfId="0" applyFont="1" applyFill="1" applyBorder="1" applyAlignment="1" applyProtection="1">
      <alignment horizontal="left"/>
      <protection locked="0"/>
    </xf>
    <xf numFmtId="0" fontId="29" fillId="3" borderId="17" xfId="0" applyFont="1" applyFill="1" applyBorder="1" applyAlignment="1">
      <alignment horizontal="center"/>
    </xf>
    <xf numFmtId="0" fontId="10" fillId="4" borderId="0" xfId="0" applyFont="1" applyFill="1" applyBorder="1" applyAlignment="1">
      <alignment horizontal="right"/>
    </xf>
    <xf numFmtId="0" fontId="10" fillId="4" borderId="0" xfId="0" applyFont="1" applyFill="1" applyBorder="1" applyAlignment="1">
      <alignment vertical="center"/>
    </xf>
    <xf numFmtId="0" fontId="40" fillId="3" borderId="0" xfId="0" applyFont="1" applyFill="1" applyBorder="1" applyAlignment="1">
      <alignment vertical="center"/>
    </xf>
    <xf numFmtId="0" fontId="9" fillId="4" borderId="0" xfId="0" applyFont="1" applyFill="1" applyBorder="1"/>
    <xf numFmtId="0" fontId="9" fillId="4" borderId="0" xfId="0" applyFont="1" applyFill="1" applyBorder="1" applyAlignment="1">
      <alignment vertical="center"/>
    </xf>
    <xf numFmtId="9" fontId="3" fillId="11" borderId="0" xfId="0" applyNumberFormat="1" applyFont="1" applyFill="1" applyBorder="1"/>
    <xf numFmtId="0" fontId="9" fillId="3" borderId="0" xfId="0" applyFont="1" applyFill="1" applyBorder="1" applyAlignment="1">
      <alignment horizontal="center" vertical="center"/>
    </xf>
    <xf numFmtId="0" fontId="10" fillId="3" borderId="0" xfId="0" applyFont="1" applyFill="1" applyBorder="1" applyAlignment="1">
      <alignment horizontal="center" vertical="center" wrapText="1"/>
    </xf>
    <xf numFmtId="9" fontId="3" fillId="3" borderId="0" xfId="0" applyNumberFormat="1" applyFont="1" applyFill="1" applyBorder="1"/>
    <xf numFmtId="1" fontId="11" fillId="3" borderId="0" xfId="0" applyNumberFormat="1" applyFont="1" applyFill="1" applyProtection="1">
      <protection locked="0"/>
    </xf>
    <xf numFmtId="0" fontId="11" fillId="3" borderId="0" xfId="0" applyFont="1" applyFill="1" applyAlignment="1">
      <alignment horizontal="center"/>
    </xf>
    <xf numFmtId="0" fontId="20" fillId="3" borderId="0" xfId="0" applyFont="1" applyFill="1" applyBorder="1"/>
    <xf numFmtId="0" fontId="20" fillId="3" borderId="0" xfId="0" applyFont="1" applyFill="1" applyBorder="1" applyAlignment="1">
      <alignment horizontal="center"/>
    </xf>
    <xf numFmtId="0" fontId="29" fillId="3" borderId="0" xfId="0" applyFont="1" applyFill="1" applyBorder="1" applyAlignment="1"/>
    <xf numFmtId="0" fontId="29" fillId="3" borderId="0" xfId="0" applyFont="1" applyFill="1" applyBorder="1" applyAlignment="1">
      <alignment horizontal="center"/>
    </xf>
    <xf numFmtId="0" fontId="29" fillId="3" borderId="0" xfId="0" applyFont="1" applyFill="1" applyBorder="1" applyAlignment="1">
      <alignment horizontal="right"/>
    </xf>
    <xf numFmtId="0" fontId="29" fillId="3" borderId="0" xfId="0" applyFont="1" applyFill="1" applyBorder="1" applyAlignment="1">
      <alignment vertical="top"/>
    </xf>
    <xf numFmtId="0" fontId="20" fillId="3" borderId="0" xfId="0" applyFont="1" applyFill="1" applyBorder="1" applyProtection="1">
      <protection locked="0"/>
    </xf>
    <xf numFmtId="9" fontId="29" fillId="3" borderId="0" xfId="0" applyNumberFormat="1" applyFont="1" applyFill="1" applyBorder="1" applyAlignment="1" applyProtection="1">
      <alignment horizontal="center"/>
      <protection locked="0"/>
    </xf>
    <xf numFmtId="0" fontId="29" fillId="3" borderId="0" xfId="0" applyFont="1" applyFill="1" applyBorder="1" applyAlignment="1" applyProtection="1">
      <alignment horizontal="center"/>
      <protection locked="0"/>
    </xf>
    <xf numFmtId="0" fontId="29" fillId="3" borderId="0" xfId="0" applyFont="1" applyFill="1" applyBorder="1" applyAlignment="1" applyProtection="1">
      <alignment horizontal="left"/>
      <protection locked="0"/>
    </xf>
    <xf numFmtId="0" fontId="28" fillId="3" borderId="0" xfId="0" applyFont="1" applyFill="1" applyBorder="1" applyAlignment="1">
      <alignment horizontal="center"/>
    </xf>
    <xf numFmtId="0" fontId="28" fillId="3" borderId="0" xfId="0" applyFont="1" applyFill="1" applyBorder="1" applyAlignment="1" applyProtection="1">
      <protection locked="0" hidden="1"/>
    </xf>
    <xf numFmtId="0" fontId="28" fillId="3" borderId="0" xfId="0" applyFont="1" applyFill="1" applyBorder="1" applyAlignment="1">
      <alignment vertical="top" wrapText="1"/>
    </xf>
    <xf numFmtId="0" fontId="29" fillId="3" borderId="0" xfId="0" applyFont="1" applyFill="1" applyBorder="1" applyAlignment="1" applyProtection="1">
      <protection locked="0"/>
    </xf>
    <xf numFmtId="0" fontId="29" fillId="8" borderId="0" xfId="0" applyFont="1" applyFill="1"/>
    <xf numFmtId="0" fontId="20" fillId="3" borderId="0" xfId="0" applyFont="1" applyFill="1" applyAlignment="1">
      <alignment horizontal="left"/>
    </xf>
    <xf numFmtId="0" fontId="36" fillId="3" borderId="0" xfId="0" applyFont="1" applyFill="1" applyAlignment="1">
      <alignment horizontal="left"/>
    </xf>
    <xf numFmtId="0" fontId="28" fillId="3" borderId="0" xfId="0" applyFont="1" applyFill="1"/>
    <xf numFmtId="0" fontId="36" fillId="3" borderId="0" xfId="0" applyFont="1" applyFill="1" applyBorder="1" applyAlignment="1">
      <alignment horizontal="center"/>
    </xf>
    <xf numFmtId="0" fontId="36" fillId="3" borderId="0" xfId="0" applyFont="1" applyFill="1" applyBorder="1" applyAlignment="1"/>
    <xf numFmtId="0" fontId="20" fillId="3" borderId="0" xfId="0" applyFont="1" applyFill="1" applyBorder="1" applyAlignment="1">
      <alignment vertical="center"/>
    </xf>
    <xf numFmtId="0" fontId="20" fillId="3" borderId="0" xfId="0" applyFont="1" applyFill="1" applyBorder="1" applyAlignment="1" applyProtection="1">
      <alignment vertical="center"/>
      <protection locked="0"/>
    </xf>
    <xf numFmtId="0" fontId="28" fillId="3" borderId="0" xfId="0" applyFont="1" applyFill="1" applyAlignment="1">
      <alignment horizontal="left"/>
    </xf>
    <xf numFmtId="0" fontId="29" fillId="3" borderId="55" xfId="0" applyFont="1" applyFill="1" applyBorder="1" applyAlignment="1"/>
    <xf numFmtId="0" fontId="29" fillId="3" borderId="57" xfId="0" applyFont="1" applyFill="1" applyBorder="1" applyAlignment="1"/>
    <xf numFmtId="0" fontId="29" fillId="3" borderId="56" xfId="0" applyFont="1" applyFill="1" applyBorder="1" applyAlignment="1"/>
    <xf numFmtId="0" fontId="29" fillId="3" borderId="58" xfId="0" applyFont="1" applyFill="1" applyBorder="1" applyAlignment="1"/>
    <xf numFmtId="0" fontId="29" fillId="3" borderId="54" xfId="0" applyFont="1" applyFill="1" applyBorder="1" applyAlignment="1"/>
    <xf numFmtId="0" fontId="29" fillId="3" borderId="59" xfId="0" applyFont="1" applyFill="1" applyBorder="1" applyAlignment="1"/>
    <xf numFmtId="0" fontId="29" fillId="3" borderId="60" xfId="0" applyFont="1" applyFill="1" applyBorder="1" applyAlignment="1"/>
    <xf numFmtId="0" fontId="29" fillId="3" borderId="61" xfId="0" applyFont="1" applyFill="1" applyBorder="1" applyAlignment="1"/>
    <xf numFmtId="0" fontId="20" fillId="3" borderId="0" xfId="0" applyFont="1" applyFill="1" applyBorder="1" applyAlignment="1" applyProtection="1">
      <alignment horizontal="center"/>
      <protection locked="0"/>
    </xf>
    <xf numFmtId="0" fontId="28" fillId="5" borderId="31" xfId="0" applyFont="1" applyFill="1" applyBorder="1" applyAlignment="1" applyProtection="1">
      <alignment horizontal="center"/>
      <protection locked="0"/>
    </xf>
    <xf numFmtId="0" fontId="5" fillId="11" borderId="0" xfId="0" applyFont="1" applyFill="1" applyBorder="1" applyAlignment="1" applyProtection="1">
      <alignment horizontal="right"/>
      <protection locked="0" hidden="1"/>
    </xf>
    <xf numFmtId="0" fontId="11" fillId="3" borderId="0" xfId="0" applyFont="1" applyFill="1" applyAlignment="1">
      <alignment horizontal="center"/>
    </xf>
    <xf numFmtId="0" fontId="36" fillId="3" borderId="0" xfId="0" applyFont="1" applyFill="1" applyBorder="1"/>
    <xf numFmtId="0" fontId="11" fillId="3" borderId="0" xfId="0" applyFont="1" applyFill="1" applyAlignment="1">
      <alignment horizontal="center"/>
    </xf>
    <xf numFmtId="0" fontId="29" fillId="3" borderId="7" xfId="0" applyFont="1" applyFill="1" applyBorder="1"/>
    <xf numFmtId="0" fontId="38" fillId="8" borderId="63" xfId="0" applyFont="1" applyFill="1" applyBorder="1" applyAlignment="1">
      <alignment horizontal="center" vertical="top" wrapText="1"/>
    </xf>
    <xf numFmtId="0" fontId="5" fillId="11" borderId="0" xfId="0" applyFont="1" applyFill="1" applyBorder="1" applyAlignment="1" applyProtection="1">
      <alignment horizontal="right"/>
      <protection hidden="1"/>
    </xf>
    <xf numFmtId="0" fontId="29" fillId="8" borderId="5" xfId="0" applyFont="1" applyFill="1" applyBorder="1"/>
    <xf numFmtId="0" fontId="38" fillId="8" borderId="74" xfId="0" applyFont="1" applyFill="1" applyBorder="1" applyAlignment="1">
      <alignment horizontal="center" vertical="top" wrapText="1"/>
    </xf>
    <xf numFmtId="0" fontId="29" fillId="3" borderId="75" xfId="0" applyFont="1" applyFill="1" applyBorder="1"/>
    <xf numFmtId="0" fontId="29" fillId="3" borderId="70" xfId="0" applyFont="1" applyFill="1" applyBorder="1"/>
    <xf numFmtId="0" fontId="29" fillId="3" borderId="71" xfId="0" applyFont="1" applyFill="1" applyBorder="1" applyAlignment="1">
      <alignment horizontal="left"/>
    </xf>
    <xf numFmtId="0" fontId="29" fillId="3" borderId="72" xfId="0" applyFont="1" applyFill="1" applyBorder="1"/>
    <xf numFmtId="0" fontId="29" fillId="3" borderId="76" xfId="0" applyFont="1" applyFill="1" applyBorder="1" applyAlignment="1" applyProtection="1">
      <alignment horizontal="center"/>
      <protection locked="0"/>
    </xf>
    <xf numFmtId="0" fontId="29" fillId="3" borderId="76" xfId="0" applyFont="1" applyFill="1" applyBorder="1"/>
    <xf numFmtId="0" fontId="29" fillId="3" borderId="73" xfId="0" applyFont="1" applyFill="1" applyBorder="1" applyAlignment="1">
      <alignment horizontal="left"/>
    </xf>
    <xf numFmtId="0" fontId="41" fillId="3" borderId="0" xfId="0" applyFont="1" applyFill="1"/>
    <xf numFmtId="0" fontId="29" fillId="3" borderId="68" xfId="0" applyFont="1" applyFill="1" applyBorder="1"/>
    <xf numFmtId="0" fontId="29" fillId="3" borderId="75" xfId="0" applyFont="1" applyFill="1" applyBorder="1" applyAlignment="1">
      <alignment horizontal="center"/>
    </xf>
    <xf numFmtId="0" fontId="28" fillId="3" borderId="75" xfId="0" applyFont="1" applyFill="1" applyBorder="1" applyAlignment="1">
      <alignment horizontal="center"/>
    </xf>
    <xf numFmtId="0" fontId="29" fillId="3" borderId="69" xfId="0" applyFont="1" applyFill="1" applyBorder="1" applyAlignment="1">
      <alignment horizontal="left"/>
    </xf>
    <xf numFmtId="0" fontId="20" fillId="3" borderId="0" xfId="0" applyFont="1" applyFill="1" applyBorder="1" applyAlignment="1"/>
    <xf numFmtId="0" fontId="20" fillId="3" borderId="0" xfId="0" applyFont="1" applyFill="1" applyBorder="1" applyAlignment="1">
      <alignment horizontal="left"/>
    </xf>
    <xf numFmtId="0" fontId="28" fillId="3" borderId="0" xfId="0" applyFont="1" applyFill="1" applyBorder="1" applyProtection="1">
      <protection locked="0"/>
    </xf>
    <xf numFmtId="0" fontId="29" fillId="3" borderId="68" xfId="0" applyFont="1" applyFill="1" applyBorder="1" applyAlignment="1">
      <alignment vertical="top"/>
    </xf>
    <xf numFmtId="0" fontId="28" fillId="3" borderId="75" xfId="0" applyFont="1" applyFill="1" applyBorder="1" applyAlignment="1">
      <alignment vertical="top" wrapText="1"/>
    </xf>
    <xf numFmtId="0" fontId="29" fillId="3" borderId="70" xfId="0" applyFont="1" applyFill="1" applyBorder="1" applyAlignment="1">
      <alignment vertical="top"/>
    </xf>
    <xf numFmtId="0" fontId="29" fillId="3" borderId="71" xfId="0" applyFont="1" applyFill="1" applyBorder="1" applyAlignment="1">
      <alignment vertical="top"/>
    </xf>
    <xf numFmtId="0" fontId="29" fillId="3" borderId="71" xfId="0" applyFont="1" applyFill="1" applyBorder="1"/>
    <xf numFmtId="0" fontId="29" fillId="3" borderId="72" xfId="0" applyFont="1" applyFill="1" applyBorder="1" applyAlignment="1">
      <alignment vertical="top"/>
    </xf>
    <xf numFmtId="0" fontId="29" fillId="3" borderId="69" xfId="0" applyFont="1" applyFill="1" applyBorder="1"/>
    <xf numFmtId="0" fontId="29" fillId="3" borderId="71" xfId="0" applyFont="1" applyFill="1" applyBorder="1" applyAlignment="1">
      <alignment horizontal="center"/>
    </xf>
    <xf numFmtId="0" fontId="29" fillId="3" borderId="73" xfId="0" applyFont="1" applyFill="1" applyBorder="1" applyAlignment="1">
      <alignment horizontal="center"/>
    </xf>
    <xf numFmtId="0" fontId="20" fillId="3" borderId="0" xfId="0" applyFont="1" applyFill="1" applyAlignment="1">
      <alignment vertical="center"/>
    </xf>
    <xf numFmtId="0" fontId="29" fillId="9" borderId="78" xfId="0" applyFont="1" applyFill="1" applyBorder="1" applyAlignment="1">
      <alignment horizontal="right" vertical="center"/>
    </xf>
    <xf numFmtId="0" fontId="29" fillId="9" borderId="79" xfId="0" applyFont="1" applyFill="1" applyBorder="1" applyAlignment="1">
      <alignment horizontal="right" vertical="center"/>
    </xf>
    <xf numFmtId="0" fontId="5" fillId="9" borderId="80" xfId="0" applyFont="1" applyFill="1" applyBorder="1" applyAlignment="1">
      <alignment horizontal="right" vertical="center"/>
    </xf>
    <xf numFmtId="0" fontId="29" fillId="9" borderId="81" xfId="0" applyFont="1" applyFill="1" applyBorder="1" applyAlignment="1">
      <alignment horizontal="right" vertical="center"/>
    </xf>
    <xf numFmtId="0" fontId="29" fillId="9" borderId="80" xfId="0" applyFont="1" applyFill="1" applyBorder="1" applyAlignment="1">
      <alignment horizontal="right" vertical="center"/>
    </xf>
    <xf numFmtId="0" fontId="29" fillId="8" borderId="81" xfId="0" applyFont="1" applyFill="1" applyBorder="1" applyAlignment="1">
      <alignment horizontal="right" vertical="center"/>
    </xf>
    <xf numFmtId="0" fontId="29" fillId="8" borderId="79" xfId="0" applyFont="1" applyFill="1" applyBorder="1" applyAlignment="1">
      <alignment horizontal="right" vertical="center"/>
    </xf>
    <xf numFmtId="0" fontId="29" fillId="8" borderId="80" xfId="0" applyFont="1" applyFill="1" applyBorder="1" applyAlignment="1">
      <alignment horizontal="right" vertical="center"/>
    </xf>
    <xf numFmtId="0" fontId="29" fillId="9" borderId="82" xfId="0" applyFont="1" applyFill="1" applyBorder="1" applyAlignment="1">
      <alignment vertical="center"/>
    </xf>
    <xf numFmtId="0" fontId="38" fillId="8" borderId="85" xfId="0" applyFont="1" applyFill="1" applyBorder="1" applyAlignment="1">
      <alignment horizontal="center" vertical="top" wrapText="1"/>
    </xf>
    <xf numFmtId="0" fontId="38" fillId="8" borderId="67" xfId="0" applyFont="1" applyFill="1" applyBorder="1" applyAlignment="1">
      <alignment horizontal="center" vertical="top" wrapText="1"/>
    </xf>
    <xf numFmtId="0" fontId="38" fillId="8" borderId="74" xfId="0" applyFont="1" applyFill="1" applyBorder="1"/>
    <xf numFmtId="0" fontId="38" fillId="8" borderId="77" xfId="0" applyFont="1" applyFill="1" applyBorder="1"/>
    <xf numFmtId="0" fontId="38" fillId="8" borderId="77" xfId="0" applyFont="1" applyFill="1" applyBorder="1" applyAlignment="1">
      <alignment horizontal="center"/>
    </xf>
    <xf numFmtId="0" fontId="38" fillId="8" borderId="83" xfId="0" applyFont="1" applyFill="1" applyBorder="1"/>
    <xf numFmtId="0" fontId="38" fillId="8" borderId="83" xfId="0" applyFont="1" applyFill="1" applyBorder="1" applyAlignment="1">
      <alignment horizontal="center"/>
    </xf>
    <xf numFmtId="0" fontId="38" fillId="8" borderId="0" xfId="0" applyFont="1" applyFill="1"/>
    <xf numFmtId="0" fontId="38" fillId="3" borderId="0" xfId="0" applyFont="1" applyFill="1" applyAlignment="1">
      <alignment horizontal="right"/>
    </xf>
    <xf numFmtId="0" fontId="20" fillId="3" borderId="70" xfId="0" applyFont="1" applyFill="1" applyBorder="1" applyAlignment="1"/>
    <xf numFmtId="0" fontId="20" fillId="3" borderId="68" xfId="0" applyFont="1" applyFill="1" applyBorder="1" applyAlignment="1"/>
    <xf numFmtId="0" fontId="20" fillId="3" borderId="75" xfId="0" applyFont="1" applyFill="1" applyBorder="1" applyAlignment="1"/>
    <xf numFmtId="0" fontId="20" fillId="3" borderId="69" xfId="0" applyFont="1" applyFill="1" applyBorder="1" applyAlignment="1">
      <alignment horizontal="center"/>
    </xf>
    <xf numFmtId="0" fontId="20" fillId="3" borderId="71" xfId="0" applyFont="1" applyFill="1" applyBorder="1" applyAlignment="1">
      <alignment horizontal="center"/>
    </xf>
    <xf numFmtId="0" fontId="20" fillId="3" borderId="72" xfId="0" applyFont="1" applyFill="1" applyBorder="1" applyAlignment="1"/>
    <xf numFmtId="0" fontId="20" fillId="3" borderId="76" xfId="0" applyFont="1" applyFill="1" applyBorder="1" applyAlignment="1"/>
    <xf numFmtId="0" fontId="20" fillId="3" borderId="73" xfId="0" applyFont="1" applyFill="1" applyBorder="1" applyAlignment="1">
      <alignment horizontal="center"/>
    </xf>
    <xf numFmtId="0" fontId="36" fillId="3" borderId="0" xfId="0" applyFont="1" applyFill="1" applyBorder="1"/>
    <xf numFmtId="0" fontId="11" fillId="3" borderId="0" xfId="0" applyFont="1" applyFill="1" applyAlignment="1">
      <alignment horizontal="center"/>
    </xf>
    <xf numFmtId="0" fontId="36" fillId="3" borderId="0" xfId="0" applyFont="1" applyFill="1" applyBorder="1" applyAlignment="1">
      <alignment horizontal="left"/>
    </xf>
    <xf numFmtId="9" fontId="3" fillId="11" borderId="0" xfId="0" applyNumberFormat="1" applyFont="1" applyFill="1" applyAlignment="1" applyProtection="1">
      <alignment vertical="center"/>
      <protection locked="0"/>
    </xf>
    <xf numFmtId="9" fontId="5" fillId="9" borderId="13" xfId="0" applyNumberFormat="1" applyFont="1" applyFill="1" applyBorder="1" applyAlignment="1" applyProtection="1">
      <alignment vertical="center"/>
      <protection locked="0"/>
    </xf>
    <xf numFmtId="9" fontId="5" fillId="9" borderId="15" xfId="0" applyNumberFormat="1" applyFont="1" applyFill="1" applyBorder="1" applyAlignment="1" applyProtection="1">
      <alignment vertical="center"/>
      <protection locked="0"/>
    </xf>
    <xf numFmtId="0" fontId="29" fillId="3" borderId="54" xfId="0" applyFont="1" applyFill="1" applyBorder="1"/>
    <xf numFmtId="0" fontId="29" fillId="3" borderId="57" xfId="0" applyFont="1" applyFill="1" applyBorder="1"/>
    <xf numFmtId="0" fontId="29" fillId="3" borderId="59" xfId="0" applyFont="1" applyFill="1" applyBorder="1"/>
    <xf numFmtId="0" fontId="29" fillId="6" borderId="0" xfId="0" applyFont="1" applyFill="1" applyBorder="1"/>
    <xf numFmtId="0" fontId="29" fillId="6" borderId="7" xfId="0" applyFont="1" applyFill="1" applyBorder="1"/>
    <xf numFmtId="0" fontId="29" fillId="5" borderId="12" xfId="0" applyFont="1" applyFill="1" applyBorder="1"/>
    <xf numFmtId="0" fontId="29" fillId="8" borderId="2" xfId="0" applyFont="1" applyFill="1" applyBorder="1"/>
    <xf numFmtId="0" fontId="29" fillId="8" borderId="0" xfId="0" applyFont="1" applyFill="1" applyBorder="1"/>
    <xf numFmtId="0" fontId="29" fillId="8" borderId="7" xfId="0" applyFont="1" applyFill="1" applyBorder="1"/>
    <xf numFmtId="0" fontId="29" fillId="3" borderId="55" xfId="0" applyFont="1" applyFill="1" applyBorder="1"/>
    <xf numFmtId="0" fontId="29" fillId="3" borderId="60" xfId="0" applyFont="1" applyFill="1" applyBorder="1" applyAlignment="1">
      <alignment horizontal="center"/>
    </xf>
    <xf numFmtId="0" fontId="29" fillId="6" borderId="2" xfId="0" applyFont="1" applyFill="1" applyBorder="1"/>
    <xf numFmtId="3" fontId="19" fillId="3" borderId="0" xfId="0" applyNumberFormat="1" applyFont="1" applyFill="1"/>
    <xf numFmtId="3" fontId="29" fillId="3" borderId="58" xfId="0" applyNumberFormat="1" applyFont="1" applyFill="1" applyBorder="1"/>
    <xf numFmtId="3" fontId="29" fillId="3" borderId="56" xfId="0" applyNumberFormat="1" applyFont="1" applyFill="1" applyBorder="1"/>
    <xf numFmtId="3" fontId="29" fillId="3" borderId="61" xfId="0" applyNumberFormat="1" applyFont="1" applyFill="1" applyBorder="1"/>
    <xf numFmtId="3" fontId="36" fillId="3" borderId="0" xfId="0" applyNumberFormat="1" applyFont="1" applyFill="1" applyAlignment="1">
      <alignment horizontal="left"/>
    </xf>
    <xf numFmtId="9" fontId="3" fillId="9" borderId="16" xfId="0" applyNumberFormat="1" applyFont="1" applyFill="1" applyBorder="1" applyAlignment="1" applyProtection="1">
      <alignment vertical="center"/>
      <protection locked="0"/>
    </xf>
    <xf numFmtId="0" fontId="8" fillId="3" borderId="0" xfId="0" applyFont="1" applyFill="1" applyBorder="1" applyAlignment="1">
      <alignment horizontal="center" vertical="center"/>
    </xf>
    <xf numFmtId="0" fontId="36" fillId="3" borderId="0" xfId="0" applyFont="1" applyFill="1" applyBorder="1"/>
    <xf numFmtId="0" fontId="36" fillId="3" borderId="0" xfId="0" applyFont="1" applyFill="1" applyBorder="1" applyAlignment="1">
      <alignment horizontal="left"/>
    </xf>
    <xf numFmtId="0" fontId="11" fillId="3" borderId="0" xfId="0" applyFont="1" applyFill="1" applyAlignment="1">
      <alignment horizontal="center"/>
    </xf>
    <xf numFmtId="0" fontId="11" fillId="3" borderId="0" xfId="0" applyFont="1" applyFill="1" applyAlignment="1">
      <alignment horizontal="left"/>
    </xf>
    <xf numFmtId="0" fontId="17" fillId="3" borderId="0" xfId="0" applyFont="1" applyFill="1" applyAlignment="1">
      <alignment horizontal="right"/>
    </xf>
    <xf numFmtId="9" fontId="17" fillId="3" borderId="0" xfId="0" applyNumberFormat="1" applyFont="1" applyFill="1" applyAlignment="1">
      <alignment horizontal="right"/>
    </xf>
    <xf numFmtId="9" fontId="11" fillId="3" borderId="0" xfId="0" applyNumberFormat="1" applyFont="1" applyFill="1" applyAlignment="1">
      <alignment horizontal="right"/>
    </xf>
    <xf numFmtId="0" fontId="8" fillId="3" borderId="0" xfId="0" applyFont="1" applyFill="1" applyBorder="1" applyAlignment="1">
      <alignment horizontal="right" vertical="center"/>
    </xf>
    <xf numFmtId="0" fontId="8" fillId="3" borderId="0" xfId="0" applyFont="1" applyFill="1" applyBorder="1" applyAlignment="1">
      <alignment horizontal="right" vertical="top"/>
    </xf>
    <xf numFmtId="0" fontId="3" fillId="3" borderId="0" xfId="0" applyFont="1" applyFill="1" applyAlignment="1">
      <alignment horizontal="center" vertical="center"/>
    </xf>
    <xf numFmtId="0" fontId="3" fillId="11" borderId="0" xfId="0" applyFont="1" applyFill="1" applyBorder="1" applyAlignment="1">
      <alignment vertical="center"/>
    </xf>
    <xf numFmtId="0" fontId="0" fillId="3" borderId="0" xfId="0" applyFill="1" applyAlignment="1">
      <alignment horizontal="center"/>
    </xf>
    <xf numFmtId="1" fontId="3" fillId="3" borderId="0" xfId="0" applyNumberFormat="1" applyFont="1" applyFill="1" applyAlignment="1">
      <alignment vertical="center"/>
    </xf>
    <xf numFmtId="10" fontId="11" fillId="3" borderId="0" xfId="0" applyNumberFormat="1" applyFont="1" applyFill="1" applyAlignment="1">
      <alignment horizontal="center"/>
    </xf>
    <xf numFmtId="10" fontId="11" fillId="3" borderId="0" xfId="0" applyNumberFormat="1" applyFont="1" applyFill="1"/>
    <xf numFmtId="0" fontId="3" fillId="9" borderId="0" xfId="0" applyFont="1" applyFill="1" applyBorder="1" applyAlignment="1" applyProtection="1">
      <alignment horizontal="center" vertical="top"/>
      <protection locked="0" hidden="1"/>
    </xf>
    <xf numFmtId="0" fontId="3" fillId="9" borderId="0" xfId="0" applyFont="1" applyFill="1" applyBorder="1" applyAlignment="1" applyProtection="1">
      <alignment horizontal="center" vertical="center"/>
      <protection locked="0" hidden="1"/>
    </xf>
    <xf numFmtId="0" fontId="36" fillId="3" borderId="0" xfId="0" applyFont="1" applyFill="1" applyBorder="1"/>
    <xf numFmtId="0" fontId="36" fillId="3" borderId="0" xfId="0" applyFont="1" applyFill="1" applyBorder="1" applyAlignment="1">
      <alignment horizontal="left"/>
    </xf>
    <xf numFmtId="0" fontId="11" fillId="3" borderId="0" xfId="0" applyFont="1" applyFill="1" applyAlignment="1">
      <alignment horizontal="center"/>
    </xf>
    <xf numFmtId="0" fontId="11" fillId="3" borderId="0" xfId="0" applyFont="1" applyFill="1" applyAlignment="1">
      <alignment horizontal="left"/>
    </xf>
    <xf numFmtId="0" fontId="36" fillId="3" borderId="0" xfId="0" applyFont="1" applyFill="1" applyBorder="1"/>
    <xf numFmtId="0" fontId="36" fillId="3" borderId="0" xfId="0" applyFont="1" applyFill="1" applyBorder="1" applyAlignment="1">
      <alignment horizontal="left"/>
    </xf>
    <xf numFmtId="165" fontId="11" fillId="3" borderId="0" xfId="0" applyNumberFormat="1" applyFont="1" applyFill="1"/>
    <xf numFmtId="164" fontId="11" fillId="3" borderId="0" xfId="0" applyNumberFormat="1" applyFont="1" applyFill="1" applyAlignment="1">
      <alignment horizontal="center"/>
    </xf>
    <xf numFmtId="0" fontId="36" fillId="3" borderId="0" xfId="0" applyFont="1" applyFill="1" applyBorder="1"/>
    <xf numFmtId="0" fontId="36" fillId="3" borderId="0" xfId="0" applyFont="1" applyFill="1" applyBorder="1" applyAlignment="1">
      <alignment horizontal="left"/>
    </xf>
    <xf numFmtId="0" fontId="11" fillId="3" borderId="0" xfId="0" applyFont="1" applyFill="1" applyAlignment="1">
      <alignment horizontal="center"/>
    </xf>
    <xf numFmtId="0" fontId="10" fillId="4" borderId="0" xfId="0" applyFont="1" applyFill="1" applyBorder="1" applyAlignment="1">
      <alignment horizontal="center" vertical="center" wrapText="1"/>
    </xf>
    <xf numFmtId="1" fontId="5" fillId="3" borderId="0" xfId="0" applyNumberFormat="1" applyFont="1" applyFill="1" applyBorder="1" applyAlignment="1">
      <alignment vertical="center"/>
    </xf>
    <xf numFmtId="0" fontId="23" fillId="3" borderId="0" xfId="0" applyFont="1" applyFill="1" applyAlignment="1">
      <alignment horizontal="left"/>
    </xf>
    <xf numFmtId="0" fontId="23" fillId="3" borderId="0" xfId="0" applyFont="1" applyFill="1" applyAlignment="1">
      <alignment horizontal="center" vertical="center" wrapText="1"/>
    </xf>
    <xf numFmtId="0" fontId="23" fillId="3" borderId="0" xfId="0" applyFont="1" applyFill="1" applyAlignment="1">
      <alignment horizontal="center" vertical="center"/>
    </xf>
    <xf numFmtId="0" fontId="8" fillId="3" borderId="0" xfId="1" applyNumberFormat="1" applyFont="1" applyFill="1" applyAlignment="1" applyProtection="1">
      <alignment horizontal="left" vertical="center"/>
      <protection locked="0" hidden="1"/>
    </xf>
    <xf numFmtId="0" fontId="29" fillId="9" borderId="2" xfId="0" applyFont="1" applyFill="1" applyBorder="1"/>
    <xf numFmtId="0" fontId="3" fillId="9" borderId="0" xfId="0" applyFont="1" applyFill="1" applyBorder="1" applyAlignment="1">
      <alignment horizontal="right" vertical="center"/>
    </xf>
    <xf numFmtId="0" fontId="29" fillId="9" borderId="7" xfId="0" applyFont="1" applyFill="1" applyBorder="1"/>
    <xf numFmtId="0" fontId="29" fillId="9" borderId="0" xfId="0" applyFont="1" applyFill="1" applyBorder="1"/>
    <xf numFmtId="0" fontId="29" fillId="5" borderId="2" xfId="0" applyFont="1" applyFill="1" applyBorder="1"/>
    <xf numFmtId="0" fontId="29" fillId="5" borderId="0" xfId="0" applyFont="1" applyFill="1" applyBorder="1"/>
    <xf numFmtId="49" fontId="3" fillId="5" borderId="0" xfId="0" applyNumberFormat="1" applyFont="1" applyFill="1" applyBorder="1" applyAlignment="1">
      <alignment horizontal="right" vertical="center"/>
    </xf>
    <xf numFmtId="0" fontId="28" fillId="3" borderId="0" xfId="0" applyFont="1" applyFill="1" applyBorder="1" applyAlignment="1">
      <alignment vertical="center"/>
    </xf>
    <xf numFmtId="0" fontId="38" fillId="3" borderId="0" xfId="0" applyFont="1" applyFill="1" applyBorder="1" applyAlignment="1"/>
    <xf numFmtId="0" fontId="28" fillId="3" borderId="0" xfId="0" applyFont="1" applyFill="1" applyBorder="1" applyAlignment="1"/>
    <xf numFmtId="0" fontId="29" fillId="5" borderId="87" xfId="0" applyFont="1" applyFill="1" applyBorder="1" applyAlignment="1">
      <alignment vertical="center"/>
    </xf>
    <xf numFmtId="0" fontId="29" fillId="9" borderId="87" xfId="0" applyFont="1" applyFill="1" applyBorder="1" applyAlignment="1">
      <alignment vertical="center"/>
    </xf>
    <xf numFmtId="0" fontId="39" fillId="5" borderId="74" xfId="0" applyFont="1" applyFill="1" applyBorder="1" applyAlignment="1">
      <alignment vertical="center"/>
    </xf>
    <xf numFmtId="0" fontId="39" fillId="5" borderId="77" xfId="0" applyFont="1" applyFill="1" applyBorder="1" applyAlignment="1">
      <alignment vertical="center"/>
    </xf>
    <xf numFmtId="0" fontId="29" fillId="5" borderId="77" xfId="0" applyFont="1" applyFill="1" applyBorder="1" applyAlignment="1">
      <alignment vertical="center"/>
    </xf>
    <xf numFmtId="0" fontId="29" fillId="9" borderId="77" xfId="0" applyFont="1" applyFill="1" applyBorder="1" applyAlignment="1">
      <alignment vertical="center"/>
    </xf>
    <xf numFmtId="0" fontId="29" fillId="8" borderId="74" xfId="0" applyFont="1" applyFill="1" applyBorder="1" applyAlignment="1">
      <alignment horizontal="right" vertical="center"/>
    </xf>
    <xf numFmtId="0" fontId="29" fillId="8" borderId="77" xfId="0" applyFont="1" applyFill="1" applyBorder="1" applyAlignment="1">
      <alignment horizontal="right" vertical="center"/>
    </xf>
    <xf numFmtId="0" fontId="29" fillId="8" borderId="87" xfId="0" applyFont="1" applyFill="1" applyBorder="1" applyAlignment="1">
      <alignment horizontal="right" vertical="center"/>
    </xf>
    <xf numFmtId="49" fontId="38" fillId="6" borderId="74" xfId="0" applyNumberFormat="1" applyFont="1" applyFill="1" applyBorder="1" applyAlignment="1">
      <alignment horizontal="right" vertical="center"/>
    </xf>
    <xf numFmtId="49" fontId="5" fillId="6" borderId="77" xfId="0" applyNumberFormat="1" applyFont="1" applyFill="1" applyBorder="1" applyAlignment="1">
      <alignment horizontal="right" vertical="center"/>
    </xf>
    <xf numFmtId="49" fontId="5" fillId="6" borderId="87" xfId="0" applyNumberFormat="1" applyFont="1" applyFill="1" applyBorder="1" applyAlignment="1">
      <alignment horizontal="right" vertical="center"/>
    </xf>
    <xf numFmtId="9" fontId="29" fillId="5" borderId="74" xfId="0" applyNumberFormat="1" applyFont="1" applyFill="1" applyBorder="1" applyAlignment="1">
      <alignment horizontal="right" vertical="center"/>
    </xf>
    <xf numFmtId="0" fontId="29" fillId="5" borderId="77" xfId="0" applyFont="1" applyFill="1" applyBorder="1" applyAlignment="1">
      <alignment horizontal="right" vertical="center"/>
    </xf>
    <xf numFmtId="1" fontId="29" fillId="5" borderId="77" xfId="0" applyNumberFormat="1" applyFont="1" applyFill="1" applyBorder="1" applyAlignment="1">
      <alignment horizontal="right" vertical="center"/>
    </xf>
    <xf numFmtId="49" fontId="38" fillId="5" borderId="77" xfId="0" applyNumberFormat="1" applyFont="1" applyFill="1" applyBorder="1" applyAlignment="1">
      <alignment horizontal="right" vertical="center"/>
    </xf>
    <xf numFmtId="49" fontId="5" fillId="5" borderId="87" xfId="0" applyNumberFormat="1" applyFont="1" applyFill="1" applyBorder="1" applyAlignment="1">
      <alignment horizontal="right" vertical="center"/>
    </xf>
    <xf numFmtId="0" fontId="29" fillId="9" borderId="74" xfId="0" applyFont="1" applyFill="1" applyBorder="1" applyAlignment="1">
      <alignment horizontal="right" vertical="center"/>
    </xf>
    <xf numFmtId="0" fontId="33" fillId="9" borderId="77" xfId="0" applyFont="1" applyFill="1" applyBorder="1" applyAlignment="1">
      <alignment horizontal="right" vertical="center"/>
    </xf>
    <xf numFmtId="0" fontId="5" fillId="9" borderId="87" xfId="0" applyFont="1" applyFill="1" applyBorder="1" applyAlignment="1">
      <alignment horizontal="right" vertical="center"/>
    </xf>
    <xf numFmtId="0" fontId="29" fillId="9" borderId="77" xfId="0" applyFont="1" applyFill="1" applyBorder="1" applyAlignment="1">
      <alignment horizontal="right" vertical="center"/>
    </xf>
    <xf numFmtId="0" fontId="29" fillId="9" borderId="87" xfId="0" applyFont="1" applyFill="1" applyBorder="1" applyAlignment="1">
      <alignment horizontal="right" vertical="center"/>
    </xf>
    <xf numFmtId="0" fontId="29" fillId="3" borderId="0" xfId="0" applyNumberFormat="1" applyFont="1" applyFill="1"/>
    <xf numFmtId="0" fontId="29" fillId="3" borderId="0" xfId="0" applyNumberFormat="1" applyFont="1" applyFill="1" applyAlignment="1">
      <alignment vertical="center"/>
    </xf>
    <xf numFmtId="0" fontId="5" fillId="11" borderId="0" xfId="0" applyNumberFormat="1" applyFont="1" applyFill="1" applyBorder="1"/>
    <xf numFmtId="10" fontId="19" fillId="3" borderId="0" xfId="0" applyNumberFormat="1" applyFont="1" applyFill="1"/>
    <xf numFmtId="0" fontId="5" fillId="11" borderId="0" xfId="0" applyFont="1" applyFill="1" applyBorder="1"/>
    <xf numFmtId="0" fontId="3" fillId="0" borderId="0" xfId="1" applyFont="1" applyProtection="1">
      <protection locked="0" hidden="1"/>
    </xf>
    <xf numFmtId="0" fontId="36" fillId="3" borderId="0" xfId="0" applyFont="1" applyFill="1" applyBorder="1" applyAlignment="1">
      <alignment horizontal="left"/>
    </xf>
    <xf numFmtId="0" fontId="36" fillId="3" borderId="0" xfId="0" applyFont="1" applyFill="1" applyBorder="1"/>
    <xf numFmtId="0" fontId="32" fillId="4" borderId="88" xfId="0" applyFont="1" applyFill="1" applyBorder="1" applyAlignment="1" applyProtection="1">
      <alignment horizontal="center"/>
      <protection locked="0"/>
    </xf>
    <xf numFmtId="0" fontId="33" fillId="4" borderId="88" xfId="0" applyFont="1" applyFill="1" applyBorder="1" applyAlignment="1" applyProtection="1">
      <alignment horizontal="center"/>
      <protection locked="0"/>
    </xf>
    <xf numFmtId="0" fontId="29" fillId="4" borderId="88" xfId="0" applyFont="1" applyFill="1" applyBorder="1" applyAlignment="1" applyProtection="1">
      <alignment horizontal="center"/>
      <protection locked="0"/>
    </xf>
    <xf numFmtId="0" fontId="20" fillId="4" borderId="88" xfId="0" applyFont="1" applyFill="1" applyBorder="1" applyAlignment="1" applyProtection="1">
      <alignment horizontal="center"/>
      <protection locked="0"/>
    </xf>
    <xf numFmtId="0" fontId="32" fillId="4" borderId="88" xfId="0" applyFont="1" applyFill="1" applyBorder="1" applyAlignment="1" applyProtection="1">
      <alignment horizontal="center"/>
      <protection hidden="1"/>
    </xf>
    <xf numFmtId="0" fontId="33" fillId="4" borderId="88" xfId="0" applyFont="1" applyFill="1" applyBorder="1" applyAlignment="1" applyProtection="1">
      <alignment horizontal="center"/>
      <protection hidden="1"/>
    </xf>
    <xf numFmtId="0" fontId="29" fillId="4" borderId="88" xfId="0" applyFont="1" applyFill="1" applyBorder="1" applyAlignment="1" applyProtection="1">
      <alignment horizontal="center"/>
      <protection hidden="1"/>
    </xf>
    <xf numFmtId="0" fontId="20" fillId="4" borderId="88" xfId="0" applyFont="1" applyFill="1" applyBorder="1" applyAlignment="1" applyProtection="1">
      <alignment horizontal="center"/>
      <protection hidden="1"/>
    </xf>
    <xf numFmtId="0" fontId="32" fillId="13" borderId="88" xfId="0" applyFont="1" applyFill="1" applyBorder="1" applyAlignment="1" applyProtection="1">
      <alignment horizontal="center"/>
      <protection locked="0"/>
    </xf>
    <xf numFmtId="0" fontId="33" fillId="13" borderId="88" xfId="0" applyFont="1" applyFill="1" applyBorder="1" applyAlignment="1" applyProtection="1">
      <alignment horizontal="center"/>
      <protection locked="0"/>
    </xf>
    <xf numFmtId="0" fontId="29" fillId="13" borderId="88" xfId="0" applyFont="1" applyFill="1" applyBorder="1" applyAlignment="1" applyProtection="1">
      <alignment horizontal="center"/>
      <protection locked="0"/>
    </xf>
    <xf numFmtId="0" fontId="20" fillId="13" borderId="88" xfId="0" applyFont="1" applyFill="1" applyBorder="1" applyAlignment="1" applyProtection="1">
      <alignment horizontal="center"/>
      <protection locked="0"/>
    </xf>
    <xf numFmtId="0" fontId="32" fillId="13" borderId="88" xfId="0" applyFont="1" applyFill="1" applyBorder="1" applyAlignment="1" applyProtection="1">
      <alignment horizontal="center"/>
      <protection hidden="1"/>
    </xf>
    <xf numFmtId="0" fontId="33" fillId="13" borderId="88" xfId="0" applyFont="1" applyFill="1" applyBorder="1" applyAlignment="1" applyProtection="1">
      <alignment horizontal="center"/>
      <protection hidden="1"/>
    </xf>
    <xf numFmtId="0" fontId="29" fillId="13" borderId="88" xfId="0" applyFont="1" applyFill="1" applyBorder="1" applyAlignment="1" applyProtection="1">
      <alignment horizontal="center"/>
      <protection hidden="1"/>
    </xf>
    <xf numFmtId="0" fontId="20" fillId="13" borderId="88" xfId="0" applyFont="1" applyFill="1" applyBorder="1" applyAlignment="1" applyProtection="1">
      <alignment horizontal="center"/>
      <protection hidden="1"/>
    </xf>
    <xf numFmtId="0" fontId="38" fillId="8" borderId="63" xfId="0" applyFont="1" applyFill="1" applyBorder="1"/>
    <xf numFmtId="0" fontId="38" fillId="8" borderId="63" xfId="0" applyFont="1" applyFill="1" applyBorder="1" applyAlignment="1">
      <alignment horizontal="center"/>
    </xf>
    <xf numFmtId="0" fontId="38" fillId="8" borderId="88" xfId="0" applyFont="1" applyFill="1" applyBorder="1"/>
    <xf numFmtId="3" fontId="38" fillId="8" borderId="88" xfId="0" applyNumberFormat="1" applyFont="1" applyFill="1" applyBorder="1"/>
    <xf numFmtId="3" fontId="38" fillId="8" borderId="88" xfId="0" applyNumberFormat="1" applyFont="1" applyFill="1" applyBorder="1" applyAlignment="1">
      <alignment horizontal="right"/>
    </xf>
    <xf numFmtId="9" fontId="38" fillId="8" borderId="88" xfId="0" applyNumberFormat="1" applyFont="1" applyFill="1" applyBorder="1" applyAlignment="1">
      <alignment horizontal="left"/>
    </xf>
    <xf numFmtId="0" fontId="38" fillId="5" borderId="88" xfId="0" applyFont="1" applyFill="1" applyBorder="1" applyAlignment="1">
      <alignment horizontal="center"/>
    </xf>
    <xf numFmtId="0" fontId="38" fillId="5" borderId="88" xfId="0" applyFont="1" applyFill="1" applyBorder="1"/>
    <xf numFmtId="0" fontId="38" fillId="8" borderId="88" xfId="0" applyFont="1" applyFill="1" applyBorder="1" applyAlignment="1" applyProtection="1">
      <alignment horizontal="right"/>
      <protection hidden="1"/>
    </xf>
    <xf numFmtId="3" fontId="38" fillId="8" borderId="88" xfId="4" applyNumberFormat="1" applyFont="1" applyFill="1" applyBorder="1" applyAlignment="1" applyProtection="1">
      <alignment horizontal="left"/>
      <protection hidden="1"/>
    </xf>
    <xf numFmtId="0" fontId="38" fillId="8" borderId="91" xfId="0" applyFont="1" applyFill="1" applyBorder="1" applyAlignment="1" applyProtection="1">
      <alignment horizontal="right" vertical="top"/>
      <protection hidden="1"/>
    </xf>
    <xf numFmtId="3" fontId="38" fillId="8" borderId="88" xfId="0" applyNumberFormat="1" applyFont="1" applyFill="1" applyBorder="1" applyAlignment="1" applyProtection="1">
      <alignment horizontal="left" vertical="top"/>
      <protection hidden="1"/>
    </xf>
    <xf numFmtId="3" fontId="38" fillId="5" borderId="88" xfId="0" applyNumberFormat="1" applyFont="1" applyFill="1" applyBorder="1"/>
    <xf numFmtId="3" fontId="38" fillId="5" borderId="88" xfId="0" applyNumberFormat="1" applyFont="1" applyFill="1" applyBorder="1" applyAlignment="1">
      <alignment horizontal="right"/>
    </xf>
    <xf numFmtId="9" fontId="38" fillId="5" borderId="88" xfId="0" applyNumberFormat="1" applyFont="1" applyFill="1" applyBorder="1" applyAlignment="1">
      <alignment horizontal="left"/>
    </xf>
    <xf numFmtId="0" fontId="38" fillId="5" borderId="88" xfId="0" applyFont="1" applyFill="1" applyBorder="1" applyAlignment="1" applyProtection="1">
      <alignment horizontal="right"/>
      <protection hidden="1"/>
    </xf>
    <xf numFmtId="3" fontId="38" fillId="5" borderId="88" xfId="4" applyNumberFormat="1" applyFont="1" applyFill="1" applyBorder="1" applyAlignment="1" applyProtection="1">
      <alignment horizontal="left"/>
      <protection hidden="1"/>
    </xf>
    <xf numFmtId="0" fontId="38" fillId="5" borderId="91" xfId="0" applyFont="1" applyFill="1" applyBorder="1" applyAlignment="1" applyProtection="1">
      <alignment horizontal="right" vertical="top"/>
      <protection hidden="1"/>
    </xf>
    <xf numFmtId="3" fontId="38" fillId="5" borderId="88" xfId="0" applyNumberFormat="1" applyFont="1" applyFill="1" applyBorder="1" applyAlignment="1" applyProtection="1">
      <alignment horizontal="left" vertical="top"/>
      <protection hidden="1"/>
    </xf>
    <xf numFmtId="0" fontId="38" fillId="8" borderId="88" xfId="0" applyFont="1" applyFill="1" applyBorder="1" applyAlignment="1">
      <alignment horizontal="center"/>
    </xf>
    <xf numFmtId="0" fontId="29" fillId="5" borderId="93" xfId="0" applyFont="1" applyFill="1" applyBorder="1"/>
    <xf numFmtId="0" fontId="29" fillId="5" borderId="94" xfId="0" applyFont="1" applyFill="1" applyBorder="1"/>
    <xf numFmtId="0" fontId="29" fillId="5" borderId="95" xfId="0" applyFont="1" applyFill="1" applyBorder="1"/>
    <xf numFmtId="0" fontId="29" fillId="5" borderId="96" xfId="0" applyFont="1" applyFill="1" applyBorder="1"/>
    <xf numFmtId="0" fontId="29" fillId="5" borderId="97" xfId="0" applyFont="1" applyFill="1" applyBorder="1"/>
    <xf numFmtId="0" fontId="29" fillId="5" borderId="98" xfId="0" applyFont="1" applyFill="1" applyBorder="1"/>
    <xf numFmtId="0" fontId="15" fillId="5" borderId="0" xfId="1" applyFont="1" applyFill="1" applyAlignment="1">
      <alignment horizontal="left"/>
    </xf>
    <xf numFmtId="0" fontId="3" fillId="5" borderId="0" xfId="0" applyFont="1" applyFill="1" applyAlignment="1">
      <alignment horizontal="left" vertical="center"/>
    </xf>
    <xf numFmtId="0" fontId="36" fillId="3" borderId="0" xfId="0" applyFont="1" applyFill="1" applyBorder="1"/>
    <xf numFmtId="0" fontId="36" fillId="3" borderId="0" xfId="0" applyFont="1" applyFill="1" applyBorder="1" applyAlignment="1">
      <alignment horizontal="left"/>
    </xf>
    <xf numFmtId="0" fontId="23" fillId="3" borderId="0" xfId="0" applyFont="1" applyFill="1" applyAlignment="1">
      <alignment horizontal="center"/>
    </xf>
    <xf numFmtId="0" fontId="17" fillId="3" borderId="0" xfId="0" applyNumberFormat="1" applyFont="1" applyFill="1"/>
    <xf numFmtId="0" fontId="11" fillId="3" borderId="0" xfId="0" applyNumberFormat="1" applyFont="1" applyFill="1"/>
    <xf numFmtId="0" fontId="10" fillId="11" borderId="0" xfId="0" applyFont="1" applyFill="1" applyBorder="1"/>
    <xf numFmtId="166" fontId="11" fillId="3" borderId="0" xfId="0" applyNumberFormat="1" applyFont="1" applyFill="1" applyAlignment="1">
      <alignment horizontal="right"/>
    </xf>
    <xf numFmtId="0" fontId="5" fillId="6" borderId="16" xfId="0" applyFont="1" applyFill="1" applyBorder="1" applyAlignment="1" applyProtection="1">
      <alignment horizontal="center" vertical="center"/>
      <protection locked="0"/>
    </xf>
    <xf numFmtId="0" fontId="33" fillId="3" borderId="0" xfId="0" applyFont="1" applyFill="1" applyProtection="1">
      <protection locked="0"/>
    </xf>
    <xf numFmtId="0" fontId="33" fillId="3" borderId="47" xfId="0" applyFont="1" applyFill="1" applyBorder="1" applyAlignment="1" applyProtection="1">
      <alignment horizontal="center"/>
      <protection locked="0"/>
    </xf>
    <xf numFmtId="0" fontId="33" fillId="3" borderId="0" xfId="0" applyFont="1" applyFill="1" applyBorder="1" applyAlignment="1" applyProtection="1">
      <alignment horizontal="center"/>
      <protection locked="0"/>
    </xf>
    <xf numFmtId="0" fontId="33" fillId="3" borderId="48" xfId="0" applyFont="1" applyFill="1" applyBorder="1" applyAlignment="1" applyProtection="1">
      <alignment horizontal="center"/>
      <protection locked="0"/>
    </xf>
    <xf numFmtId="0" fontId="33" fillId="3" borderId="0" xfId="0" applyFont="1" applyFill="1" applyAlignment="1" applyProtection="1">
      <alignment horizontal="center"/>
      <protection locked="0"/>
    </xf>
    <xf numFmtId="0" fontId="33" fillId="3" borderId="45" xfId="0" applyFont="1" applyFill="1" applyBorder="1" applyAlignment="1" applyProtection="1">
      <alignment horizontal="center"/>
      <protection locked="0"/>
    </xf>
    <xf numFmtId="0" fontId="33" fillId="3" borderId="23" xfId="0" applyFont="1" applyFill="1" applyBorder="1" applyAlignment="1" applyProtection="1">
      <alignment horizontal="center"/>
      <protection locked="0"/>
    </xf>
    <xf numFmtId="0" fontId="33" fillId="3" borderId="46" xfId="0" applyFont="1" applyFill="1" applyBorder="1" applyAlignment="1" applyProtection="1">
      <alignment horizontal="center"/>
      <protection locked="0"/>
    </xf>
    <xf numFmtId="0" fontId="33" fillId="3" borderId="0" xfId="0" applyFont="1" applyFill="1" applyAlignment="1">
      <alignment horizontal="center"/>
    </xf>
    <xf numFmtId="0" fontId="14" fillId="3" borderId="25" xfId="0" applyFont="1" applyFill="1" applyBorder="1" applyAlignment="1">
      <alignment horizontal="center" vertical="center"/>
    </xf>
    <xf numFmtId="0" fontId="8" fillId="3" borderId="22" xfId="0" applyFont="1" applyFill="1" applyBorder="1" applyAlignment="1">
      <alignment horizontal="center" vertical="center"/>
    </xf>
    <xf numFmtId="0" fontId="28" fillId="0" borderId="22" xfId="0" applyFont="1" applyBorder="1" applyAlignment="1">
      <alignment vertical="center"/>
    </xf>
    <xf numFmtId="0" fontId="28" fillId="0" borderId="22" xfId="0" applyFont="1" applyBorder="1" applyAlignment="1">
      <alignment horizontal="center" vertical="center"/>
    </xf>
    <xf numFmtId="0" fontId="3" fillId="9" borderId="19" xfId="0" applyFont="1" applyFill="1" applyBorder="1" applyAlignment="1" applyProtection="1">
      <alignment vertical="center"/>
      <protection locked="0"/>
    </xf>
    <xf numFmtId="0" fontId="28" fillId="9" borderId="20" xfId="0" applyFont="1" applyFill="1" applyBorder="1" applyAlignment="1" applyProtection="1">
      <alignment vertical="center"/>
      <protection locked="0"/>
    </xf>
    <xf numFmtId="1" fontId="5" fillId="8" borderId="21" xfId="0" applyNumberFormat="1" applyFont="1" applyFill="1" applyBorder="1" applyAlignment="1">
      <alignment horizontal="center" vertical="center"/>
    </xf>
    <xf numFmtId="0" fontId="28" fillId="0" borderId="21" xfId="0" applyFont="1" applyBorder="1" applyAlignment="1">
      <alignment horizontal="center" vertical="center"/>
    </xf>
    <xf numFmtId="0" fontId="35" fillId="3" borderId="23" xfId="0" applyFont="1" applyFill="1" applyBorder="1" applyAlignment="1" applyProtection="1">
      <alignment horizontal="center" vertical="center"/>
      <protection hidden="1"/>
    </xf>
    <xf numFmtId="0" fontId="5" fillId="9" borderId="16" xfId="0" applyFont="1" applyFill="1" applyBorder="1" applyAlignment="1" applyProtection="1">
      <alignment horizontal="center" vertical="center"/>
      <protection locked="0"/>
    </xf>
    <xf numFmtId="0" fontId="28" fillId="0" borderId="16" xfId="0" applyFont="1" applyBorder="1" applyAlignment="1" applyProtection="1">
      <alignment vertical="center"/>
      <protection locked="0"/>
    </xf>
    <xf numFmtId="0" fontId="5" fillId="6" borderId="16" xfId="0" applyFont="1" applyFill="1" applyBorder="1" applyAlignment="1" applyProtection="1">
      <alignment horizontal="center" vertical="center"/>
      <protection locked="0"/>
    </xf>
    <xf numFmtId="0" fontId="28" fillId="6" borderId="16" xfId="0" applyFont="1" applyFill="1" applyBorder="1" applyAlignment="1" applyProtection="1">
      <alignment vertical="center"/>
      <protection locked="0"/>
    </xf>
    <xf numFmtId="0" fontId="5" fillId="5" borderId="16" xfId="0" applyFont="1" applyFill="1" applyBorder="1" applyAlignment="1" applyProtection="1">
      <alignment horizontal="center" vertical="center"/>
      <protection locked="0"/>
    </xf>
    <xf numFmtId="0" fontId="28" fillId="5" borderId="16" xfId="0" applyFont="1" applyFill="1" applyBorder="1" applyAlignment="1" applyProtection="1">
      <alignment vertical="center"/>
      <protection locked="0"/>
    </xf>
    <xf numFmtId="0" fontId="4" fillId="3" borderId="24" xfId="0" applyFont="1" applyFill="1" applyBorder="1" applyAlignment="1">
      <alignment horizontal="center" vertical="center"/>
    </xf>
    <xf numFmtId="0" fontId="4" fillId="3" borderId="22" xfId="0" applyFont="1" applyFill="1" applyBorder="1" applyAlignment="1">
      <alignment horizontal="right" vertical="center"/>
    </xf>
    <xf numFmtId="0" fontId="4" fillId="3" borderId="22" xfId="0" applyFont="1" applyFill="1" applyBorder="1" applyAlignment="1">
      <alignment horizontal="left" vertical="center"/>
    </xf>
    <xf numFmtId="0" fontId="8" fillId="3" borderId="23" xfId="0" applyFont="1" applyFill="1" applyBorder="1" applyAlignment="1">
      <alignment horizontal="center" vertical="center"/>
    </xf>
    <xf numFmtId="0" fontId="28" fillId="6" borderId="16" xfId="0" applyFont="1" applyFill="1" applyBorder="1" applyAlignment="1" applyProtection="1">
      <alignment horizontal="center" vertical="center"/>
      <protection locked="0"/>
    </xf>
    <xf numFmtId="0" fontId="8" fillId="3" borderId="0" xfId="0" applyFont="1" applyFill="1" applyBorder="1" applyAlignment="1">
      <alignment horizontal="center" vertical="center"/>
    </xf>
    <xf numFmtId="0" fontId="28" fillId="0" borderId="0" xfId="0" applyFont="1" applyBorder="1" applyAlignment="1">
      <alignment vertical="center"/>
    </xf>
    <xf numFmtId="0" fontId="28" fillId="0" borderId="0" xfId="0" applyFont="1" applyBorder="1" applyAlignment="1">
      <alignment horizontal="center" vertical="center"/>
    </xf>
    <xf numFmtId="1" fontId="5" fillId="8" borderId="21" xfId="0" applyNumberFormat="1" applyFont="1" applyFill="1" applyBorder="1" applyAlignment="1" applyProtection="1">
      <alignment horizontal="center" vertical="center"/>
      <protection hidden="1"/>
    </xf>
    <xf numFmtId="0" fontId="0" fillId="0" borderId="21" xfId="0" applyBorder="1" applyAlignment="1" applyProtection="1">
      <alignment horizontal="center" vertical="center"/>
      <protection hidden="1"/>
    </xf>
    <xf numFmtId="1" fontId="5" fillId="8" borderId="31" xfId="0" applyNumberFormat="1" applyFont="1" applyFill="1" applyBorder="1" applyAlignment="1" applyProtection="1">
      <alignment horizontal="center" vertical="center"/>
      <protection hidden="1"/>
    </xf>
    <xf numFmtId="0" fontId="0" fillId="0" borderId="31" xfId="0" applyBorder="1" applyAlignment="1" applyProtection="1">
      <alignment horizontal="center" vertical="center"/>
      <protection hidden="1"/>
    </xf>
    <xf numFmtId="0" fontId="5" fillId="6" borderId="16" xfId="0" applyFont="1" applyFill="1" applyBorder="1" applyAlignment="1" applyProtection="1">
      <alignment horizontal="center" vertical="center"/>
      <protection locked="0" hidden="1"/>
    </xf>
    <xf numFmtId="0" fontId="0" fillId="6" borderId="16" xfId="0" applyFill="1" applyBorder="1" applyAlignment="1" applyProtection="1">
      <alignment horizontal="center" vertical="center"/>
      <protection locked="0" hidden="1"/>
    </xf>
    <xf numFmtId="0" fontId="0" fillId="6" borderId="16" xfId="0" applyFill="1" applyBorder="1" applyAlignment="1" applyProtection="1">
      <alignment vertical="center"/>
      <protection locked="0" hidden="1"/>
    </xf>
    <xf numFmtId="0" fontId="5" fillId="6" borderId="26" xfId="0" applyFont="1" applyFill="1" applyBorder="1" applyAlignment="1" applyProtection="1">
      <alignment horizontal="center" vertical="center"/>
      <protection locked="0" hidden="1"/>
    </xf>
    <xf numFmtId="0" fontId="5" fillId="6" borderId="27" xfId="0" applyFont="1" applyFill="1" applyBorder="1" applyAlignment="1" applyProtection="1">
      <alignment horizontal="center" vertical="center"/>
      <protection locked="0" hidden="1"/>
    </xf>
    <xf numFmtId="0" fontId="8" fillId="3" borderId="0" xfId="0" applyFont="1" applyFill="1" applyBorder="1" applyAlignment="1" applyProtection="1">
      <alignment horizontal="center" vertical="center"/>
      <protection hidden="1"/>
    </xf>
    <xf numFmtId="0" fontId="0" fillId="0" borderId="0" xfId="0" applyBorder="1" applyAlignment="1" applyProtection="1">
      <alignment vertical="center"/>
      <protection hidden="1"/>
    </xf>
    <xf numFmtId="0" fontId="0" fillId="0" borderId="0" xfId="0" applyBorder="1" applyAlignment="1" applyProtection="1">
      <alignment horizontal="center" vertical="center"/>
      <protection hidden="1"/>
    </xf>
    <xf numFmtId="0" fontId="3" fillId="9" borderId="19" xfId="0" applyFont="1" applyFill="1" applyBorder="1" applyAlignment="1" applyProtection="1">
      <alignment vertical="center"/>
      <protection locked="0" hidden="1"/>
    </xf>
    <xf numFmtId="0" fontId="0" fillId="9" borderId="20" xfId="0" applyFill="1" applyBorder="1" applyAlignment="1" applyProtection="1">
      <alignment vertical="center"/>
      <protection locked="0" hidden="1"/>
    </xf>
    <xf numFmtId="0" fontId="24" fillId="3" borderId="19" xfId="0" applyFont="1" applyFill="1" applyBorder="1" applyAlignment="1" applyProtection="1">
      <alignment horizontal="center"/>
      <protection hidden="1"/>
    </xf>
    <xf numFmtId="0" fontId="24" fillId="3" borderId="32" xfId="0" applyFont="1" applyFill="1" applyBorder="1" applyAlignment="1" applyProtection="1">
      <alignment horizontal="center"/>
      <protection hidden="1"/>
    </xf>
    <xf numFmtId="0" fontId="24" fillId="3" borderId="36" xfId="0" applyFont="1" applyFill="1" applyBorder="1" applyAlignment="1" applyProtection="1">
      <alignment horizontal="center"/>
      <protection hidden="1"/>
    </xf>
    <xf numFmtId="0" fontId="24" fillId="3" borderId="0" xfId="0" applyFont="1" applyFill="1" applyBorder="1" applyAlignment="1" applyProtection="1">
      <alignment horizontal="center"/>
      <protection hidden="1"/>
    </xf>
    <xf numFmtId="0" fontId="4" fillId="3" borderId="22" xfId="0" applyFont="1" applyFill="1" applyBorder="1" applyAlignment="1" applyProtection="1">
      <alignment horizontal="center" vertical="center"/>
      <protection hidden="1"/>
    </xf>
    <xf numFmtId="0" fontId="11" fillId="0" borderId="22" xfId="0" applyFont="1" applyBorder="1" applyAlignment="1" applyProtection="1">
      <alignment vertical="center"/>
      <protection hidden="1"/>
    </xf>
    <xf numFmtId="0" fontId="8" fillId="3" borderId="22" xfId="0" applyFont="1" applyFill="1" applyBorder="1" applyAlignment="1" applyProtection="1">
      <alignment horizontal="center" vertical="center"/>
      <protection hidden="1"/>
    </xf>
    <xf numFmtId="0" fontId="0" fillId="0" borderId="22" xfId="0" applyBorder="1" applyAlignment="1" applyProtection="1">
      <alignment horizontal="center" vertical="center"/>
      <protection hidden="1"/>
    </xf>
    <xf numFmtId="0" fontId="4" fillId="3" borderId="38" xfId="0" applyFont="1" applyFill="1" applyBorder="1" applyAlignment="1" applyProtection="1">
      <alignment horizontal="right" vertical="center"/>
      <protection hidden="1"/>
    </xf>
    <xf numFmtId="0" fontId="4" fillId="3" borderId="22" xfId="0" applyFont="1" applyFill="1" applyBorder="1" applyAlignment="1" applyProtection="1">
      <alignment horizontal="right" vertical="center"/>
      <protection hidden="1"/>
    </xf>
    <xf numFmtId="0" fontId="4" fillId="3" borderId="24" xfId="0" applyFont="1" applyFill="1" applyBorder="1" applyAlignment="1" applyProtection="1">
      <alignment horizontal="center" vertical="center"/>
      <protection hidden="1"/>
    </xf>
    <xf numFmtId="0" fontId="4" fillId="3" borderId="22" xfId="0" applyFont="1" applyFill="1" applyBorder="1" applyAlignment="1" applyProtection="1">
      <alignment horizontal="left" vertical="center"/>
      <protection hidden="1"/>
    </xf>
    <xf numFmtId="0" fontId="5" fillId="9" borderId="39" xfId="0" applyFont="1" applyFill="1" applyBorder="1" applyAlignment="1" applyProtection="1">
      <alignment horizontal="center" vertical="center"/>
      <protection locked="0" hidden="1"/>
    </xf>
    <xf numFmtId="0" fontId="0" fillId="0" borderId="16" xfId="0" applyBorder="1" applyAlignment="1" applyProtection="1">
      <alignment vertical="center"/>
      <protection locked="0" hidden="1"/>
    </xf>
    <xf numFmtId="0" fontId="5" fillId="5" borderId="16" xfId="0" applyFont="1" applyFill="1" applyBorder="1" applyAlignment="1" applyProtection="1">
      <alignment horizontal="center" vertical="center"/>
      <protection locked="0" hidden="1"/>
    </xf>
    <xf numFmtId="0" fontId="0" fillId="5" borderId="16" xfId="0" applyFill="1" applyBorder="1" applyAlignment="1" applyProtection="1">
      <alignment vertical="center"/>
      <protection locked="0" hidden="1"/>
    </xf>
    <xf numFmtId="0" fontId="5" fillId="9" borderId="16" xfId="0" applyFont="1" applyFill="1" applyBorder="1" applyAlignment="1" applyProtection="1">
      <alignment horizontal="center" vertical="center"/>
      <protection locked="0" hidden="1"/>
    </xf>
    <xf numFmtId="0" fontId="8" fillId="3" borderId="7" xfId="0" applyFont="1" applyFill="1" applyBorder="1" applyAlignment="1">
      <alignment horizontal="center"/>
    </xf>
    <xf numFmtId="0" fontId="28" fillId="9" borderId="0" xfId="0" applyFont="1" applyFill="1" applyAlignment="1" applyProtection="1">
      <alignment horizontal="center"/>
      <protection locked="0" hidden="1"/>
    </xf>
    <xf numFmtId="0" fontId="28" fillId="6" borderId="0" xfId="0" applyFont="1" applyFill="1" applyAlignment="1">
      <alignment horizontal="left" vertical="top" wrapText="1"/>
    </xf>
    <xf numFmtId="0" fontId="30" fillId="9" borderId="16" xfId="0" applyFont="1" applyFill="1" applyBorder="1" applyAlignment="1">
      <alignment horizontal="center"/>
    </xf>
    <xf numFmtId="0" fontId="30" fillId="5" borderId="16" xfId="0" applyFont="1" applyFill="1" applyBorder="1" applyAlignment="1">
      <alignment horizontal="center"/>
    </xf>
    <xf numFmtId="0" fontId="37" fillId="3" borderId="23" xfId="0" applyFont="1" applyFill="1" applyBorder="1" applyAlignment="1">
      <alignment horizontal="center"/>
    </xf>
    <xf numFmtId="0" fontId="29" fillId="3" borderId="17" xfId="0" applyFont="1" applyFill="1" applyBorder="1" applyAlignment="1" applyProtection="1">
      <alignment horizontal="left"/>
      <protection locked="0"/>
    </xf>
    <xf numFmtId="0" fontId="29" fillId="3" borderId="23" xfId="0" applyFont="1" applyFill="1" applyBorder="1" applyAlignment="1">
      <alignment horizontal="center"/>
    </xf>
    <xf numFmtId="0" fontId="33" fillId="3" borderId="99" xfId="0" applyFont="1" applyFill="1" applyBorder="1" applyAlignment="1" applyProtection="1">
      <alignment horizontal="left"/>
      <protection locked="0"/>
    </xf>
    <xf numFmtId="0" fontId="33" fillId="3" borderId="60" xfId="0" applyFont="1" applyFill="1" applyBorder="1" applyAlignment="1" applyProtection="1">
      <alignment horizontal="left"/>
      <protection locked="0"/>
    </xf>
    <xf numFmtId="0" fontId="33" fillId="3" borderId="100" xfId="0" applyFont="1" applyFill="1" applyBorder="1" applyAlignment="1" applyProtection="1">
      <alignment horizontal="left"/>
      <protection locked="0"/>
    </xf>
    <xf numFmtId="0" fontId="36" fillId="3" borderId="0" xfId="0" applyFont="1" applyFill="1" applyBorder="1" applyAlignment="1">
      <alignment horizontal="left"/>
    </xf>
    <xf numFmtId="0" fontId="36" fillId="3" borderId="0" xfId="0" applyFont="1" applyFill="1" applyBorder="1"/>
    <xf numFmtId="0" fontId="29" fillId="9" borderId="19" xfId="0" applyFont="1" applyFill="1" applyBorder="1" applyAlignment="1">
      <alignment horizontal="center"/>
    </xf>
    <xf numFmtId="0" fontId="29" fillId="9" borderId="32" xfId="0" applyFont="1" applyFill="1" applyBorder="1" applyAlignment="1">
      <alignment horizontal="center"/>
    </xf>
    <xf numFmtId="0" fontId="29" fillId="9" borderId="20" xfId="0" applyFont="1" applyFill="1" applyBorder="1" applyAlignment="1">
      <alignment horizontal="center"/>
    </xf>
    <xf numFmtId="0" fontId="20" fillId="3" borderId="41" xfId="0" applyFont="1" applyFill="1" applyBorder="1" applyAlignment="1">
      <alignment horizontal="center"/>
    </xf>
    <xf numFmtId="0" fontId="20" fillId="3" borderId="0" xfId="0" applyFont="1" applyFill="1" applyBorder="1" applyAlignment="1">
      <alignment horizontal="center"/>
    </xf>
    <xf numFmtId="0" fontId="28" fillId="8" borderId="31" xfId="0" applyNumberFormat="1" applyFont="1" applyFill="1" applyBorder="1" applyAlignment="1" applyProtection="1">
      <alignment horizontal="left" vertical="center"/>
      <protection locked="0"/>
    </xf>
    <xf numFmtId="0" fontId="28" fillId="8" borderId="21" xfId="0" applyFont="1" applyFill="1" applyBorder="1" applyAlignment="1" applyProtection="1">
      <alignment horizontal="left" vertical="center"/>
      <protection locked="0"/>
    </xf>
    <xf numFmtId="0" fontId="28" fillId="9" borderId="21" xfId="0" applyFont="1" applyFill="1" applyBorder="1" applyAlignment="1">
      <alignment horizontal="center"/>
    </xf>
    <xf numFmtId="0" fontId="28" fillId="9" borderId="19" xfId="0" applyFont="1" applyFill="1" applyBorder="1" applyAlignment="1">
      <alignment horizontal="center"/>
    </xf>
    <xf numFmtId="0" fontId="28" fillId="9" borderId="20" xfId="0" applyFont="1" applyFill="1" applyBorder="1" applyAlignment="1">
      <alignment horizontal="center"/>
    </xf>
    <xf numFmtId="0" fontId="28" fillId="8" borderId="31" xfId="0" applyFont="1" applyFill="1" applyBorder="1" applyAlignment="1">
      <alignment horizontal="left" vertical="center" wrapText="1"/>
    </xf>
    <xf numFmtId="0" fontId="28" fillId="8" borderId="21" xfId="0" applyFont="1" applyFill="1" applyBorder="1" applyAlignment="1">
      <alignment horizontal="left" vertical="center" wrapText="1"/>
    </xf>
    <xf numFmtId="0" fontId="28" fillId="8" borderId="90" xfId="0" applyFont="1" applyFill="1" applyBorder="1" applyAlignment="1">
      <alignment horizontal="left" vertical="center" wrapText="1"/>
    </xf>
    <xf numFmtId="0" fontId="28" fillId="8" borderId="31" xfId="0" applyFont="1" applyFill="1" applyBorder="1" applyAlignment="1">
      <alignment horizontal="left" vertical="center"/>
    </xf>
    <xf numFmtId="0" fontId="28" fillId="12" borderId="0" xfId="0" applyFont="1" applyFill="1" applyAlignment="1">
      <alignment horizontal="left"/>
    </xf>
    <xf numFmtId="0" fontId="38" fillId="8" borderId="74" xfId="0" applyFont="1" applyFill="1" applyBorder="1" applyAlignment="1">
      <alignment horizontal="left"/>
    </xf>
    <xf numFmtId="0" fontId="38" fillId="8" borderId="77" xfId="0" applyFont="1" applyFill="1" applyBorder="1" applyAlignment="1">
      <alignment horizontal="left"/>
    </xf>
    <xf numFmtId="0" fontId="38" fillId="8" borderId="87" xfId="0" applyFont="1" applyFill="1" applyBorder="1" applyAlignment="1">
      <alignment horizontal="left"/>
    </xf>
    <xf numFmtId="3" fontId="38" fillId="8" borderId="74" xfId="0" applyNumberFormat="1" applyFont="1" applyFill="1" applyBorder="1" applyAlignment="1">
      <alignment horizontal="left"/>
    </xf>
    <xf numFmtId="3" fontId="38" fillId="8" borderId="77" xfId="0" applyNumberFormat="1" applyFont="1" applyFill="1" applyBorder="1" applyAlignment="1">
      <alignment horizontal="left"/>
    </xf>
    <xf numFmtId="3" fontId="38" fillId="8" borderId="87" xfId="0" applyNumberFormat="1" applyFont="1" applyFill="1" applyBorder="1" applyAlignment="1">
      <alignment horizontal="left"/>
    </xf>
    <xf numFmtId="0" fontId="44" fillId="3" borderId="83" xfId="0" applyFont="1" applyFill="1" applyBorder="1" applyAlignment="1">
      <alignment horizontal="center"/>
    </xf>
    <xf numFmtId="0" fontId="28" fillId="9" borderId="32" xfId="0" applyFont="1" applyFill="1" applyBorder="1" applyAlignment="1">
      <alignment horizontal="center"/>
    </xf>
    <xf numFmtId="0" fontId="20" fillId="3" borderId="0" xfId="0" applyFont="1" applyFill="1" applyAlignment="1">
      <alignment horizontal="left"/>
    </xf>
    <xf numFmtId="0" fontId="36" fillId="3" borderId="0" xfId="0" applyFont="1" applyFill="1" applyBorder="1" applyAlignment="1"/>
    <xf numFmtId="0" fontId="28" fillId="9" borderId="0" xfId="0" applyFont="1" applyFill="1" applyBorder="1" applyAlignment="1">
      <alignment horizontal="left" vertical="center"/>
    </xf>
    <xf numFmtId="0" fontId="38" fillId="8" borderId="83" xfId="0" applyFont="1" applyFill="1" applyBorder="1" applyAlignment="1">
      <alignment horizontal="center"/>
    </xf>
    <xf numFmtId="0" fontId="38" fillId="8" borderId="65" xfId="0" applyFont="1" applyFill="1" applyBorder="1" applyAlignment="1">
      <alignment horizontal="center"/>
    </xf>
    <xf numFmtId="0" fontId="38" fillId="9" borderId="64" xfId="0" applyFont="1" applyFill="1" applyBorder="1" applyAlignment="1">
      <alignment horizontal="left"/>
    </xf>
    <xf numFmtId="0" fontId="38" fillId="9" borderId="65" xfId="0" applyFont="1" applyFill="1" applyBorder="1" applyAlignment="1">
      <alignment horizontal="left"/>
    </xf>
    <xf numFmtId="0" fontId="38" fillId="9" borderId="66" xfId="0" applyFont="1" applyFill="1" applyBorder="1" applyAlignment="1">
      <alignment horizontal="left"/>
    </xf>
    <xf numFmtId="0" fontId="38" fillId="9" borderId="62" xfId="0" applyFont="1" applyFill="1" applyBorder="1" applyAlignment="1">
      <alignment horizontal="left"/>
    </xf>
    <xf numFmtId="0" fontId="38" fillId="9" borderId="85" xfId="0" applyFont="1" applyFill="1" applyBorder="1" applyAlignment="1">
      <alignment horizontal="left"/>
    </xf>
    <xf numFmtId="0" fontId="38" fillId="9" borderId="63" xfId="0" applyFont="1" applyFill="1" applyBorder="1" applyAlignment="1">
      <alignment horizontal="left"/>
    </xf>
    <xf numFmtId="0" fontId="38" fillId="8" borderId="84" xfId="0" applyFont="1" applyFill="1" applyBorder="1" applyAlignment="1">
      <alignment horizontal="center"/>
    </xf>
    <xf numFmtId="0" fontId="28" fillId="8" borderId="83" xfId="0" applyFont="1" applyFill="1" applyBorder="1" applyAlignment="1">
      <alignment horizontal="center"/>
    </xf>
    <xf numFmtId="0" fontId="28" fillId="8" borderId="86" xfId="0" applyFont="1" applyFill="1" applyBorder="1" applyAlignment="1">
      <alignment horizontal="center"/>
    </xf>
    <xf numFmtId="0" fontId="20" fillId="4" borderId="88" xfId="0" applyFont="1" applyFill="1" applyBorder="1" applyAlignment="1" applyProtection="1">
      <alignment horizontal="left"/>
      <protection hidden="1"/>
    </xf>
    <xf numFmtId="0" fontId="20" fillId="13" borderId="88" xfId="0" applyFont="1" applyFill="1" applyBorder="1" applyAlignment="1" applyProtection="1">
      <alignment horizontal="left"/>
      <protection hidden="1"/>
    </xf>
    <xf numFmtId="0" fontId="38" fillId="8" borderId="88" xfId="0" applyFont="1" applyFill="1" applyBorder="1" applyAlignment="1">
      <alignment horizontal="left"/>
    </xf>
    <xf numFmtId="0" fontId="38" fillId="5" borderId="88" xfId="0" applyFont="1" applyFill="1" applyBorder="1" applyAlignment="1">
      <alignment horizontal="left"/>
    </xf>
    <xf numFmtId="0" fontId="28" fillId="9" borderId="91" xfId="0" applyNumberFormat="1" applyFont="1" applyFill="1" applyBorder="1" applyAlignment="1" applyProtection="1">
      <alignment horizontal="left"/>
      <protection locked="0"/>
    </xf>
    <xf numFmtId="0" fontId="28" fillId="9" borderId="92" xfId="0" applyNumberFormat="1" applyFont="1" applyFill="1" applyBorder="1" applyAlignment="1" applyProtection="1">
      <alignment horizontal="left"/>
      <protection locked="0"/>
    </xf>
    <xf numFmtId="0" fontId="28" fillId="9" borderId="89" xfId="0" applyNumberFormat="1" applyFont="1" applyFill="1" applyBorder="1" applyAlignment="1" applyProtection="1">
      <alignment horizontal="left"/>
      <protection locked="0"/>
    </xf>
    <xf numFmtId="0" fontId="28" fillId="9" borderId="91" xfId="0" applyNumberFormat="1" applyFont="1" applyFill="1" applyBorder="1" applyAlignment="1" applyProtection="1">
      <protection locked="0"/>
    </xf>
    <xf numFmtId="0" fontId="28" fillId="9" borderId="92" xfId="0" applyNumberFormat="1" applyFont="1" applyFill="1" applyBorder="1" applyAlignment="1" applyProtection="1">
      <protection locked="0"/>
    </xf>
    <xf numFmtId="0" fontId="29" fillId="4" borderId="88" xfId="0" applyFont="1" applyFill="1" applyBorder="1" applyAlignment="1" applyProtection="1">
      <alignment horizontal="left"/>
      <protection hidden="1"/>
    </xf>
    <xf numFmtId="0" fontId="20" fillId="3" borderId="0" xfId="0" applyFont="1" applyFill="1" applyBorder="1" applyAlignment="1">
      <alignment horizontal="center" vertical="center"/>
    </xf>
    <xf numFmtId="0" fontId="29" fillId="13" borderId="88" xfId="0" applyFont="1" applyFill="1" applyBorder="1" applyAlignment="1" applyProtection="1">
      <alignment horizontal="left"/>
      <protection hidden="1"/>
    </xf>
    <xf numFmtId="0" fontId="32" fillId="13" borderId="88" xfId="0" applyFont="1" applyFill="1" applyBorder="1" applyAlignment="1" applyProtection="1">
      <alignment horizontal="left"/>
      <protection hidden="1"/>
    </xf>
    <xf numFmtId="0" fontId="33" fillId="13" borderId="88" xfId="0" applyFont="1" applyFill="1" applyBorder="1" applyAlignment="1" applyProtection="1">
      <alignment horizontal="left" vertical="top" wrapText="1"/>
      <protection hidden="1"/>
    </xf>
    <xf numFmtId="0" fontId="32" fillId="4" borderId="88" xfId="0" applyFont="1" applyFill="1" applyBorder="1" applyAlignment="1" applyProtection="1">
      <alignment horizontal="left"/>
      <protection hidden="1"/>
    </xf>
    <xf numFmtId="0" fontId="33" fillId="4" borderId="88" xfId="0" applyFont="1" applyFill="1" applyBorder="1" applyAlignment="1" applyProtection="1">
      <alignment horizontal="left" vertical="top" wrapText="1"/>
      <protection hidden="1"/>
    </xf>
    <xf numFmtId="0" fontId="38" fillId="8" borderId="88" xfId="0" applyNumberFormat="1" applyFont="1" applyFill="1" applyBorder="1" applyAlignment="1" applyProtection="1">
      <alignment horizontal="left"/>
      <protection locked="0"/>
    </xf>
    <xf numFmtId="0" fontId="38" fillId="5" borderId="88" xfId="0" applyNumberFormat="1" applyFont="1" applyFill="1" applyBorder="1" applyAlignment="1" applyProtection="1">
      <alignment horizontal="left"/>
      <protection locked="0"/>
    </xf>
    <xf numFmtId="0" fontId="38" fillId="8" borderId="88" xfId="0" applyFont="1" applyFill="1" applyBorder="1" applyAlignment="1" applyProtection="1">
      <alignment horizontal="left"/>
      <protection locked="0"/>
    </xf>
    <xf numFmtId="0" fontId="16" fillId="4" borderId="0" xfId="1" applyFont="1" applyFill="1" applyAlignment="1">
      <alignment horizontal="center"/>
    </xf>
    <xf numFmtId="0" fontId="9" fillId="4" borderId="0" xfId="0" applyFont="1" applyFill="1" applyBorder="1" applyAlignment="1">
      <alignment horizontal="center" vertical="center"/>
    </xf>
    <xf numFmtId="0" fontId="10" fillId="4" borderId="0" xfId="0" applyFont="1" applyFill="1" applyBorder="1" applyAlignment="1">
      <alignment horizontal="center" vertical="center" wrapText="1"/>
    </xf>
    <xf numFmtId="0" fontId="10" fillId="4" borderId="0" xfId="0" applyFont="1" applyFill="1" applyBorder="1" applyAlignment="1">
      <alignment horizontal="center"/>
    </xf>
    <xf numFmtId="0" fontId="10" fillId="3" borderId="0" xfId="0" applyFont="1" applyFill="1" applyBorder="1" applyAlignment="1">
      <alignment horizontal="center"/>
    </xf>
    <xf numFmtId="0" fontId="9" fillId="4" borderId="0" xfId="0" applyFont="1" applyFill="1" applyBorder="1" applyAlignment="1">
      <alignment horizontal="center" vertical="center" wrapText="1"/>
    </xf>
    <xf numFmtId="0" fontId="23" fillId="3" borderId="0" xfId="0" applyFont="1" applyFill="1" applyAlignment="1">
      <alignment horizontal="center"/>
    </xf>
    <xf numFmtId="0" fontId="23" fillId="0" borderId="0" xfId="0" applyFont="1" applyAlignment="1">
      <alignment horizontal="center"/>
    </xf>
    <xf numFmtId="0" fontId="11" fillId="3" borderId="0" xfId="0" applyFont="1" applyFill="1" applyAlignment="1">
      <alignment horizontal="left"/>
    </xf>
  </cellXfs>
  <cellStyles count="5">
    <cellStyle name="Comma" xfId="4" builtinId="3"/>
    <cellStyle name="Followed Hyperlink" xfId="2" builtinId="9" hidden="1" customBuiltin="1"/>
    <cellStyle name="Followed Hyperlink" xfId="3" builtinId="9" customBuiltin="1"/>
    <cellStyle name="Hyperlink" xfId="1" builtinId="8" customBuiltin="1"/>
    <cellStyle name="Normal" xfId="0" builtinId="0"/>
  </cellStyles>
  <dxfs count="118">
    <dxf>
      <font>
        <color theme="0" tint="-0.24994659260841701"/>
      </font>
      <fill>
        <patternFill>
          <bgColor theme="1"/>
        </patternFill>
      </fill>
    </dxf>
    <dxf>
      <font>
        <color rgb="FF00B050"/>
      </font>
      <fill>
        <patternFill>
          <bgColor theme="1"/>
        </patternFill>
      </fill>
    </dxf>
    <dxf>
      <font>
        <color rgb="FF0070C0"/>
      </font>
      <fill>
        <patternFill>
          <bgColor theme="1"/>
        </patternFill>
      </fill>
    </dxf>
    <dxf>
      <font>
        <color rgb="FF7030A0"/>
      </font>
      <fill>
        <patternFill>
          <bgColor theme="1"/>
        </patternFill>
      </fill>
    </dxf>
    <dxf>
      <font>
        <color theme="1"/>
      </font>
      <fill>
        <patternFill>
          <bgColor theme="1"/>
        </patternFill>
      </fill>
    </dxf>
    <dxf>
      <font>
        <color rgb="FF00B050"/>
      </font>
    </dxf>
    <dxf>
      <font>
        <color rgb="FFFF0000"/>
      </font>
    </dxf>
    <dxf>
      <font>
        <color rgb="FF00B050"/>
      </font>
    </dxf>
    <dxf>
      <font>
        <color rgb="FFFF0000"/>
      </font>
    </dxf>
    <dxf>
      <font>
        <color rgb="FF00B050"/>
      </font>
    </dxf>
    <dxf>
      <font>
        <color rgb="FFFF0000"/>
      </font>
    </dxf>
    <dxf>
      <font>
        <color rgb="FF92D050"/>
      </font>
    </dxf>
    <dxf>
      <font>
        <color rgb="FFBF90BF"/>
      </font>
      <fill>
        <patternFill>
          <fgColor rgb="FFBF90BF"/>
        </patternFill>
      </fill>
    </dxf>
    <dxf>
      <font>
        <color rgb="FFBF90BF"/>
      </font>
      <fill>
        <patternFill>
          <fgColor rgb="FFBF90BF"/>
        </patternFill>
      </fill>
    </dxf>
    <dxf>
      <font>
        <color rgb="FFBF90BF"/>
      </font>
      <fill>
        <patternFill>
          <fgColor rgb="FFBF90BF"/>
        </patternFill>
      </fill>
    </dxf>
    <dxf>
      <font>
        <color rgb="FFBF90BF"/>
      </font>
      <fill>
        <patternFill>
          <fgColor rgb="FFBF90BF"/>
        </patternFill>
      </fill>
    </dxf>
    <dxf>
      <font>
        <color rgb="FFBF90BF"/>
      </font>
      <fill>
        <patternFill>
          <fgColor rgb="FFBF90BF"/>
        </patternFill>
      </fill>
    </dxf>
    <dxf>
      <font>
        <color rgb="FFBF90BF"/>
      </font>
      <fill>
        <patternFill>
          <fgColor rgb="FFBF90BF"/>
        </patternFill>
      </fill>
    </dxf>
    <dxf>
      <font>
        <color rgb="FFBF90BF"/>
      </font>
      <fill>
        <patternFill>
          <fgColor rgb="FFBF90BF"/>
        </patternFill>
      </fill>
    </dxf>
    <dxf>
      <font>
        <color rgb="FFBF90BF"/>
      </font>
      <fill>
        <patternFill>
          <fgColor rgb="FFBF90BF"/>
        </patternFill>
      </fill>
    </dxf>
    <dxf>
      <font>
        <color rgb="FFBF90BF"/>
      </font>
      <fill>
        <patternFill>
          <fgColor rgb="FFBF90BF"/>
        </patternFill>
      </fill>
    </dxf>
    <dxf>
      <font>
        <color rgb="FF00B050"/>
      </font>
    </dxf>
    <dxf>
      <font>
        <color rgb="FFFF0000"/>
      </font>
    </dxf>
    <dxf>
      <font>
        <color rgb="FFBF90BF"/>
      </font>
      <fill>
        <patternFill>
          <fgColor rgb="FFBF90BF"/>
        </patternFill>
      </fill>
    </dxf>
    <dxf>
      <font>
        <color rgb="FF00B050"/>
      </font>
    </dxf>
    <dxf>
      <font>
        <color rgb="FFFF0000"/>
      </font>
    </dxf>
    <dxf>
      <font>
        <color rgb="FF00B050"/>
      </font>
    </dxf>
    <dxf>
      <font>
        <color rgb="FFFF0000"/>
      </font>
    </dxf>
    <dxf>
      <font>
        <color rgb="FF00B050"/>
      </font>
    </dxf>
    <dxf>
      <font>
        <color rgb="FFFF0000"/>
      </font>
    </dxf>
    <dxf>
      <font>
        <color rgb="FFBF90BF"/>
      </font>
      <fill>
        <patternFill>
          <fgColor rgb="FFBF90BF"/>
        </patternFill>
      </fill>
    </dxf>
    <dxf>
      <font>
        <color theme="1"/>
      </font>
      <fill>
        <patternFill>
          <bgColor theme="1"/>
        </patternFill>
      </fill>
    </dxf>
    <dxf>
      <font>
        <color theme="1"/>
      </font>
      <fill>
        <patternFill>
          <bgColor rgb="FFFFC000"/>
        </patternFill>
      </fill>
    </dxf>
    <dxf>
      <font>
        <color theme="1"/>
      </font>
      <fill>
        <patternFill>
          <bgColor rgb="FFFFC000"/>
        </patternFill>
      </fill>
    </dxf>
    <dxf>
      <font>
        <color theme="1"/>
      </font>
      <fill>
        <patternFill>
          <bgColor rgb="FFFFC000"/>
        </patternFill>
      </fill>
    </dxf>
    <dxf>
      <font>
        <color rgb="FF00B050"/>
      </font>
    </dxf>
    <dxf>
      <font>
        <color rgb="FFFF0000"/>
      </font>
    </dxf>
    <dxf>
      <font>
        <color rgb="FFFF0000"/>
      </font>
    </dxf>
    <dxf>
      <font>
        <color theme="1"/>
      </font>
      <fill>
        <patternFill>
          <bgColor theme="1"/>
        </patternFill>
      </fill>
    </dxf>
    <dxf>
      <font>
        <strike val="0"/>
        <color theme="0" tint="-0.24994659260841701"/>
      </font>
      <fill>
        <patternFill>
          <bgColor theme="1"/>
        </patternFill>
      </fill>
    </dxf>
    <dxf>
      <font>
        <strike val="0"/>
        <color rgb="FF00B050"/>
      </font>
      <fill>
        <patternFill>
          <bgColor theme="1"/>
        </patternFill>
      </fill>
    </dxf>
    <dxf>
      <font>
        <strike val="0"/>
        <color rgb="FF0070C0"/>
      </font>
      <fill>
        <patternFill>
          <bgColor theme="1"/>
        </patternFill>
      </fill>
    </dxf>
    <dxf>
      <font>
        <strike val="0"/>
        <color rgb="FF7030A0"/>
      </font>
      <fill>
        <patternFill>
          <bgColor theme="1"/>
        </patternFill>
      </fill>
    </dxf>
    <dxf>
      <font>
        <color theme="0" tint="-0.24994659260841701"/>
      </font>
      <fill>
        <patternFill>
          <bgColor theme="1"/>
        </patternFill>
      </fill>
    </dxf>
    <dxf>
      <font>
        <color rgb="FF00B050"/>
      </font>
      <fill>
        <patternFill>
          <bgColor theme="1"/>
        </patternFill>
      </fill>
    </dxf>
    <dxf>
      <font>
        <color rgb="FF0070C0"/>
      </font>
      <fill>
        <patternFill>
          <bgColor theme="1"/>
        </patternFill>
      </fill>
    </dxf>
    <dxf>
      <font>
        <color rgb="FF7030A0"/>
      </font>
      <fill>
        <patternFill>
          <bgColor theme="1"/>
        </patternFill>
      </fill>
    </dxf>
    <dxf>
      <font>
        <color theme="1"/>
      </font>
      <fill>
        <patternFill>
          <bgColor theme="1"/>
        </patternFill>
      </fill>
    </dxf>
    <dxf>
      <font>
        <color theme="0" tint="-0.24994659260841701"/>
      </font>
      <fill>
        <patternFill>
          <bgColor theme="1"/>
        </patternFill>
      </fill>
    </dxf>
    <dxf>
      <font>
        <color rgb="FF00B050"/>
      </font>
      <fill>
        <patternFill>
          <bgColor theme="1"/>
        </patternFill>
      </fill>
    </dxf>
    <dxf>
      <font>
        <color rgb="FF0070C0"/>
      </font>
      <fill>
        <patternFill>
          <bgColor theme="1"/>
        </patternFill>
      </fill>
    </dxf>
    <dxf>
      <font>
        <color rgb="FF7030A0"/>
      </font>
      <fill>
        <patternFill>
          <bgColor theme="1"/>
        </patternFill>
      </fill>
    </dxf>
    <dxf>
      <font>
        <color theme="1"/>
      </font>
      <fill>
        <patternFill>
          <bgColor theme="1"/>
        </patternFill>
      </fill>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00B050"/>
      </font>
    </dxf>
    <dxf>
      <font>
        <color rgb="FF00B050"/>
      </font>
    </dxf>
    <dxf>
      <font>
        <color theme="1"/>
      </font>
    </dxf>
    <dxf>
      <font>
        <color rgb="FFFF0000"/>
      </font>
    </dxf>
    <dxf>
      <font>
        <color theme="5" tint="-0.24994659260841701"/>
      </font>
      <fill>
        <patternFill>
          <bgColor rgb="FFC699CB"/>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ont>
        <color rgb="FF7030A0"/>
      </font>
      <fill>
        <patternFill>
          <fgColor rgb="FF000000"/>
          <bgColor theme="1"/>
        </patternFill>
      </fill>
    </dxf>
    <dxf>
      <font>
        <color rgb="FF0070C0"/>
      </font>
      <fill>
        <patternFill>
          <bgColor theme="1"/>
        </patternFill>
      </fill>
    </dxf>
    <dxf>
      <font>
        <color rgb="FF00B050"/>
      </font>
      <fill>
        <patternFill>
          <bgColor theme="1"/>
        </patternFill>
      </fill>
    </dxf>
    <dxf>
      <font>
        <color theme="0" tint="-0.24994659260841701"/>
      </font>
      <fill>
        <patternFill>
          <bgColor theme="1"/>
        </patternFill>
      </fill>
    </dxf>
    <dxf>
      <font>
        <color theme="5" tint="-0.24994659260841701"/>
      </font>
      <fill>
        <patternFill patternType="solid">
          <fgColor auto="1"/>
          <bgColor rgb="FFC699CB"/>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ont>
        <color theme="1"/>
      </font>
      <fill>
        <patternFill>
          <bgColor theme="3" tint="0.79998168889431442"/>
        </patternFill>
      </fill>
    </dxf>
    <dxf>
      <font>
        <color theme="1"/>
      </font>
      <fill>
        <patternFill>
          <bgColor theme="3" tint="0.79998168889431442"/>
        </patternFill>
      </fill>
    </dxf>
    <dxf>
      <font>
        <color rgb="FFFF0000"/>
      </font>
    </dxf>
    <dxf>
      <font>
        <color rgb="FFFF0000"/>
      </font>
    </dxf>
    <dxf>
      <font>
        <color theme="0" tint="-0.24994659260841701"/>
      </font>
      <fill>
        <patternFill>
          <bgColor theme="1"/>
        </patternFill>
      </fill>
    </dxf>
    <dxf>
      <font>
        <color rgb="FF00B050"/>
      </font>
      <fill>
        <patternFill>
          <bgColor theme="1"/>
        </patternFill>
      </fill>
    </dxf>
    <dxf>
      <font>
        <color rgb="FF0070C0"/>
      </font>
      <fill>
        <patternFill>
          <bgColor theme="1"/>
        </patternFill>
      </fill>
    </dxf>
    <dxf>
      <font>
        <color rgb="FF7030A0"/>
      </font>
      <fill>
        <patternFill>
          <bgColor theme="1"/>
        </patternFill>
      </fill>
    </dxf>
    <dxf>
      <font>
        <color rgb="FF00B050"/>
      </font>
    </dxf>
    <dxf>
      <font>
        <color rgb="FF92D050"/>
      </font>
    </dxf>
    <dxf>
      <font>
        <color rgb="FFFFC000"/>
      </font>
    </dxf>
    <dxf>
      <font>
        <color theme="9" tint="-0.24994659260841701"/>
      </font>
    </dxf>
    <dxf>
      <font>
        <color rgb="FFFF0000"/>
      </font>
    </dxf>
    <dxf>
      <font>
        <color theme="1"/>
      </font>
      <fill>
        <patternFill>
          <bgColor theme="1"/>
        </patternFill>
      </fill>
    </dxf>
    <dxf>
      <font>
        <color theme="1"/>
      </font>
      <fill>
        <patternFill>
          <bgColor theme="3" tint="0.79998168889431442"/>
        </patternFill>
      </fill>
    </dxf>
  </dxfs>
  <tableStyles count="0" defaultTableStyle="TableStyleMedium2" defaultPivotStyle="PivotStyleLight16"/>
  <colors>
    <mruColors>
      <color rgb="FF9999CC"/>
      <color rgb="FFBF90BF"/>
      <color rgb="FFC19CE0"/>
      <color rgb="FFC699CB"/>
      <color rgb="FF99CCFF"/>
      <color rgb="FFFF9933"/>
      <color rgb="FF000000"/>
      <color rgb="FFF5C54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ctrlProps/ctrlProp1.xml><?xml version="1.0" encoding="utf-8"?>
<formControlPr xmlns="http://schemas.microsoft.com/office/spreadsheetml/2009/9/main" objectType="CheckBox" fmlaLink="MaxLevel" lockText="1" noThreeD="1"/>
</file>

<file path=xl/ctrlProps/ctrlProp2.xml><?xml version="1.0" encoding="utf-8"?>
<formControlPr xmlns="http://schemas.microsoft.com/office/spreadsheetml/2009/9/main" objectType="CheckBox" checked="Checked" fmlaLink="ApplyBonus" lockText="1" noThreeD="1"/>
</file>

<file path=xl/ctrlProps/ctrlProp3.xml><?xml version="1.0" encoding="utf-8"?>
<formControlPr xmlns="http://schemas.microsoft.com/office/spreadsheetml/2009/9/main" objectType="CheckBox" fmlaLink="OEApply" lockText="1" noThreeD="1"/>
</file>

<file path=xl/ctrlProps/ctrlProp4.xml><?xml version="1.0" encoding="utf-8"?>
<formControlPr xmlns="http://schemas.microsoft.com/office/spreadsheetml/2009/9/main" objectType="CheckBox" fmlaLink="AOEApply" lockText="1" noThreeD="1"/>
</file>

<file path=xl/ctrlProps/ctrlProp5.xml><?xml version="1.0" encoding="utf-8"?>
<formControlPr xmlns="http://schemas.microsoft.com/office/spreadsheetml/2009/9/main" objectType="CheckBox" fmlaLink="OAEApply" lockText="1" noThreeD="1"/>
</file>

<file path=xl/ctrlProps/ctrlProp6.xml><?xml version="1.0" encoding="utf-8"?>
<formControlPr xmlns="http://schemas.microsoft.com/office/spreadsheetml/2009/9/main" objectType="CheckBox" fmlaLink="ODEApply" lockText="1" noThreeD="1"/>
</file>

<file path=xl/ctrlProps/ctrlProp7.xml><?xml version="1.0" encoding="utf-8"?>
<formControlPr xmlns="http://schemas.microsoft.com/office/spreadsheetml/2009/9/main" objectType="CheckBox" fmlaLink="$E$11" lockText="1" noThreeD="1"/>
</file>

<file path=xl/ctrlProps/ctrlProp8.xml><?xml version="1.0" encoding="utf-8"?>
<formControlPr xmlns="http://schemas.microsoft.com/office/spreadsheetml/2009/9/main" objectType="CheckBox" fmlaLink="$E$12" lockText="1" noThreeD="1"/>
</file>

<file path=xl/ctrlProps/ctrlProp9.xml><?xml version="1.0" encoding="utf-8"?>
<formControlPr xmlns="http://schemas.microsoft.com/office/spreadsheetml/2009/9/main" objectType="CheckBox" fmlaLink="$I$11" lockText="1" noThreeD="1"/>
</file>

<file path=xl/ctrlProps/ctrlProp10.xml><?xml version="1.0" encoding="utf-8"?>
<formControlPr xmlns="http://schemas.microsoft.com/office/spreadsheetml/2009/9/main" objectType="CheckBox" fmlaLink="$I$12" lockText="1" noThreeD="1"/>
</file>

<file path=xl/ctrlProps/ctrlProp11.xml><?xml version="1.0" encoding="utf-8"?>
<formControlPr xmlns="http://schemas.microsoft.com/office/spreadsheetml/2009/9/main" objectType="CheckBox" fmlaLink="$I$13"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fmlaLink="$M$11" lockText="1" noThreeD="1"/>
</file>

<file path=xl/ctrlProps/ctrlProp15.xml><?xml version="1.0" encoding="utf-8"?>
<formControlPr xmlns="http://schemas.microsoft.com/office/spreadsheetml/2009/9/main" objectType="CheckBox" fmlaLink="$M$12" lockText="1" noThreeD="1"/>
</file>

<file path=xl/ctrlProps/ctrlProp16.xml><?xml version="1.0" encoding="utf-8"?>
<formControlPr xmlns="http://schemas.microsoft.com/office/spreadsheetml/2009/9/main" objectType="CheckBox" fmlaLink="$M$13" lockText="1" noThreeD="1"/>
</file>

<file path=xl/ctrlProps/ctrlProp17.xml><?xml version="1.0" encoding="utf-8"?>
<formControlPr xmlns="http://schemas.microsoft.com/office/spreadsheetml/2009/9/main" objectType="CheckBox" fmlaLink="$M$14" lockText="1" noThreeD="1"/>
</file>

<file path=xl/ctrlProps/ctrlProp18.xml><?xml version="1.0" encoding="utf-8"?>
<formControlPr xmlns="http://schemas.microsoft.com/office/spreadsheetml/2009/9/main" objectType="CheckBox" fmlaLink="$M$15" lockText="1" noThreeD="1"/>
</file>

<file path=xl/ctrlProps/ctrlProp19.xml><?xml version="1.0" encoding="utf-8"?>
<formControlPr xmlns="http://schemas.microsoft.com/office/spreadsheetml/2009/9/main" objectType="CheckBox" fmlaLink="$I$14" lockText="1" noThreeD="1"/>
</file>

<file path=xl/ctrlProps/ctrlProp20.xml><?xml version="1.0" encoding="utf-8"?>
<formControlPr xmlns="http://schemas.microsoft.com/office/spreadsheetml/2009/9/main" objectType="CheckBox" fmlaLink="$I$15" lockText="1" noThreeD="1"/>
</file>

<file path=xl/ctrlProps/ctrlProp21.xml><?xml version="1.0" encoding="utf-8"?>
<formControlPr xmlns="http://schemas.microsoft.com/office/spreadsheetml/2009/9/main" objectType="CheckBox" fmlaLink="$I$16"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fmlaLink="$Q$11" lockText="1" noThreeD="1"/>
</file>

<file path=xl/ctrlProps/ctrlProp25.xml><?xml version="1.0" encoding="utf-8"?>
<formControlPr xmlns="http://schemas.microsoft.com/office/spreadsheetml/2009/9/main" objectType="CheckBox" fmlaLink="$Q$12" lockText="1" noThreeD="1"/>
</file>

<file path=xl/ctrlProps/ctrlProp26.xml><?xml version="1.0" encoding="utf-8"?>
<formControlPr xmlns="http://schemas.microsoft.com/office/spreadsheetml/2009/9/main" objectType="CheckBox" fmlaLink="$Q$13" lockText="1" noThreeD="1"/>
</file>

<file path=xl/ctrlProps/ctrlProp27.xml><?xml version="1.0" encoding="utf-8"?>
<formControlPr xmlns="http://schemas.microsoft.com/office/spreadsheetml/2009/9/main" objectType="CheckBox" fmlaLink="$Q$14" lockText="1" noThreeD="1"/>
</file>

<file path=xl/ctrlProps/ctrlProp28.xml><?xml version="1.0" encoding="utf-8"?>
<formControlPr xmlns="http://schemas.microsoft.com/office/spreadsheetml/2009/9/main" objectType="CheckBox" fmlaLink="$E$14" lockText="1" noThreeD="1"/>
</file>

<file path=xl/ctrlProps/ctrlProp29.xml><?xml version="1.0" encoding="utf-8"?>
<formControlPr xmlns="http://schemas.microsoft.com/office/spreadsheetml/2009/9/main" objectType="CheckBox" fmlaLink="$E$15" lockText="1" noThreeD="1"/>
</file>

<file path=xl/ctrlProps/ctrlProp30.xml><?xml version="1.0" encoding="utf-8"?>
<formControlPr xmlns="http://schemas.microsoft.com/office/spreadsheetml/2009/9/main" objectType="CheckBox" fmlaLink="$I$17" lockText="1" noThreeD="1"/>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microsoft.com/office/2007/relationships/hdphoto" Target="../media/hdphoto1.wdp"/><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3.png"/></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6.png"/><Relationship Id="rId4" Type="http://schemas.openxmlformats.org/officeDocument/2006/relationships/image" Target="../media/image7.png"/></Relationships>
</file>

<file path=xl/drawings/_rels/drawing3.xml.rels><?xml version="1.0" encoding="UTF-8" standalone="yes"?>
<Relationships xmlns="http://schemas.openxmlformats.org/package/2006/relationships"><Relationship Id="rId8" Type="http://schemas.microsoft.com/office/2007/relationships/hdphoto" Target="../media/hdphoto1.wdp"/><Relationship Id="rId3" Type="http://schemas.openxmlformats.org/officeDocument/2006/relationships/image" Target="../media/image9.png"/><Relationship Id="rId7" Type="http://schemas.openxmlformats.org/officeDocument/2006/relationships/image" Target="../media/image12.png"/><Relationship Id="rId2" Type="http://schemas.openxmlformats.org/officeDocument/2006/relationships/image" Target="../media/image8.png"/><Relationship Id="rId1" Type="http://schemas.openxmlformats.org/officeDocument/2006/relationships/image" Target="../media/image6.png"/><Relationship Id="rId6" Type="http://schemas.openxmlformats.org/officeDocument/2006/relationships/image" Target="../media/image5.png"/><Relationship Id="rId5" Type="http://schemas.openxmlformats.org/officeDocument/2006/relationships/image" Target="../media/image4.png"/><Relationship Id="rId4" Type="http://schemas.openxmlformats.org/officeDocument/2006/relationships/image" Target="../media/image7.png"/></Relationships>
</file>

<file path=xl/drawings/_rels/drawing4.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4.png"/><Relationship Id="rId7" Type="http://schemas.openxmlformats.org/officeDocument/2006/relationships/image" Target="../media/image6.png"/><Relationship Id="rId2" Type="http://schemas.openxmlformats.org/officeDocument/2006/relationships/image" Target="../media/image9.png"/><Relationship Id="rId1" Type="http://schemas.openxmlformats.org/officeDocument/2006/relationships/image" Target="../media/image8.png"/><Relationship Id="rId6" Type="http://schemas.microsoft.com/office/2007/relationships/hdphoto" Target="../media/hdphoto1.wdp"/><Relationship Id="rId5" Type="http://schemas.openxmlformats.org/officeDocument/2006/relationships/image" Target="../media/image12.png"/><Relationship Id="rId4" Type="http://schemas.openxmlformats.org/officeDocument/2006/relationships/image" Target="../media/image5.png"/></Relationships>
</file>

<file path=xl/drawings/_rels/drawing5.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9.png"/><Relationship Id="rId1" Type="http://schemas.openxmlformats.org/officeDocument/2006/relationships/image" Target="../media/image8.png"/><Relationship Id="rId4" Type="http://schemas.openxmlformats.org/officeDocument/2006/relationships/image" Target="../media/image7.png"/></Relationships>
</file>

<file path=xl/drawings/_rels/drawing6.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9.png"/><Relationship Id="rId1" Type="http://schemas.openxmlformats.org/officeDocument/2006/relationships/image" Target="../media/image8.png"/><Relationship Id="rId4" Type="http://schemas.openxmlformats.org/officeDocument/2006/relationships/image" Target="../media/image7.png"/></Relationships>
</file>

<file path=xl/drawings/_rels/drawing7.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hyperlink" Target="https://paypal.me/StewieDooSTFC" TargetMode="External"/></Relationships>
</file>

<file path=xl/drawings/_rels/drawing8.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4.png"/><Relationship Id="rId7" Type="http://schemas.openxmlformats.org/officeDocument/2006/relationships/image" Target="../media/image6.png"/><Relationship Id="rId2" Type="http://schemas.openxmlformats.org/officeDocument/2006/relationships/image" Target="../media/image9.png"/><Relationship Id="rId1" Type="http://schemas.openxmlformats.org/officeDocument/2006/relationships/image" Target="../media/image8.png"/><Relationship Id="rId6" Type="http://schemas.microsoft.com/office/2007/relationships/hdphoto" Target="../media/hdphoto1.wdp"/><Relationship Id="rId5" Type="http://schemas.openxmlformats.org/officeDocument/2006/relationships/image" Target="../media/image12.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xdr:col>
      <xdr:colOff>914399</xdr:colOff>
      <xdr:row>15</xdr:row>
      <xdr:rowOff>91918</xdr:rowOff>
    </xdr:from>
    <xdr:to>
      <xdr:col>6</xdr:col>
      <xdr:colOff>438150</xdr:colOff>
      <xdr:row>16</xdr:row>
      <xdr:rowOff>161924</xdr:rowOff>
    </xdr:to>
    <xdr:pic>
      <xdr:nvPicPr>
        <xdr:cNvPr id="37" name="Picture 36"/>
        <xdr:cNvPicPr>
          <a:picLocks noChangeAspect="1"/>
        </xdr:cNvPicPr>
      </xdr:nvPicPr>
      <xdr:blipFill>
        <a:blip xmlns:r="http://schemas.openxmlformats.org/officeDocument/2006/relationships" r:embed="rId1"/>
        <a:stretch>
          <a:fillRect/>
        </a:stretch>
      </xdr:blipFill>
      <xdr:spPr>
        <a:xfrm>
          <a:off x="2095499" y="2654143"/>
          <a:ext cx="2867026" cy="289081"/>
        </a:xfrm>
        <a:prstGeom prst="rect">
          <a:avLst/>
        </a:prstGeom>
      </xdr:spPr>
    </xdr:pic>
    <xdr:clientData/>
  </xdr:twoCellAnchor>
  <xdr:twoCellAnchor editAs="oneCell">
    <xdr:from>
      <xdr:col>5</xdr:col>
      <xdr:colOff>857250</xdr:colOff>
      <xdr:row>15</xdr:row>
      <xdr:rowOff>123825</xdr:rowOff>
    </xdr:from>
    <xdr:to>
      <xdr:col>7</xdr:col>
      <xdr:colOff>41595</xdr:colOff>
      <xdr:row>16</xdr:row>
      <xdr:rowOff>133350</xdr:rowOff>
    </xdr:to>
    <xdr:pic>
      <xdr:nvPicPr>
        <xdr:cNvPr id="38" name="Picture 37"/>
        <xdr:cNvPicPr>
          <a:picLocks noChangeAspect="1"/>
        </xdr:cNvPicPr>
      </xdr:nvPicPr>
      <xdr:blipFill>
        <a:blip xmlns:r="http://schemas.openxmlformats.org/officeDocument/2006/relationships" r:embed="rId2"/>
        <a:stretch>
          <a:fillRect/>
        </a:stretch>
      </xdr:blipFill>
      <xdr:spPr>
        <a:xfrm>
          <a:off x="4857750" y="2686050"/>
          <a:ext cx="755970" cy="228600"/>
        </a:xfrm>
        <a:prstGeom prst="rect">
          <a:avLst/>
        </a:prstGeom>
      </xdr:spPr>
    </xdr:pic>
    <xdr:clientData/>
  </xdr:twoCellAnchor>
  <xdr:twoCellAnchor editAs="oneCell">
    <xdr:from>
      <xdr:col>2</xdr:col>
      <xdr:colOff>352425</xdr:colOff>
      <xdr:row>15</xdr:row>
      <xdr:rowOff>123825</xdr:rowOff>
    </xdr:from>
    <xdr:to>
      <xdr:col>2</xdr:col>
      <xdr:colOff>1102298</xdr:colOff>
      <xdr:row>16</xdr:row>
      <xdr:rowOff>133350</xdr:rowOff>
    </xdr:to>
    <xdr:pic>
      <xdr:nvPicPr>
        <xdr:cNvPr id="39" name="Picture 38"/>
        <xdr:cNvPicPr>
          <a:picLocks noChangeAspect="1"/>
        </xdr:cNvPicPr>
      </xdr:nvPicPr>
      <xdr:blipFill>
        <a:blip xmlns:r="http://schemas.openxmlformats.org/officeDocument/2006/relationships" r:embed="rId3"/>
        <a:stretch>
          <a:fillRect/>
        </a:stretch>
      </xdr:blipFill>
      <xdr:spPr>
        <a:xfrm>
          <a:off x="1533525" y="2857500"/>
          <a:ext cx="749873" cy="228600"/>
        </a:xfrm>
        <a:prstGeom prst="rect">
          <a:avLst/>
        </a:prstGeom>
      </xdr:spPr>
    </xdr:pic>
    <xdr:clientData/>
  </xdr:twoCellAnchor>
  <xdr:twoCellAnchor editAs="oneCell">
    <xdr:from>
      <xdr:col>2</xdr:col>
      <xdr:colOff>923923</xdr:colOff>
      <xdr:row>4</xdr:row>
      <xdr:rowOff>187168</xdr:rowOff>
    </xdr:from>
    <xdr:to>
      <xdr:col>6</xdr:col>
      <xdr:colOff>495299</xdr:colOff>
      <xdr:row>5</xdr:row>
      <xdr:rowOff>228599</xdr:rowOff>
    </xdr:to>
    <xdr:pic>
      <xdr:nvPicPr>
        <xdr:cNvPr id="29" name="Picture 28"/>
        <xdr:cNvPicPr>
          <a:picLocks noChangeAspect="1"/>
        </xdr:cNvPicPr>
      </xdr:nvPicPr>
      <xdr:blipFill>
        <a:blip xmlns:r="http://schemas.openxmlformats.org/officeDocument/2006/relationships" r:embed="rId1"/>
        <a:stretch>
          <a:fillRect/>
        </a:stretch>
      </xdr:blipFill>
      <xdr:spPr>
        <a:xfrm>
          <a:off x="2095498" y="958693"/>
          <a:ext cx="2914651" cy="289081"/>
        </a:xfrm>
        <a:prstGeom prst="rect">
          <a:avLst/>
        </a:prstGeom>
      </xdr:spPr>
    </xdr:pic>
    <xdr:clientData/>
  </xdr:twoCellAnchor>
  <xdr:twoCellAnchor editAs="oneCell">
    <xdr:from>
      <xdr:col>6</xdr:col>
      <xdr:colOff>0</xdr:colOff>
      <xdr:row>4</xdr:row>
      <xdr:rowOff>219075</xdr:rowOff>
    </xdr:from>
    <xdr:to>
      <xdr:col>7</xdr:col>
      <xdr:colOff>41595</xdr:colOff>
      <xdr:row>5</xdr:row>
      <xdr:rowOff>200025</xdr:rowOff>
    </xdr:to>
    <xdr:pic>
      <xdr:nvPicPr>
        <xdr:cNvPr id="31" name="Picture 30"/>
        <xdr:cNvPicPr>
          <a:picLocks noChangeAspect="1"/>
        </xdr:cNvPicPr>
      </xdr:nvPicPr>
      <xdr:blipFill>
        <a:blip xmlns:r="http://schemas.openxmlformats.org/officeDocument/2006/relationships" r:embed="rId2"/>
        <a:stretch>
          <a:fillRect/>
        </a:stretch>
      </xdr:blipFill>
      <xdr:spPr>
        <a:xfrm>
          <a:off x="4495800" y="990600"/>
          <a:ext cx="755970" cy="228600"/>
        </a:xfrm>
        <a:prstGeom prst="rect">
          <a:avLst/>
        </a:prstGeom>
      </xdr:spPr>
    </xdr:pic>
    <xdr:clientData/>
  </xdr:twoCellAnchor>
  <xdr:twoCellAnchor editAs="oneCell">
    <xdr:from>
      <xdr:col>2</xdr:col>
      <xdr:colOff>361950</xdr:colOff>
      <xdr:row>4</xdr:row>
      <xdr:rowOff>219075</xdr:rowOff>
    </xdr:from>
    <xdr:to>
      <xdr:col>2</xdr:col>
      <xdr:colOff>1111823</xdr:colOff>
      <xdr:row>5</xdr:row>
      <xdr:rowOff>200025</xdr:rowOff>
    </xdr:to>
    <xdr:pic>
      <xdr:nvPicPr>
        <xdr:cNvPr id="26" name="Picture 25"/>
        <xdr:cNvPicPr>
          <a:picLocks noChangeAspect="1"/>
        </xdr:cNvPicPr>
      </xdr:nvPicPr>
      <xdr:blipFill>
        <a:blip xmlns:r="http://schemas.openxmlformats.org/officeDocument/2006/relationships" r:embed="rId3"/>
        <a:stretch>
          <a:fillRect/>
        </a:stretch>
      </xdr:blipFill>
      <xdr:spPr>
        <a:xfrm>
          <a:off x="1533525" y="990600"/>
          <a:ext cx="749873" cy="22860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2</xdr:col>
          <xdr:colOff>762000</xdr:colOff>
          <xdr:row>15</xdr:row>
          <xdr:rowOff>123825</xdr:rowOff>
        </xdr:from>
        <xdr:to>
          <xdr:col>7</xdr:col>
          <xdr:colOff>266700</xdr:colOff>
          <xdr:row>16</xdr:row>
          <xdr:rowOff>123825</xdr:rowOff>
        </xdr:to>
        <xdr:sp macro="" textlink="">
          <xdr:nvSpPr>
            <xdr:cNvPr id="3074" name="Check Box 2" hidden="1">
              <a:extLst>
                <a:ext uri="{63B3BB69-23CF-44E3-9099-C40C66FF867C}">
                  <a14:compatExt spid="_x0000_s307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Click to see stats at maximum level. (Including unobtained officers)</a:t>
              </a:r>
            </a:p>
          </xdr:txBody>
        </xdr:sp>
        <xdr:clientData fLocksWithSheet="0"/>
      </xdr:twoCellAnchor>
    </mc:Choice>
    <mc:Fallback/>
  </mc:AlternateContent>
  <xdr:twoCellAnchor editAs="oneCell">
    <xdr:from>
      <xdr:col>23</xdr:col>
      <xdr:colOff>31164</xdr:colOff>
      <xdr:row>1</xdr:row>
      <xdr:rowOff>0</xdr:rowOff>
    </xdr:from>
    <xdr:to>
      <xdr:col>23</xdr:col>
      <xdr:colOff>393299</xdr:colOff>
      <xdr:row>2</xdr:row>
      <xdr:rowOff>3003</xdr:rowOff>
    </xdr:to>
    <xdr:pic>
      <xdr:nvPicPr>
        <xdr:cNvPr id="3" name="Picture 2"/>
        <xdr:cNvPicPr>
          <a:picLocks noChangeAspect="1"/>
        </xdr:cNvPicPr>
      </xdr:nvPicPr>
      <xdr:blipFill>
        <a:blip xmlns:r="http://schemas.openxmlformats.org/officeDocument/2006/relationships" r:embed="rId4"/>
        <a:stretch>
          <a:fillRect/>
        </a:stretch>
      </xdr:blipFill>
      <xdr:spPr>
        <a:xfrm>
          <a:off x="15518814" y="0"/>
          <a:ext cx="362135" cy="355428"/>
        </a:xfrm>
        <a:prstGeom prst="rect">
          <a:avLst/>
        </a:prstGeom>
      </xdr:spPr>
    </xdr:pic>
    <xdr:clientData/>
  </xdr:twoCellAnchor>
  <xdr:twoCellAnchor editAs="oneCell">
    <xdr:from>
      <xdr:col>0</xdr:col>
      <xdr:colOff>0</xdr:colOff>
      <xdr:row>1</xdr:row>
      <xdr:rowOff>0</xdr:rowOff>
    </xdr:from>
    <xdr:to>
      <xdr:col>0</xdr:col>
      <xdr:colOff>368840</xdr:colOff>
      <xdr:row>2</xdr:row>
      <xdr:rowOff>3003</xdr:rowOff>
    </xdr:to>
    <xdr:pic>
      <xdr:nvPicPr>
        <xdr:cNvPr id="10" name="Picture 9"/>
        <xdr:cNvPicPr>
          <a:picLocks noChangeAspect="1"/>
        </xdr:cNvPicPr>
      </xdr:nvPicPr>
      <xdr:blipFill>
        <a:blip xmlns:r="http://schemas.openxmlformats.org/officeDocument/2006/relationships" r:embed="rId5"/>
        <a:stretch>
          <a:fillRect/>
        </a:stretch>
      </xdr:blipFill>
      <xdr:spPr>
        <a:xfrm>
          <a:off x="0" y="0"/>
          <a:ext cx="368840" cy="355428"/>
        </a:xfrm>
        <a:prstGeom prst="rect">
          <a:avLst/>
        </a:prstGeom>
      </xdr:spPr>
    </xdr:pic>
    <xdr:clientData/>
  </xdr:twoCellAnchor>
  <xdr:oneCellAnchor>
    <xdr:from>
      <xdr:col>23</xdr:col>
      <xdr:colOff>31164</xdr:colOff>
      <xdr:row>18</xdr:row>
      <xdr:rowOff>180975</xdr:rowOff>
    </xdr:from>
    <xdr:ext cx="362135" cy="355428"/>
    <xdr:pic>
      <xdr:nvPicPr>
        <xdr:cNvPr id="15" name="Picture 14"/>
        <xdr:cNvPicPr>
          <a:picLocks noChangeAspect="1"/>
        </xdr:cNvPicPr>
      </xdr:nvPicPr>
      <xdr:blipFill>
        <a:blip xmlns:r="http://schemas.openxmlformats.org/officeDocument/2006/relationships" r:embed="rId4"/>
        <a:stretch>
          <a:fillRect/>
        </a:stretch>
      </xdr:blipFill>
      <xdr:spPr>
        <a:xfrm>
          <a:off x="15518814" y="2771775"/>
          <a:ext cx="362135" cy="355428"/>
        </a:xfrm>
        <a:prstGeom prst="rect">
          <a:avLst/>
        </a:prstGeom>
      </xdr:spPr>
    </xdr:pic>
    <xdr:clientData/>
  </xdr:oneCellAnchor>
  <xdr:oneCellAnchor>
    <xdr:from>
      <xdr:col>0</xdr:col>
      <xdr:colOff>0</xdr:colOff>
      <xdr:row>18</xdr:row>
      <xdr:rowOff>180975</xdr:rowOff>
    </xdr:from>
    <xdr:ext cx="368840" cy="355428"/>
    <xdr:pic>
      <xdr:nvPicPr>
        <xdr:cNvPr id="16" name="Picture 15"/>
        <xdr:cNvPicPr>
          <a:picLocks noChangeAspect="1"/>
        </xdr:cNvPicPr>
      </xdr:nvPicPr>
      <xdr:blipFill>
        <a:blip xmlns:r="http://schemas.openxmlformats.org/officeDocument/2006/relationships" r:embed="rId5"/>
        <a:stretch>
          <a:fillRect/>
        </a:stretch>
      </xdr:blipFill>
      <xdr:spPr>
        <a:xfrm>
          <a:off x="0" y="2771775"/>
          <a:ext cx="368840" cy="355428"/>
        </a:xfrm>
        <a:prstGeom prst="rect">
          <a:avLst/>
        </a:prstGeom>
      </xdr:spPr>
    </xdr:pic>
    <xdr:clientData/>
  </xdr:oneCellAnchor>
  <xdr:twoCellAnchor editAs="oneCell">
    <xdr:from>
      <xdr:col>19</xdr:col>
      <xdr:colOff>704850</xdr:colOff>
      <xdr:row>3</xdr:row>
      <xdr:rowOff>9525</xdr:rowOff>
    </xdr:from>
    <xdr:to>
      <xdr:col>23</xdr:col>
      <xdr:colOff>427263</xdr:colOff>
      <xdr:row>5</xdr:row>
      <xdr:rowOff>219075</xdr:rowOff>
    </xdr:to>
    <xdr:pic>
      <xdr:nvPicPr>
        <xdr:cNvPr id="14" name="Picture 13"/>
        <xdr:cNvPicPr>
          <a:picLocks noChangeAspect="1"/>
        </xdr:cNvPicPr>
      </xdr:nvPicPr>
      <xdr:blipFill>
        <a:blip xmlns:r="http://schemas.openxmlformats.org/officeDocument/2006/relationships" r:embed="rId6"/>
        <a:stretch>
          <a:fillRect/>
        </a:stretch>
      </xdr:blipFill>
      <xdr:spPr>
        <a:xfrm>
          <a:off x="13163550" y="581025"/>
          <a:ext cx="1865538" cy="657225"/>
        </a:xfrm>
        <a:prstGeom prst="rect">
          <a:avLst/>
        </a:prstGeom>
      </xdr:spPr>
    </xdr:pic>
    <xdr:clientData/>
  </xdr:twoCellAnchor>
  <xdr:twoCellAnchor editAs="oneCell">
    <xdr:from>
      <xdr:col>19</xdr:col>
      <xdr:colOff>704850</xdr:colOff>
      <xdr:row>15</xdr:row>
      <xdr:rowOff>9524</xdr:rowOff>
    </xdr:from>
    <xdr:to>
      <xdr:col>23</xdr:col>
      <xdr:colOff>427263</xdr:colOff>
      <xdr:row>17</xdr:row>
      <xdr:rowOff>209549</xdr:rowOff>
    </xdr:to>
    <xdr:pic>
      <xdr:nvPicPr>
        <xdr:cNvPr id="18" name="Picture 17"/>
        <xdr:cNvPicPr>
          <a:picLocks noChangeAspect="1"/>
        </xdr:cNvPicPr>
      </xdr:nvPicPr>
      <xdr:blipFill>
        <a:blip xmlns:r="http://schemas.openxmlformats.org/officeDocument/2006/relationships" r:embed="rId7"/>
        <a:stretch>
          <a:fillRect/>
        </a:stretch>
      </xdr:blipFill>
      <xdr:spPr>
        <a:xfrm>
          <a:off x="14420850" y="3209924"/>
          <a:ext cx="1865538" cy="714375"/>
        </a:xfrm>
        <a:prstGeom prst="rect">
          <a:avLst/>
        </a:prstGeom>
      </xdr:spPr>
    </xdr:pic>
    <xdr:clientData/>
  </xdr:twoCellAnchor>
  <xdr:twoCellAnchor editAs="oneCell">
    <xdr:from>
      <xdr:col>0</xdr:col>
      <xdr:colOff>0</xdr:colOff>
      <xdr:row>2</xdr:row>
      <xdr:rowOff>114298</xdr:rowOff>
    </xdr:from>
    <xdr:to>
      <xdr:col>2</xdr:col>
      <xdr:colOff>706156</xdr:colOff>
      <xdr:row>5</xdr:row>
      <xdr:rowOff>219075</xdr:rowOff>
    </xdr:to>
    <xdr:pic>
      <xdr:nvPicPr>
        <xdr:cNvPr id="20" name="Picture 19"/>
        <xdr:cNvPicPr>
          <a:picLocks noChangeAspect="1"/>
        </xdr:cNvPicPr>
      </xdr:nvPicPr>
      <xdr:blipFill>
        <a:blip xmlns:r="http://schemas.openxmlformats.org/officeDocument/2006/relationships" r:embed="rId8"/>
        <a:stretch>
          <a:fillRect/>
        </a:stretch>
      </xdr:blipFill>
      <xdr:spPr>
        <a:xfrm>
          <a:off x="0" y="571498"/>
          <a:ext cx="1877731" cy="666752"/>
        </a:xfrm>
        <a:prstGeom prst="rect">
          <a:avLst/>
        </a:prstGeom>
      </xdr:spPr>
    </xdr:pic>
    <xdr:clientData/>
  </xdr:twoCellAnchor>
  <xdr:twoCellAnchor editAs="oneCell">
    <xdr:from>
      <xdr:col>0</xdr:col>
      <xdr:colOff>0</xdr:colOff>
      <xdr:row>15</xdr:row>
      <xdr:rowOff>9524</xdr:rowOff>
    </xdr:from>
    <xdr:to>
      <xdr:col>2</xdr:col>
      <xdr:colOff>693963</xdr:colOff>
      <xdr:row>17</xdr:row>
      <xdr:rowOff>209549</xdr:rowOff>
    </xdr:to>
    <xdr:pic>
      <xdr:nvPicPr>
        <xdr:cNvPr id="21" name="Picture 20"/>
        <xdr:cNvPicPr>
          <a:picLocks noChangeAspect="1"/>
        </xdr:cNvPicPr>
      </xdr:nvPicPr>
      <xdr:blipFill>
        <a:blip xmlns:r="http://schemas.openxmlformats.org/officeDocument/2006/relationships" r:embed="rId9">
          <a:duotone>
            <a:prstClr val="black"/>
            <a:srgbClr val="9999CC">
              <a:tint val="45000"/>
              <a:satMod val="400000"/>
            </a:srgbClr>
          </a:duotone>
        </a:blip>
        <a:stretch>
          <a:fillRect/>
        </a:stretch>
      </xdr:blipFill>
      <xdr:spPr>
        <a:xfrm>
          <a:off x="0" y="2886074"/>
          <a:ext cx="1865538" cy="714375"/>
        </a:xfrm>
        <a:prstGeom prst="rect">
          <a:avLst/>
        </a:prstGeom>
      </xdr:spPr>
    </xdr:pic>
    <xdr:clientData/>
  </xdr:twoCellAnchor>
  <xdr:twoCellAnchor editAs="oneCell">
    <xdr:from>
      <xdr:col>2</xdr:col>
      <xdr:colOff>706220</xdr:colOff>
      <xdr:row>17</xdr:row>
      <xdr:rowOff>10000</xdr:rowOff>
    </xdr:from>
    <xdr:to>
      <xdr:col>2</xdr:col>
      <xdr:colOff>1533525</xdr:colOff>
      <xdr:row>17</xdr:row>
      <xdr:rowOff>209549</xdr:rowOff>
    </xdr:to>
    <xdr:pic>
      <xdr:nvPicPr>
        <xdr:cNvPr id="4" name="Picture 3"/>
        <xdr:cNvPicPr>
          <a:picLocks noChangeAspect="1"/>
        </xdr:cNvPicPr>
      </xdr:nvPicPr>
      <xdr:blipFill>
        <a:blip xmlns:r="http://schemas.openxmlformats.org/officeDocument/2006/relationships" r:embed="rId10"/>
        <a:stretch>
          <a:fillRect/>
        </a:stretch>
      </xdr:blipFill>
      <xdr:spPr>
        <a:xfrm>
          <a:off x="1887320" y="3086575"/>
          <a:ext cx="827305" cy="199549"/>
        </a:xfrm>
        <a:prstGeom prst="rect">
          <a:avLst/>
        </a:prstGeom>
      </xdr:spPr>
    </xdr:pic>
    <xdr:clientData/>
  </xdr:twoCellAnchor>
  <xdr:twoCellAnchor editAs="oneCell">
    <xdr:from>
      <xdr:col>18</xdr:col>
      <xdr:colOff>382370</xdr:colOff>
      <xdr:row>17</xdr:row>
      <xdr:rowOff>9525</xdr:rowOff>
    </xdr:from>
    <xdr:to>
      <xdr:col>19</xdr:col>
      <xdr:colOff>685800</xdr:colOff>
      <xdr:row>17</xdr:row>
      <xdr:rowOff>209551</xdr:rowOff>
    </xdr:to>
    <xdr:pic>
      <xdr:nvPicPr>
        <xdr:cNvPr id="23" name="Picture 22"/>
        <xdr:cNvPicPr>
          <a:picLocks noChangeAspect="1"/>
        </xdr:cNvPicPr>
      </xdr:nvPicPr>
      <xdr:blipFill>
        <a:blip xmlns:r="http://schemas.openxmlformats.org/officeDocument/2006/relationships" r:embed="rId10"/>
        <a:stretch>
          <a:fillRect/>
        </a:stretch>
      </xdr:blipFill>
      <xdr:spPr>
        <a:xfrm>
          <a:off x="13450670" y="3724275"/>
          <a:ext cx="951130" cy="200026"/>
        </a:xfrm>
        <a:prstGeom prst="rect">
          <a:avLst/>
        </a:prstGeom>
      </xdr:spPr>
    </xdr:pic>
    <xdr:clientData/>
  </xdr:twoCellAnchor>
  <xdr:twoCellAnchor editAs="oneCell">
    <xdr:from>
      <xdr:col>2</xdr:col>
      <xdr:colOff>704849</xdr:colOff>
      <xdr:row>2</xdr:row>
      <xdr:rowOff>104775</xdr:rowOff>
    </xdr:from>
    <xdr:to>
      <xdr:col>3</xdr:col>
      <xdr:colOff>9524</xdr:colOff>
      <xdr:row>4</xdr:row>
      <xdr:rowOff>10112</xdr:rowOff>
    </xdr:to>
    <xdr:pic>
      <xdr:nvPicPr>
        <xdr:cNvPr id="6" name="Picture 5"/>
        <xdr:cNvPicPr>
          <a:picLocks noChangeAspect="1"/>
        </xdr:cNvPicPr>
      </xdr:nvPicPr>
      <xdr:blipFill>
        <a:blip xmlns:r="http://schemas.openxmlformats.org/officeDocument/2006/relationships" r:embed="rId11"/>
        <a:stretch>
          <a:fillRect/>
        </a:stretch>
      </xdr:blipFill>
      <xdr:spPr>
        <a:xfrm>
          <a:off x="1885949" y="561975"/>
          <a:ext cx="847725" cy="219662"/>
        </a:xfrm>
        <a:prstGeom prst="rect">
          <a:avLst/>
        </a:prstGeom>
      </xdr:spPr>
    </xdr:pic>
    <xdr:clientData/>
  </xdr:twoCellAnchor>
  <xdr:twoCellAnchor editAs="oneCell">
    <xdr:from>
      <xdr:col>19</xdr:col>
      <xdr:colOff>9525</xdr:colOff>
      <xdr:row>2</xdr:row>
      <xdr:rowOff>103909</xdr:rowOff>
    </xdr:from>
    <xdr:to>
      <xdr:col>19</xdr:col>
      <xdr:colOff>691823</xdr:colOff>
      <xdr:row>4</xdr:row>
      <xdr:rowOff>19050</xdr:rowOff>
    </xdr:to>
    <xdr:pic>
      <xdr:nvPicPr>
        <xdr:cNvPr id="25" name="Picture 24"/>
        <xdr:cNvPicPr>
          <a:picLocks noChangeAspect="1"/>
        </xdr:cNvPicPr>
      </xdr:nvPicPr>
      <xdr:blipFill>
        <a:blip xmlns:r="http://schemas.openxmlformats.org/officeDocument/2006/relationships" r:embed="rId11"/>
        <a:stretch>
          <a:fillRect/>
        </a:stretch>
      </xdr:blipFill>
      <xdr:spPr>
        <a:xfrm>
          <a:off x="13373100" y="561109"/>
          <a:ext cx="682298" cy="229466"/>
        </a:xfrm>
        <a:prstGeom prst="rect">
          <a:avLst/>
        </a:prstGeom>
      </xdr:spPr>
    </xdr:pic>
    <xdr:clientData/>
  </xdr:twoCellAnchor>
  <xdr:twoCellAnchor editAs="oneCell">
    <xdr:from>
      <xdr:col>0</xdr:col>
      <xdr:colOff>401420</xdr:colOff>
      <xdr:row>19</xdr:row>
      <xdr:rowOff>475</xdr:rowOff>
    </xdr:from>
    <xdr:to>
      <xdr:col>1</xdr:col>
      <xdr:colOff>19050</xdr:colOff>
      <xdr:row>20</xdr:row>
      <xdr:rowOff>0</xdr:rowOff>
    </xdr:to>
    <xdr:pic>
      <xdr:nvPicPr>
        <xdr:cNvPr id="27" name="Picture 26"/>
        <xdr:cNvPicPr>
          <a:picLocks noChangeAspect="1"/>
        </xdr:cNvPicPr>
      </xdr:nvPicPr>
      <xdr:blipFill>
        <a:blip xmlns:r="http://schemas.openxmlformats.org/officeDocument/2006/relationships" r:embed="rId12">
          <a:duotone>
            <a:prstClr val="black"/>
            <a:srgbClr val="BF90BF">
              <a:tint val="45000"/>
              <a:satMod val="400000"/>
            </a:srgbClr>
          </a:duotone>
          <a:extLst>
            <a:ext uri="{BEBA8EAE-BF5A-486C-A8C5-ECC9F3942E4B}">
              <a14:imgProps xmlns:a14="http://schemas.microsoft.com/office/drawing/2010/main">
                <a14:imgLayer r:embed="rId13">
                  <a14:imgEffect>
                    <a14:brightnessContrast bright="20000" contrast="-20000"/>
                  </a14:imgEffect>
                </a14:imgLayer>
              </a14:imgProps>
            </a:ext>
          </a:extLst>
        </a:blip>
        <a:stretch>
          <a:fillRect/>
        </a:stretch>
      </xdr:blipFill>
      <xdr:spPr>
        <a:xfrm>
          <a:off x="401420" y="3686650"/>
          <a:ext cx="722530" cy="351950"/>
        </a:xfrm>
        <a:prstGeom prst="rect">
          <a:avLst/>
        </a:prstGeom>
      </xdr:spPr>
    </xdr:pic>
    <xdr:clientData/>
  </xdr:twoCellAnchor>
  <xdr:oneCellAnchor>
    <xdr:from>
      <xdr:col>23</xdr:col>
      <xdr:colOff>31164</xdr:colOff>
      <xdr:row>179</xdr:row>
      <xdr:rowOff>0</xdr:rowOff>
    </xdr:from>
    <xdr:ext cx="362135" cy="355428"/>
    <xdr:pic>
      <xdr:nvPicPr>
        <xdr:cNvPr id="36" name="Picture 35"/>
        <xdr:cNvPicPr>
          <a:picLocks noChangeAspect="1"/>
        </xdr:cNvPicPr>
      </xdr:nvPicPr>
      <xdr:blipFill>
        <a:blip xmlns:r="http://schemas.openxmlformats.org/officeDocument/2006/relationships" r:embed="rId4"/>
        <a:stretch>
          <a:fillRect/>
        </a:stretch>
      </xdr:blipFill>
      <xdr:spPr>
        <a:xfrm>
          <a:off x="14632989" y="33213675"/>
          <a:ext cx="362135" cy="355428"/>
        </a:xfrm>
        <a:prstGeom prst="rect">
          <a:avLst/>
        </a:prstGeom>
      </xdr:spPr>
    </xdr:pic>
    <xdr:clientData/>
  </xdr:oneCellAnchor>
  <xdr:oneCellAnchor>
    <xdr:from>
      <xdr:col>0</xdr:col>
      <xdr:colOff>0</xdr:colOff>
      <xdr:row>179</xdr:row>
      <xdr:rowOff>0</xdr:rowOff>
    </xdr:from>
    <xdr:ext cx="368840" cy="355428"/>
    <xdr:pic>
      <xdr:nvPicPr>
        <xdr:cNvPr id="40" name="Picture 39"/>
        <xdr:cNvPicPr>
          <a:picLocks noChangeAspect="1"/>
        </xdr:cNvPicPr>
      </xdr:nvPicPr>
      <xdr:blipFill>
        <a:blip xmlns:r="http://schemas.openxmlformats.org/officeDocument/2006/relationships" r:embed="rId5"/>
        <a:stretch>
          <a:fillRect/>
        </a:stretch>
      </xdr:blipFill>
      <xdr:spPr>
        <a:xfrm>
          <a:off x="0" y="33213675"/>
          <a:ext cx="368840" cy="355428"/>
        </a:xfrm>
        <a:prstGeom prst="rect">
          <a:avLst/>
        </a:prstGeom>
      </xdr:spPr>
    </xdr:pic>
    <xdr:clientData/>
  </xdr:oneCellAnchor>
  <xdr:oneCellAnchor>
    <xdr:from>
      <xdr:col>0</xdr:col>
      <xdr:colOff>401420</xdr:colOff>
      <xdr:row>179</xdr:row>
      <xdr:rowOff>475</xdr:rowOff>
    </xdr:from>
    <xdr:ext cx="722530" cy="351950"/>
    <xdr:pic>
      <xdr:nvPicPr>
        <xdr:cNvPr id="41" name="Picture 40"/>
        <xdr:cNvPicPr>
          <a:picLocks noChangeAspect="1"/>
        </xdr:cNvPicPr>
      </xdr:nvPicPr>
      <xdr:blipFill>
        <a:blip xmlns:r="http://schemas.openxmlformats.org/officeDocument/2006/relationships" r:embed="rId12">
          <a:duotone>
            <a:prstClr val="black"/>
            <a:srgbClr val="BF90BF">
              <a:tint val="45000"/>
              <a:satMod val="400000"/>
            </a:srgbClr>
          </a:duotone>
          <a:extLst>
            <a:ext uri="{BEBA8EAE-BF5A-486C-A8C5-ECC9F3942E4B}">
              <a14:imgProps xmlns:a14="http://schemas.microsoft.com/office/drawing/2010/main">
                <a14:imgLayer r:embed="rId13">
                  <a14:imgEffect>
                    <a14:brightnessContrast bright="20000" contrast="-20000"/>
                  </a14:imgEffect>
                </a14:imgLayer>
              </a14:imgProps>
            </a:ext>
          </a:extLst>
        </a:blip>
        <a:stretch>
          <a:fillRect/>
        </a:stretch>
      </xdr:blipFill>
      <xdr:spPr>
        <a:xfrm>
          <a:off x="401420" y="3686650"/>
          <a:ext cx="722530" cy="351950"/>
        </a:xfrm>
        <a:prstGeom prst="rect">
          <a:avLst/>
        </a:prstGeom>
      </xdr:spPr>
    </xdr:pic>
    <xdr:clientData/>
  </xdr:oneCellAnchor>
  <mc:AlternateContent xmlns:mc="http://schemas.openxmlformats.org/markup-compatibility/2006">
    <mc:Choice xmlns:a14="http://schemas.microsoft.com/office/drawing/2010/main" Requires="a14">
      <xdr:twoCellAnchor editAs="oneCell">
        <xdr:from>
          <xdr:col>2</xdr:col>
          <xdr:colOff>485775</xdr:colOff>
          <xdr:row>5</xdr:row>
          <xdr:rowOff>9525</xdr:rowOff>
        </xdr:from>
        <xdr:to>
          <xdr:col>7</xdr:col>
          <xdr:colOff>0</xdr:colOff>
          <xdr:row>5</xdr:row>
          <xdr:rowOff>171450</xdr:rowOff>
        </xdr:to>
        <xdr:sp macro="" textlink="">
          <xdr:nvSpPr>
            <xdr:cNvPr id="3073" name="Check Box 1" hidden="1">
              <a:extLst>
                <a:ext uri="{63B3BB69-23CF-44E3-9099-C40C66FF867C}">
                  <a14:compatExt spid="_x0000_s307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Click to Apply Bonuses (Bonuses only apply to officers in active ship slots)</a:t>
              </a:r>
            </a:p>
          </xdr:txBody>
        </xdr:sp>
        <xdr:clientData fLocksWithSheet="0"/>
      </xdr:twoCellAnchor>
    </mc:Choice>
    <mc:Fallback/>
  </mc:AlternateContent>
  <xdr:twoCellAnchor editAs="oneCell">
    <xdr:from>
      <xdr:col>9</xdr:col>
      <xdr:colOff>647699</xdr:colOff>
      <xdr:row>0</xdr:row>
      <xdr:rowOff>32310</xdr:rowOff>
    </xdr:from>
    <xdr:to>
      <xdr:col>11</xdr:col>
      <xdr:colOff>11014</xdr:colOff>
      <xdr:row>3</xdr:row>
      <xdr:rowOff>8405</xdr:rowOff>
    </xdr:to>
    <xdr:pic>
      <xdr:nvPicPr>
        <xdr:cNvPr id="7" name="Picture 6"/>
        <xdr:cNvPicPr>
          <a:picLocks noChangeAspect="1"/>
        </xdr:cNvPicPr>
      </xdr:nvPicPr>
      <xdr:blipFill>
        <a:blip xmlns:r="http://schemas.openxmlformats.org/officeDocument/2006/relationships" r:embed="rId14"/>
        <a:stretch>
          <a:fillRect/>
        </a:stretch>
      </xdr:blipFill>
      <xdr:spPr>
        <a:xfrm>
          <a:off x="7820024" y="32310"/>
          <a:ext cx="658715" cy="547595"/>
        </a:xfrm>
        <a:prstGeom prst="rect">
          <a:avLst/>
        </a:prstGeom>
      </xdr:spPr>
    </xdr:pic>
    <xdr:clientData/>
  </xdr:twoCellAnchor>
  <xdr:twoCellAnchor editAs="oneCell">
    <xdr:from>
      <xdr:col>0</xdr:col>
      <xdr:colOff>401420</xdr:colOff>
      <xdr:row>19</xdr:row>
      <xdr:rowOff>475</xdr:rowOff>
    </xdr:from>
    <xdr:to>
      <xdr:col>1</xdr:col>
      <xdr:colOff>19050</xdr:colOff>
      <xdr:row>20</xdr:row>
      <xdr:rowOff>0</xdr:rowOff>
    </xdr:to>
    <xdr:pic>
      <xdr:nvPicPr>
        <xdr:cNvPr id="32" name="Picture 31"/>
        <xdr:cNvPicPr>
          <a:picLocks noChangeAspect="1"/>
        </xdr:cNvPicPr>
      </xdr:nvPicPr>
      <xdr:blipFill>
        <a:blip xmlns:r="http://schemas.openxmlformats.org/officeDocument/2006/relationships" r:embed="rId12">
          <a:duotone>
            <a:prstClr val="black"/>
            <a:srgbClr val="BF90BF">
              <a:tint val="45000"/>
              <a:satMod val="400000"/>
            </a:srgbClr>
          </a:duotone>
          <a:extLst>
            <a:ext uri="{BEBA8EAE-BF5A-486C-A8C5-ECC9F3942E4B}">
              <a14:imgProps xmlns:a14="http://schemas.microsoft.com/office/drawing/2010/main">
                <a14:imgLayer r:embed="rId13">
                  <a14:imgEffect>
                    <a14:brightnessContrast bright="20000" contrast="-20000"/>
                  </a14:imgEffect>
                </a14:imgLayer>
              </a14:imgProps>
            </a:ext>
          </a:extLst>
        </a:blip>
        <a:stretch>
          <a:fillRect/>
        </a:stretch>
      </xdr:blipFill>
      <xdr:spPr>
        <a:xfrm>
          <a:off x="401420" y="3400900"/>
          <a:ext cx="722530" cy="351950"/>
        </a:xfrm>
        <a:prstGeom prst="rect">
          <a:avLst/>
        </a:prstGeom>
      </xdr:spPr>
    </xdr:pic>
    <xdr:clientData/>
  </xdr:twoCellAnchor>
  <xdr:oneCellAnchor>
    <xdr:from>
      <xdr:col>0</xdr:col>
      <xdr:colOff>401420</xdr:colOff>
      <xdr:row>179</xdr:row>
      <xdr:rowOff>475</xdr:rowOff>
    </xdr:from>
    <xdr:ext cx="722530" cy="351950"/>
    <xdr:pic>
      <xdr:nvPicPr>
        <xdr:cNvPr id="33" name="Picture 32"/>
        <xdr:cNvPicPr>
          <a:picLocks noChangeAspect="1"/>
        </xdr:cNvPicPr>
      </xdr:nvPicPr>
      <xdr:blipFill>
        <a:blip xmlns:r="http://schemas.openxmlformats.org/officeDocument/2006/relationships" r:embed="rId12">
          <a:duotone>
            <a:prstClr val="black"/>
            <a:srgbClr val="BF90BF">
              <a:tint val="45000"/>
              <a:satMod val="400000"/>
            </a:srgbClr>
          </a:duotone>
          <a:extLst>
            <a:ext uri="{BEBA8EAE-BF5A-486C-A8C5-ECC9F3942E4B}">
              <a14:imgProps xmlns:a14="http://schemas.microsoft.com/office/drawing/2010/main">
                <a14:imgLayer r:embed="rId13">
                  <a14:imgEffect>
                    <a14:brightnessContrast bright="20000" contrast="-20000"/>
                  </a14:imgEffect>
                </a14:imgLayer>
              </a14:imgProps>
            </a:ext>
          </a:extLst>
        </a:blip>
        <a:stretch>
          <a:fillRect/>
        </a:stretch>
      </xdr:blipFill>
      <xdr:spPr>
        <a:xfrm>
          <a:off x="401420" y="29032675"/>
          <a:ext cx="722530" cy="351950"/>
        </a:xfrm>
        <a:prstGeom prst="rect">
          <a:avLst/>
        </a:prstGeom>
      </xdr:spPr>
    </xdr:pic>
    <xdr:clientData/>
  </xdr:oneCellAnchor>
  <mc:AlternateContent xmlns:mc="http://schemas.openxmlformats.org/markup-compatibility/2006">
    <mc:Choice xmlns:a14="http://schemas.microsoft.com/office/drawing/2010/main" Requires="a14">
      <xdr:twoCellAnchor editAs="oneCell">
        <xdr:from>
          <xdr:col>5</xdr:col>
          <xdr:colOff>19050</xdr:colOff>
          <xdr:row>9</xdr:row>
          <xdr:rowOff>9525</xdr:rowOff>
        </xdr:from>
        <xdr:to>
          <xdr:col>7</xdr:col>
          <xdr:colOff>400050</xdr:colOff>
          <xdr:row>9</xdr:row>
          <xdr:rowOff>209550</xdr:rowOff>
        </xdr:to>
        <xdr:sp macro="" textlink="">
          <xdr:nvSpPr>
            <xdr:cNvPr id="3079" name="Check Box 7" hidden="1">
              <a:extLst>
                <a:ext uri="{63B3BB69-23CF-44E3-9099-C40C66FF867C}">
                  <a14:compatExt spid="_x0000_s307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Officer Enhancer 35% A,D,H</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5</xdr:col>
          <xdr:colOff>19050</xdr:colOff>
          <xdr:row>10</xdr:row>
          <xdr:rowOff>19050</xdr:rowOff>
        </xdr:from>
        <xdr:to>
          <xdr:col>7</xdr:col>
          <xdr:colOff>95250</xdr:colOff>
          <xdr:row>10</xdr:row>
          <xdr:rowOff>200025</xdr:rowOff>
        </xdr:to>
        <xdr:sp macro="" textlink="">
          <xdr:nvSpPr>
            <xdr:cNvPr id="3085" name="Check Box 13" hidden="1">
              <a:extLst>
                <a:ext uri="{63B3BB69-23CF-44E3-9099-C40C66FF867C}">
                  <a14:compatExt spid="_x0000_s308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Adv Officer Enhancer A,D,H</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5</xdr:col>
          <xdr:colOff>19050</xdr:colOff>
          <xdr:row>6</xdr:row>
          <xdr:rowOff>200025</xdr:rowOff>
        </xdr:from>
        <xdr:to>
          <xdr:col>7</xdr:col>
          <xdr:colOff>400050</xdr:colOff>
          <xdr:row>7</xdr:row>
          <xdr:rowOff>180975</xdr:rowOff>
        </xdr:to>
        <xdr:sp macro="" textlink="">
          <xdr:nvSpPr>
            <xdr:cNvPr id="3088" name="Check Box 16" hidden="1">
              <a:extLst>
                <a:ext uri="{63B3BB69-23CF-44E3-9099-C40C66FF867C}">
                  <a14:compatExt spid="_x0000_s3088"/>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Officer Attack Enhancer 40%</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7</xdr:row>
          <xdr:rowOff>209550</xdr:rowOff>
        </xdr:from>
        <xdr:to>
          <xdr:col>7</xdr:col>
          <xdr:colOff>400050</xdr:colOff>
          <xdr:row>8</xdr:row>
          <xdr:rowOff>200025</xdr:rowOff>
        </xdr:to>
        <xdr:sp macro="" textlink="">
          <xdr:nvSpPr>
            <xdr:cNvPr id="3089" name="Check Box 17" hidden="1">
              <a:extLst>
                <a:ext uri="{63B3BB69-23CF-44E3-9099-C40C66FF867C}">
                  <a14:compatExt spid="_x0000_s308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Officer Defense Enhancer 40%</a:t>
              </a:r>
            </a:p>
          </xdr:txBody>
        </xdr:sp>
        <xdr:clientData fLock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20</xdr:col>
      <xdr:colOff>9525</xdr:colOff>
      <xdr:row>1</xdr:row>
      <xdr:rowOff>9524</xdr:rowOff>
    </xdr:from>
    <xdr:to>
      <xdr:col>22</xdr:col>
      <xdr:colOff>589188</xdr:colOff>
      <xdr:row>3</xdr:row>
      <xdr:rowOff>238125</xdr:rowOff>
    </xdr:to>
    <xdr:pic>
      <xdr:nvPicPr>
        <xdr:cNvPr id="13" name="Picture 12"/>
        <xdr:cNvPicPr>
          <a:picLocks noChangeAspect="1"/>
        </xdr:cNvPicPr>
      </xdr:nvPicPr>
      <xdr:blipFill>
        <a:blip xmlns:r="http://schemas.openxmlformats.org/officeDocument/2006/relationships" r:embed="rId1"/>
        <a:stretch>
          <a:fillRect/>
        </a:stretch>
      </xdr:blipFill>
      <xdr:spPr>
        <a:xfrm>
          <a:off x="12211050" y="9524"/>
          <a:ext cx="2256063" cy="695326"/>
        </a:xfrm>
        <a:prstGeom prst="rect">
          <a:avLst/>
        </a:prstGeom>
      </xdr:spPr>
    </xdr:pic>
    <xdr:clientData/>
  </xdr:twoCellAnchor>
  <xdr:twoCellAnchor editAs="oneCell">
    <xdr:from>
      <xdr:col>0</xdr:col>
      <xdr:colOff>0</xdr:colOff>
      <xdr:row>1</xdr:row>
      <xdr:rowOff>0</xdr:rowOff>
    </xdr:from>
    <xdr:to>
      <xdr:col>2</xdr:col>
      <xdr:colOff>744256</xdr:colOff>
      <xdr:row>4</xdr:row>
      <xdr:rowOff>2</xdr:rowOff>
    </xdr:to>
    <xdr:pic>
      <xdr:nvPicPr>
        <xdr:cNvPr id="14" name="Picture 13"/>
        <xdr:cNvPicPr>
          <a:picLocks noChangeAspect="1"/>
        </xdr:cNvPicPr>
      </xdr:nvPicPr>
      <xdr:blipFill>
        <a:blip xmlns:r="http://schemas.openxmlformats.org/officeDocument/2006/relationships" r:embed="rId2"/>
        <a:stretch>
          <a:fillRect/>
        </a:stretch>
      </xdr:blipFill>
      <xdr:spPr>
        <a:xfrm>
          <a:off x="0" y="0"/>
          <a:ext cx="1830106" cy="714377"/>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4</xdr:col>
          <xdr:colOff>171450</xdr:colOff>
          <xdr:row>9</xdr:row>
          <xdr:rowOff>152400</xdr:rowOff>
        </xdr:from>
        <xdr:to>
          <xdr:col>4</xdr:col>
          <xdr:colOff>400050</xdr:colOff>
          <xdr:row>11</xdr:row>
          <xdr:rowOff>28575</xdr:rowOff>
        </xdr:to>
        <xdr:sp macro="" textlink="">
          <xdr:nvSpPr>
            <xdr:cNvPr id="6148" name="Check Box 4" hidden="1">
              <a:extLst>
                <a:ext uri="{63B3BB69-23CF-44E3-9099-C40C66FF867C}">
                  <a14:compatExt spid="_x0000_s61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10</xdr:row>
          <xdr:rowOff>152400</xdr:rowOff>
        </xdr:from>
        <xdr:to>
          <xdr:col>4</xdr:col>
          <xdr:colOff>400050</xdr:colOff>
          <xdr:row>12</xdr:row>
          <xdr:rowOff>28575</xdr:rowOff>
        </xdr:to>
        <xdr:sp macro="" textlink="">
          <xdr:nvSpPr>
            <xdr:cNvPr id="6149" name="Check Box 5" hidden="1">
              <a:extLst>
                <a:ext uri="{63B3BB69-23CF-44E3-9099-C40C66FF867C}">
                  <a14:compatExt spid="_x0000_s61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171450</xdr:colOff>
          <xdr:row>9</xdr:row>
          <xdr:rowOff>152400</xdr:rowOff>
        </xdr:from>
        <xdr:to>
          <xdr:col>8</xdr:col>
          <xdr:colOff>400050</xdr:colOff>
          <xdr:row>11</xdr:row>
          <xdr:rowOff>28575</xdr:rowOff>
        </xdr:to>
        <xdr:sp macro="" textlink="">
          <xdr:nvSpPr>
            <xdr:cNvPr id="6150" name="Check Box 6" hidden="1">
              <a:extLst>
                <a:ext uri="{63B3BB69-23CF-44E3-9099-C40C66FF867C}">
                  <a14:compatExt spid="_x0000_s61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171450</xdr:colOff>
          <xdr:row>10</xdr:row>
          <xdr:rowOff>152400</xdr:rowOff>
        </xdr:from>
        <xdr:to>
          <xdr:col>8</xdr:col>
          <xdr:colOff>400050</xdr:colOff>
          <xdr:row>12</xdr:row>
          <xdr:rowOff>28575</xdr:rowOff>
        </xdr:to>
        <xdr:sp macro="" textlink="">
          <xdr:nvSpPr>
            <xdr:cNvPr id="6151" name="Check Box 7" hidden="1">
              <a:extLst>
                <a:ext uri="{63B3BB69-23CF-44E3-9099-C40C66FF867C}">
                  <a14:compatExt spid="_x0000_s61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171450</xdr:colOff>
          <xdr:row>11</xdr:row>
          <xdr:rowOff>152400</xdr:rowOff>
        </xdr:from>
        <xdr:to>
          <xdr:col>8</xdr:col>
          <xdr:colOff>400050</xdr:colOff>
          <xdr:row>13</xdr:row>
          <xdr:rowOff>28575</xdr:rowOff>
        </xdr:to>
        <xdr:sp macro="" textlink="">
          <xdr:nvSpPr>
            <xdr:cNvPr id="6152" name="Check Box 8" hidden="1">
              <a:extLst>
                <a:ext uri="{63B3BB69-23CF-44E3-9099-C40C66FF867C}">
                  <a14:compatExt spid="_x0000_s61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171450</xdr:colOff>
          <xdr:row>9</xdr:row>
          <xdr:rowOff>152400</xdr:rowOff>
        </xdr:from>
        <xdr:to>
          <xdr:col>12</xdr:col>
          <xdr:colOff>400050</xdr:colOff>
          <xdr:row>11</xdr:row>
          <xdr:rowOff>28575</xdr:rowOff>
        </xdr:to>
        <xdr:sp macro="" textlink="">
          <xdr:nvSpPr>
            <xdr:cNvPr id="6153" name="Check Box 9" hidden="1">
              <a:extLst>
                <a:ext uri="{63B3BB69-23CF-44E3-9099-C40C66FF867C}">
                  <a14:compatExt spid="_x0000_s61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171450</xdr:colOff>
          <xdr:row>10</xdr:row>
          <xdr:rowOff>152400</xdr:rowOff>
        </xdr:from>
        <xdr:to>
          <xdr:col>12</xdr:col>
          <xdr:colOff>400050</xdr:colOff>
          <xdr:row>12</xdr:row>
          <xdr:rowOff>28575</xdr:rowOff>
        </xdr:to>
        <xdr:sp macro="" textlink="">
          <xdr:nvSpPr>
            <xdr:cNvPr id="6154" name="Check Box 10" hidden="1">
              <a:extLst>
                <a:ext uri="{63B3BB69-23CF-44E3-9099-C40C66FF867C}">
                  <a14:compatExt spid="_x0000_s61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171450</xdr:colOff>
          <xdr:row>9</xdr:row>
          <xdr:rowOff>152400</xdr:rowOff>
        </xdr:from>
        <xdr:to>
          <xdr:col>12</xdr:col>
          <xdr:colOff>400050</xdr:colOff>
          <xdr:row>11</xdr:row>
          <xdr:rowOff>28575</xdr:rowOff>
        </xdr:to>
        <xdr:sp macro="" textlink="">
          <xdr:nvSpPr>
            <xdr:cNvPr id="6155" name="Check Box 11" hidden="1">
              <a:extLst>
                <a:ext uri="{63B3BB69-23CF-44E3-9099-C40C66FF867C}">
                  <a14:compatExt spid="_x0000_s61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171450</xdr:colOff>
          <xdr:row>10</xdr:row>
          <xdr:rowOff>152400</xdr:rowOff>
        </xdr:from>
        <xdr:to>
          <xdr:col>12</xdr:col>
          <xdr:colOff>400050</xdr:colOff>
          <xdr:row>12</xdr:row>
          <xdr:rowOff>28575</xdr:rowOff>
        </xdr:to>
        <xdr:sp macro="" textlink="">
          <xdr:nvSpPr>
            <xdr:cNvPr id="6156" name="Check Box 12" hidden="1">
              <a:extLst>
                <a:ext uri="{63B3BB69-23CF-44E3-9099-C40C66FF867C}">
                  <a14:compatExt spid="_x0000_s61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171450</xdr:colOff>
          <xdr:row>11</xdr:row>
          <xdr:rowOff>152400</xdr:rowOff>
        </xdr:from>
        <xdr:to>
          <xdr:col>12</xdr:col>
          <xdr:colOff>400050</xdr:colOff>
          <xdr:row>13</xdr:row>
          <xdr:rowOff>28575</xdr:rowOff>
        </xdr:to>
        <xdr:sp macro="" textlink="">
          <xdr:nvSpPr>
            <xdr:cNvPr id="6157" name="Check Box 13" hidden="1">
              <a:extLst>
                <a:ext uri="{63B3BB69-23CF-44E3-9099-C40C66FF867C}">
                  <a14:compatExt spid="_x0000_s61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171450</xdr:colOff>
          <xdr:row>12</xdr:row>
          <xdr:rowOff>152400</xdr:rowOff>
        </xdr:from>
        <xdr:to>
          <xdr:col>12</xdr:col>
          <xdr:colOff>400050</xdr:colOff>
          <xdr:row>14</xdr:row>
          <xdr:rowOff>28575</xdr:rowOff>
        </xdr:to>
        <xdr:sp macro="" textlink="">
          <xdr:nvSpPr>
            <xdr:cNvPr id="6158" name="Check Box 14" hidden="1">
              <a:extLst>
                <a:ext uri="{63B3BB69-23CF-44E3-9099-C40C66FF867C}">
                  <a14:compatExt spid="_x0000_s61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171450</xdr:colOff>
          <xdr:row>13</xdr:row>
          <xdr:rowOff>152400</xdr:rowOff>
        </xdr:from>
        <xdr:to>
          <xdr:col>12</xdr:col>
          <xdr:colOff>400050</xdr:colOff>
          <xdr:row>15</xdr:row>
          <xdr:rowOff>28575</xdr:rowOff>
        </xdr:to>
        <xdr:sp macro="" textlink="">
          <xdr:nvSpPr>
            <xdr:cNvPr id="6159" name="Check Box 15" hidden="1">
              <a:extLst>
                <a:ext uri="{63B3BB69-23CF-44E3-9099-C40C66FF867C}">
                  <a14:compatExt spid="_x0000_s61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171450</xdr:colOff>
          <xdr:row>12</xdr:row>
          <xdr:rowOff>152400</xdr:rowOff>
        </xdr:from>
        <xdr:to>
          <xdr:col>8</xdr:col>
          <xdr:colOff>400050</xdr:colOff>
          <xdr:row>14</xdr:row>
          <xdr:rowOff>28575</xdr:rowOff>
        </xdr:to>
        <xdr:sp macro="" textlink="">
          <xdr:nvSpPr>
            <xdr:cNvPr id="6160" name="Check Box 16" hidden="1">
              <a:extLst>
                <a:ext uri="{63B3BB69-23CF-44E3-9099-C40C66FF867C}">
                  <a14:compatExt spid="_x0000_s61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171450</xdr:colOff>
          <xdr:row>13</xdr:row>
          <xdr:rowOff>152400</xdr:rowOff>
        </xdr:from>
        <xdr:to>
          <xdr:col>8</xdr:col>
          <xdr:colOff>400050</xdr:colOff>
          <xdr:row>15</xdr:row>
          <xdr:rowOff>28575</xdr:rowOff>
        </xdr:to>
        <xdr:sp macro="" textlink="">
          <xdr:nvSpPr>
            <xdr:cNvPr id="6161" name="Check Box 17" hidden="1">
              <a:extLst>
                <a:ext uri="{63B3BB69-23CF-44E3-9099-C40C66FF867C}">
                  <a14:compatExt spid="_x0000_s61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171450</xdr:colOff>
          <xdr:row>14</xdr:row>
          <xdr:rowOff>152400</xdr:rowOff>
        </xdr:from>
        <xdr:to>
          <xdr:col>8</xdr:col>
          <xdr:colOff>400050</xdr:colOff>
          <xdr:row>16</xdr:row>
          <xdr:rowOff>9525</xdr:rowOff>
        </xdr:to>
        <xdr:sp macro="" textlink="">
          <xdr:nvSpPr>
            <xdr:cNvPr id="6162" name="Check Box 18" hidden="1">
              <a:extLst>
                <a:ext uri="{63B3BB69-23CF-44E3-9099-C40C66FF867C}">
                  <a14:compatExt spid="_x0000_s61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171450</xdr:colOff>
          <xdr:row>9</xdr:row>
          <xdr:rowOff>152400</xdr:rowOff>
        </xdr:from>
        <xdr:to>
          <xdr:col>16</xdr:col>
          <xdr:colOff>400050</xdr:colOff>
          <xdr:row>11</xdr:row>
          <xdr:rowOff>28575</xdr:rowOff>
        </xdr:to>
        <xdr:sp macro="" textlink="">
          <xdr:nvSpPr>
            <xdr:cNvPr id="6163" name="Check Box 19" hidden="1">
              <a:extLst>
                <a:ext uri="{63B3BB69-23CF-44E3-9099-C40C66FF867C}">
                  <a14:compatExt spid="_x0000_s61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171450</xdr:colOff>
          <xdr:row>10</xdr:row>
          <xdr:rowOff>152400</xdr:rowOff>
        </xdr:from>
        <xdr:to>
          <xdr:col>16</xdr:col>
          <xdr:colOff>400050</xdr:colOff>
          <xdr:row>12</xdr:row>
          <xdr:rowOff>28575</xdr:rowOff>
        </xdr:to>
        <xdr:sp macro="" textlink="">
          <xdr:nvSpPr>
            <xdr:cNvPr id="6164" name="Check Box 20" hidden="1">
              <a:extLst>
                <a:ext uri="{63B3BB69-23CF-44E3-9099-C40C66FF867C}">
                  <a14:compatExt spid="_x0000_s61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171450</xdr:colOff>
          <xdr:row>9</xdr:row>
          <xdr:rowOff>152400</xdr:rowOff>
        </xdr:from>
        <xdr:to>
          <xdr:col>16</xdr:col>
          <xdr:colOff>400050</xdr:colOff>
          <xdr:row>11</xdr:row>
          <xdr:rowOff>28575</xdr:rowOff>
        </xdr:to>
        <xdr:sp macro="" textlink="">
          <xdr:nvSpPr>
            <xdr:cNvPr id="6165" name="Check Box 21" hidden="1">
              <a:extLst>
                <a:ext uri="{63B3BB69-23CF-44E3-9099-C40C66FF867C}">
                  <a14:compatExt spid="_x0000_s61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171450</xdr:colOff>
          <xdr:row>10</xdr:row>
          <xdr:rowOff>152400</xdr:rowOff>
        </xdr:from>
        <xdr:to>
          <xdr:col>16</xdr:col>
          <xdr:colOff>400050</xdr:colOff>
          <xdr:row>12</xdr:row>
          <xdr:rowOff>28575</xdr:rowOff>
        </xdr:to>
        <xdr:sp macro="" textlink="">
          <xdr:nvSpPr>
            <xdr:cNvPr id="6166" name="Check Box 22" hidden="1">
              <a:extLst>
                <a:ext uri="{63B3BB69-23CF-44E3-9099-C40C66FF867C}">
                  <a14:compatExt spid="_x0000_s61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171450</xdr:colOff>
          <xdr:row>11</xdr:row>
          <xdr:rowOff>152400</xdr:rowOff>
        </xdr:from>
        <xdr:to>
          <xdr:col>16</xdr:col>
          <xdr:colOff>400050</xdr:colOff>
          <xdr:row>13</xdr:row>
          <xdr:rowOff>28575</xdr:rowOff>
        </xdr:to>
        <xdr:sp macro="" textlink="">
          <xdr:nvSpPr>
            <xdr:cNvPr id="6167" name="Check Box 23" hidden="1">
              <a:extLst>
                <a:ext uri="{63B3BB69-23CF-44E3-9099-C40C66FF867C}">
                  <a14:compatExt spid="_x0000_s61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171450</xdr:colOff>
          <xdr:row>12</xdr:row>
          <xdr:rowOff>152400</xdr:rowOff>
        </xdr:from>
        <xdr:to>
          <xdr:col>16</xdr:col>
          <xdr:colOff>400050</xdr:colOff>
          <xdr:row>14</xdr:row>
          <xdr:rowOff>28575</xdr:rowOff>
        </xdr:to>
        <xdr:sp macro="" textlink="">
          <xdr:nvSpPr>
            <xdr:cNvPr id="6168" name="Check Box 24" hidden="1">
              <a:extLst>
                <a:ext uri="{63B3BB69-23CF-44E3-9099-C40C66FF867C}">
                  <a14:compatExt spid="_x0000_s61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12</xdr:row>
          <xdr:rowOff>152400</xdr:rowOff>
        </xdr:from>
        <xdr:to>
          <xdr:col>4</xdr:col>
          <xdr:colOff>400050</xdr:colOff>
          <xdr:row>14</xdr:row>
          <xdr:rowOff>28575</xdr:rowOff>
        </xdr:to>
        <xdr:sp macro="" textlink="">
          <xdr:nvSpPr>
            <xdr:cNvPr id="6170" name="Check Box 26" hidden="1">
              <a:extLst>
                <a:ext uri="{63B3BB69-23CF-44E3-9099-C40C66FF867C}">
                  <a14:compatExt spid="_x0000_s61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13</xdr:row>
          <xdr:rowOff>152400</xdr:rowOff>
        </xdr:from>
        <xdr:to>
          <xdr:col>4</xdr:col>
          <xdr:colOff>400050</xdr:colOff>
          <xdr:row>15</xdr:row>
          <xdr:rowOff>28575</xdr:rowOff>
        </xdr:to>
        <xdr:sp macro="" textlink="">
          <xdr:nvSpPr>
            <xdr:cNvPr id="6171" name="Check Box 27" hidden="1">
              <a:extLst>
                <a:ext uri="{63B3BB69-23CF-44E3-9099-C40C66FF867C}">
                  <a14:compatExt spid="_x0000_s6171"/>
                </a:ext>
              </a:extLst>
            </xdr:cNvPr>
            <xdr:cNvSpPr/>
          </xdr:nvSpPr>
          <xdr:spPr>
            <a:xfrm>
              <a:off x="0" y="0"/>
              <a:ext cx="0" cy="0"/>
            </a:xfrm>
            <a:prstGeom prst="rect">
              <a:avLst/>
            </a:prstGeom>
          </xdr:spPr>
        </xdr:sp>
        <xdr:clientData/>
      </xdr:twoCellAnchor>
    </mc:Choice>
    <mc:Fallback/>
  </mc:AlternateContent>
  <xdr:twoCellAnchor editAs="oneCell">
    <xdr:from>
      <xdr:col>0</xdr:col>
      <xdr:colOff>0</xdr:colOff>
      <xdr:row>15</xdr:row>
      <xdr:rowOff>19051</xdr:rowOff>
    </xdr:from>
    <xdr:to>
      <xdr:col>2</xdr:col>
      <xdr:colOff>733424</xdr:colOff>
      <xdr:row>18</xdr:row>
      <xdr:rowOff>209551</xdr:rowOff>
    </xdr:to>
    <xdr:pic>
      <xdr:nvPicPr>
        <xdr:cNvPr id="53" name="Picture 52"/>
        <xdr:cNvPicPr>
          <a:picLocks noChangeAspect="1"/>
        </xdr:cNvPicPr>
      </xdr:nvPicPr>
      <xdr:blipFill>
        <a:blip xmlns:r="http://schemas.openxmlformats.org/officeDocument/2006/relationships" r:embed="rId3">
          <a:duotone>
            <a:prstClr val="black"/>
            <a:srgbClr val="9999CC">
              <a:tint val="45000"/>
              <a:satMod val="400000"/>
            </a:srgbClr>
          </a:duotone>
        </a:blip>
        <a:stretch>
          <a:fillRect/>
        </a:stretch>
      </xdr:blipFill>
      <xdr:spPr>
        <a:xfrm>
          <a:off x="0" y="2981326"/>
          <a:ext cx="1819274" cy="723900"/>
        </a:xfrm>
        <a:prstGeom prst="rect">
          <a:avLst/>
        </a:prstGeom>
      </xdr:spPr>
    </xdr:pic>
    <xdr:clientData/>
  </xdr:twoCellAnchor>
  <xdr:twoCellAnchor editAs="oneCell">
    <xdr:from>
      <xdr:col>20</xdr:col>
      <xdr:colOff>9524</xdr:colOff>
      <xdr:row>15</xdr:row>
      <xdr:rowOff>9525</xdr:rowOff>
    </xdr:from>
    <xdr:to>
      <xdr:col>23</xdr:col>
      <xdr:colOff>6349</xdr:colOff>
      <xdr:row>19</xdr:row>
      <xdr:rowOff>0</xdr:rowOff>
    </xdr:to>
    <xdr:pic>
      <xdr:nvPicPr>
        <xdr:cNvPr id="54" name="Picture 53"/>
        <xdr:cNvPicPr>
          <a:picLocks noChangeAspect="1"/>
        </xdr:cNvPicPr>
      </xdr:nvPicPr>
      <xdr:blipFill>
        <a:blip xmlns:r="http://schemas.openxmlformats.org/officeDocument/2006/relationships" r:embed="rId4"/>
        <a:stretch>
          <a:fillRect/>
        </a:stretch>
      </xdr:blipFill>
      <xdr:spPr>
        <a:xfrm>
          <a:off x="12211049" y="2971800"/>
          <a:ext cx="2282825" cy="7429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8</xdr:col>
          <xdr:colOff>171450</xdr:colOff>
          <xdr:row>15</xdr:row>
          <xdr:rowOff>152400</xdr:rowOff>
        </xdr:from>
        <xdr:to>
          <xdr:col>8</xdr:col>
          <xdr:colOff>400050</xdr:colOff>
          <xdr:row>17</xdr:row>
          <xdr:rowOff>0</xdr:rowOff>
        </xdr:to>
        <xdr:sp macro="" textlink="">
          <xdr:nvSpPr>
            <xdr:cNvPr id="6179" name="Check Box 35" hidden="1">
              <a:extLst>
                <a:ext uri="{63B3BB69-23CF-44E3-9099-C40C66FF867C}">
                  <a14:compatExt spid="_x0000_s6179"/>
                </a:ext>
              </a:extLst>
            </xdr:cNvPr>
            <xdr:cNvSpPr/>
          </xdr:nvSpPr>
          <xdr:spPr>
            <a:xfrm>
              <a:off x="0" y="0"/>
              <a:ext cx="0" cy="0"/>
            </a:xfrm>
            <a:prstGeom prst="rect">
              <a:avLst/>
            </a:prstGeom>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20</xdr:col>
      <xdr:colOff>9525</xdr:colOff>
      <xdr:row>1</xdr:row>
      <xdr:rowOff>9524</xdr:rowOff>
    </xdr:from>
    <xdr:to>
      <xdr:col>22</xdr:col>
      <xdr:colOff>589188</xdr:colOff>
      <xdr:row>3</xdr:row>
      <xdr:rowOff>238125</xdr:rowOff>
    </xdr:to>
    <xdr:pic>
      <xdr:nvPicPr>
        <xdr:cNvPr id="2" name="Picture 1"/>
        <xdr:cNvPicPr>
          <a:picLocks noChangeAspect="1"/>
        </xdr:cNvPicPr>
      </xdr:nvPicPr>
      <xdr:blipFill>
        <a:blip xmlns:r="http://schemas.openxmlformats.org/officeDocument/2006/relationships" r:embed="rId1"/>
        <a:stretch>
          <a:fillRect/>
        </a:stretch>
      </xdr:blipFill>
      <xdr:spPr>
        <a:xfrm>
          <a:off x="12211050" y="85724"/>
          <a:ext cx="2256063" cy="695326"/>
        </a:xfrm>
        <a:prstGeom prst="rect">
          <a:avLst/>
        </a:prstGeom>
      </xdr:spPr>
    </xdr:pic>
    <xdr:clientData/>
  </xdr:twoCellAnchor>
  <xdr:twoCellAnchor editAs="oneCell">
    <xdr:from>
      <xdr:col>0</xdr:col>
      <xdr:colOff>0</xdr:colOff>
      <xdr:row>1</xdr:row>
      <xdr:rowOff>0</xdr:rowOff>
    </xdr:from>
    <xdr:to>
      <xdr:col>2</xdr:col>
      <xdr:colOff>744256</xdr:colOff>
      <xdr:row>4</xdr:row>
      <xdr:rowOff>2</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76200"/>
          <a:ext cx="1830106" cy="714377"/>
        </a:xfrm>
        <a:prstGeom prst="rect">
          <a:avLst/>
        </a:prstGeom>
      </xdr:spPr>
    </xdr:pic>
    <xdr:clientData/>
  </xdr:twoCellAnchor>
  <xdr:twoCellAnchor editAs="oneCell">
    <xdr:from>
      <xdr:col>0</xdr:col>
      <xdr:colOff>0</xdr:colOff>
      <xdr:row>15</xdr:row>
      <xdr:rowOff>19051</xdr:rowOff>
    </xdr:from>
    <xdr:to>
      <xdr:col>2</xdr:col>
      <xdr:colOff>733424</xdr:colOff>
      <xdr:row>18</xdr:row>
      <xdr:rowOff>209551</xdr:rowOff>
    </xdr:to>
    <xdr:pic>
      <xdr:nvPicPr>
        <xdr:cNvPr id="27" name="Picture 26"/>
        <xdr:cNvPicPr>
          <a:picLocks noChangeAspect="1"/>
        </xdr:cNvPicPr>
      </xdr:nvPicPr>
      <xdr:blipFill>
        <a:blip xmlns:r="http://schemas.openxmlformats.org/officeDocument/2006/relationships" r:embed="rId3">
          <a:duotone>
            <a:prstClr val="black"/>
            <a:srgbClr val="9999CC">
              <a:tint val="45000"/>
              <a:satMod val="400000"/>
            </a:srgbClr>
          </a:duotone>
        </a:blip>
        <a:stretch>
          <a:fillRect/>
        </a:stretch>
      </xdr:blipFill>
      <xdr:spPr>
        <a:xfrm>
          <a:off x="0" y="3057526"/>
          <a:ext cx="1819274" cy="723900"/>
        </a:xfrm>
        <a:prstGeom prst="rect">
          <a:avLst/>
        </a:prstGeom>
      </xdr:spPr>
    </xdr:pic>
    <xdr:clientData/>
  </xdr:twoCellAnchor>
  <xdr:twoCellAnchor editAs="oneCell">
    <xdr:from>
      <xdr:col>20</xdr:col>
      <xdr:colOff>9524</xdr:colOff>
      <xdr:row>15</xdr:row>
      <xdr:rowOff>9525</xdr:rowOff>
    </xdr:from>
    <xdr:to>
      <xdr:col>23</xdr:col>
      <xdr:colOff>6349</xdr:colOff>
      <xdr:row>19</xdr:row>
      <xdr:rowOff>0</xdr:rowOff>
    </xdr:to>
    <xdr:pic>
      <xdr:nvPicPr>
        <xdr:cNvPr id="28" name="Picture 27"/>
        <xdr:cNvPicPr>
          <a:picLocks noChangeAspect="1"/>
        </xdr:cNvPicPr>
      </xdr:nvPicPr>
      <xdr:blipFill>
        <a:blip xmlns:r="http://schemas.openxmlformats.org/officeDocument/2006/relationships" r:embed="rId4"/>
        <a:stretch>
          <a:fillRect/>
        </a:stretch>
      </xdr:blipFill>
      <xdr:spPr>
        <a:xfrm>
          <a:off x="12211049" y="3048000"/>
          <a:ext cx="2282825" cy="742950"/>
        </a:xfrm>
        <a:prstGeom prst="rect">
          <a:avLst/>
        </a:prstGeom>
      </xdr:spPr>
    </xdr:pic>
    <xdr:clientData/>
  </xdr:twoCellAnchor>
  <xdr:oneCellAnchor>
    <xdr:from>
      <xdr:col>23</xdr:col>
      <xdr:colOff>31164</xdr:colOff>
      <xdr:row>88</xdr:row>
      <xdr:rowOff>0</xdr:rowOff>
    </xdr:from>
    <xdr:ext cx="362135" cy="355428"/>
    <xdr:pic>
      <xdr:nvPicPr>
        <xdr:cNvPr id="30" name="Picture 29"/>
        <xdr:cNvPicPr>
          <a:picLocks noChangeAspect="1"/>
        </xdr:cNvPicPr>
      </xdr:nvPicPr>
      <xdr:blipFill>
        <a:blip xmlns:r="http://schemas.openxmlformats.org/officeDocument/2006/relationships" r:embed="rId5"/>
        <a:stretch>
          <a:fillRect/>
        </a:stretch>
      </xdr:blipFill>
      <xdr:spPr>
        <a:xfrm>
          <a:off x="15823614" y="34385250"/>
          <a:ext cx="362135" cy="355428"/>
        </a:xfrm>
        <a:prstGeom prst="rect">
          <a:avLst/>
        </a:prstGeom>
      </xdr:spPr>
    </xdr:pic>
    <xdr:clientData/>
  </xdr:oneCellAnchor>
  <xdr:oneCellAnchor>
    <xdr:from>
      <xdr:col>0</xdr:col>
      <xdr:colOff>0</xdr:colOff>
      <xdr:row>88</xdr:row>
      <xdr:rowOff>0</xdr:rowOff>
    </xdr:from>
    <xdr:ext cx="368840" cy="355428"/>
    <xdr:pic>
      <xdr:nvPicPr>
        <xdr:cNvPr id="31" name="Picture 30"/>
        <xdr:cNvPicPr>
          <a:picLocks noChangeAspect="1"/>
        </xdr:cNvPicPr>
      </xdr:nvPicPr>
      <xdr:blipFill>
        <a:blip xmlns:r="http://schemas.openxmlformats.org/officeDocument/2006/relationships" r:embed="rId6"/>
        <a:stretch>
          <a:fillRect/>
        </a:stretch>
      </xdr:blipFill>
      <xdr:spPr>
        <a:xfrm>
          <a:off x="0" y="34385250"/>
          <a:ext cx="368840" cy="355428"/>
        </a:xfrm>
        <a:prstGeom prst="rect">
          <a:avLst/>
        </a:prstGeom>
      </xdr:spPr>
    </xdr:pic>
    <xdr:clientData/>
  </xdr:oneCellAnchor>
  <xdr:oneCellAnchor>
    <xdr:from>
      <xdr:col>0</xdr:col>
      <xdr:colOff>401420</xdr:colOff>
      <xdr:row>88</xdr:row>
      <xdr:rowOff>475</xdr:rowOff>
    </xdr:from>
    <xdr:ext cx="722530" cy="351950"/>
    <xdr:pic>
      <xdr:nvPicPr>
        <xdr:cNvPr id="32" name="Picture 31"/>
        <xdr:cNvPicPr>
          <a:picLocks noChangeAspect="1"/>
        </xdr:cNvPicPr>
      </xdr:nvPicPr>
      <xdr:blipFill>
        <a:blip xmlns:r="http://schemas.openxmlformats.org/officeDocument/2006/relationships" r:embed="rId7">
          <a:duotone>
            <a:prstClr val="black"/>
            <a:srgbClr val="BF90BF">
              <a:tint val="45000"/>
              <a:satMod val="400000"/>
            </a:srgbClr>
          </a:duotone>
          <a:extLst>
            <a:ext uri="{BEBA8EAE-BF5A-486C-A8C5-ECC9F3942E4B}">
              <a14:imgProps xmlns:a14="http://schemas.microsoft.com/office/drawing/2010/main">
                <a14:imgLayer r:embed="rId8">
                  <a14:imgEffect>
                    <a14:brightnessContrast bright="20000" contrast="-20000"/>
                  </a14:imgEffect>
                </a14:imgLayer>
              </a14:imgProps>
            </a:ext>
          </a:extLst>
        </a:blip>
        <a:stretch>
          <a:fillRect/>
        </a:stretch>
      </xdr:blipFill>
      <xdr:spPr>
        <a:xfrm>
          <a:off x="401420" y="34385725"/>
          <a:ext cx="722530" cy="351950"/>
        </a:xfrm>
        <a:prstGeom prst="rect">
          <a:avLst/>
        </a:prstGeom>
      </xdr:spPr>
    </xdr:pic>
    <xdr:clientData/>
  </xdr:oneCellAnchor>
  <xdr:oneCellAnchor>
    <xdr:from>
      <xdr:col>0</xdr:col>
      <xdr:colOff>401420</xdr:colOff>
      <xdr:row>88</xdr:row>
      <xdr:rowOff>475</xdr:rowOff>
    </xdr:from>
    <xdr:ext cx="722530" cy="351950"/>
    <xdr:pic>
      <xdr:nvPicPr>
        <xdr:cNvPr id="33" name="Picture 32"/>
        <xdr:cNvPicPr>
          <a:picLocks noChangeAspect="1"/>
        </xdr:cNvPicPr>
      </xdr:nvPicPr>
      <xdr:blipFill>
        <a:blip xmlns:r="http://schemas.openxmlformats.org/officeDocument/2006/relationships" r:embed="rId7">
          <a:duotone>
            <a:prstClr val="black"/>
            <a:srgbClr val="BF90BF">
              <a:tint val="45000"/>
              <a:satMod val="400000"/>
            </a:srgbClr>
          </a:duotone>
          <a:extLst>
            <a:ext uri="{BEBA8EAE-BF5A-486C-A8C5-ECC9F3942E4B}">
              <a14:imgProps xmlns:a14="http://schemas.microsoft.com/office/drawing/2010/main">
                <a14:imgLayer r:embed="rId8">
                  <a14:imgEffect>
                    <a14:brightnessContrast bright="20000" contrast="-20000"/>
                  </a14:imgEffect>
                </a14:imgLayer>
              </a14:imgProps>
            </a:ext>
          </a:extLst>
        </a:blip>
        <a:stretch>
          <a:fillRect/>
        </a:stretch>
      </xdr:blipFill>
      <xdr:spPr>
        <a:xfrm>
          <a:off x="401420" y="34385725"/>
          <a:ext cx="722530" cy="35195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xdr:col>
      <xdr:colOff>744256</xdr:colOff>
      <xdr:row>4</xdr:row>
      <xdr:rowOff>2</xdr:rowOff>
    </xdr:to>
    <xdr:pic>
      <xdr:nvPicPr>
        <xdr:cNvPr id="7" name="Picture 6"/>
        <xdr:cNvPicPr>
          <a:picLocks noChangeAspect="1"/>
        </xdr:cNvPicPr>
      </xdr:nvPicPr>
      <xdr:blipFill>
        <a:blip xmlns:r="http://schemas.openxmlformats.org/officeDocument/2006/relationships" r:embed="rId1"/>
        <a:stretch>
          <a:fillRect/>
        </a:stretch>
      </xdr:blipFill>
      <xdr:spPr>
        <a:xfrm>
          <a:off x="0" y="76200"/>
          <a:ext cx="1830106" cy="714377"/>
        </a:xfrm>
        <a:prstGeom prst="rect">
          <a:avLst/>
        </a:prstGeom>
      </xdr:spPr>
    </xdr:pic>
    <xdr:clientData/>
  </xdr:twoCellAnchor>
  <xdr:twoCellAnchor editAs="oneCell">
    <xdr:from>
      <xdr:col>0</xdr:col>
      <xdr:colOff>0</xdr:colOff>
      <xdr:row>19</xdr:row>
      <xdr:rowOff>19051</xdr:rowOff>
    </xdr:from>
    <xdr:to>
      <xdr:col>2</xdr:col>
      <xdr:colOff>742949</xdr:colOff>
      <xdr:row>23</xdr:row>
      <xdr:rowOff>1</xdr:rowOff>
    </xdr:to>
    <xdr:pic>
      <xdr:nvPicPr>
        <xdr:cNvPr id="8" name="Picture 7"/>
        <xdr:cNvPicPr>
          <a:picLocks noChangeAspect="1"/>
        </xdr:cNvPicPr>
      </xdr:nvPicPr>
      <xdr:blipFill>
        <a:blip xmlns:r="http://schemas.openxmlformats.org/officeDocument/2006/relationships" r:embed="rId2">
          <a:duotone>
            <a:prstClr val="black"/>
            <a:srgbClr val="9999CC">
              <a:tint val="45000"/>
              <a:satMod val="400000"/>
            </a:srgbClr>
          </a:duotone>
        </a:blip>
        <a:stretch>
          <a:fillRect/>
        </a:stretch>
      </xdr:blipFill>
      <xdr:spPr>
        <a:xfrm>
          <a:off x="0" y="3057526"/>
          <a:ext cx="1819274" cy="723900"/>
        </a:xfrm>
        <a:prstGeom prst="rect">
          <a:avLst/>
        </a:prstGeom>
      </xdr:spPr>
    </xdr:pic>
    <xdr:clientData/>
  </xdr:twoCellAnchor>
  <xdr:oneCellAnchor>
    <xdr:from>
      <xdr:col>23</xdr:col>
      <xdr:colOff>31164</xdr:colOff>
      <xdr:row>183</xdr:row>
      <xdr:rowOff>0</xdr:rowOff>
    </xdr:from>
    <xdr:ext cx="362135" cy="355428"/>
    <xdr:pic>
      <xdr:nvPicPr>
        <xdr:cNvPr id="10" name="Picture 9"/>
        <xdr:cNvPicPr>
          <a:picLocks noChangeAspect="1"/>
        </xdr:cNvPicPr>
      </xdr:nvPicPr>
      <xdr:blipFill>
        <a:blip xmlns:r="http://schemas.openxmlformats.org/officeDocument/2006/relationships" r:embed="rId3"/>
        <a:stretch>
          <a:fillRect/>
        </a:stretch>
      </xdr:blipFill>
      <xdr:spPr>
        <a:xfrm>
          <a:off x="14518689" y="14878050"/>
          <a:ext cx="362135" cy="355428"/>
        </a:xfrm>
        <a:prstGeom prst="rect">
          <a:avLst/>
        </a:prstGeom>
      </xdr:spPr>
    </xdr:pic>
    <xdr:clientData/>
  </xdr:oneCellAnchor>
  <xdr:oneCellAnchor>
    <xdr:from>
      <xdr:col>0</xdr:col>
      <xdr:colOff>0</xdr:colOff>
      <xdr:row>183</xdr:row>
      <xdr:rowOff>0</xdr:rowOff>
    </xdr:from>
    <xdr:ext cx="368840" cy="355428"/>
    <xdr:pic>
      <xdr:nvPicPr>
        <xdr:cNvPr id="11" name="Picture 10"/>
        <xdr:cNvPicPr>
          <a:picLocks noChangeAspect="1"/>
        </xdr:cNvPicPr>
      </xdr:nvPicPr>
      <xdr:blipFill>
        <a:blip xmlns:r="http://schemas.openxmlformats.org/officeDocument/2006/relationships" r:embed="rId4"/>
        <a:stretch>
          <a:fillRect/>
        </a:stretch>
      </xdr:blipFill>
      <xdr:spPr>
        <a:xfrm>
          <a:off x="0" y="14878050"/>
          <a:ext cx="368840" cy="355428"/>
        </a:xfrm>
        <a:prstGeom prst="rect">
          <a:avLst/>
        </a:prstGeom>
      </xdr:spPr>
    </xdr:pic>
    <xdr:clientData/>
  </xdr:oneCellAnchor>
  <xdr:oneCellAnchor>
    <xdr:from>
      <xdr:col>0</xdr:col>
      <xdr:colOff>401420</xdr:colOff>
      <xdr:row>183</xdr:row>
      <xdr:rowOff>475</xdr:rowOff>
    </xdr:from>
    <xdr:ext cx="722530" cy="351950"/>
    <xdr:pic>
      <xdr:nvPicPr>
        <xdr:cNvPr id="12" name="Picture 11"/>
        <xdr:cNvPicPr>
          <a:picLocks noChangeAspect="1"/>
        </xdr:cNvPicPr>
      </xdr:nvPicPr>
      <xdr:blipFill>
        <a:blip xmlns:r="http://schemas.openxmlformats.org/officeDocument/2006/relationships" r:embed="rId5">
          <a:duotone>
            <a:prstClr val="black"/>
            <a:srgbClr val="BF90BF">
              <a:tint val="45000"/>
              <a:satMod val="400000"/>
            </a:srgbClr>
          </a:duotone>
          <a:extLst>
            <a:ext uri="{BEBA8EAE-BF5A-486C-A8C5-ECC9F3942E4B}">
              <a14:imgProps xmlns:a14="http://schemas.microsoft.com/office/drawing/2010/main">
                <a14:imgLayer r:embed="rId6">
                  <a14:imgEffect>
                    <a14:brightnessContrast bright="20000" contrast="-20000"/>
                  </a14:imgEffect>
                </a14:imgLayer>
              </a14:imgProps>
            </a:ext>
          </a:extLst>
        </a:blip>
        <a:stretch>
          <a:fillRect/>
        </a:stretch>
      </xdr:blipFill>
      <xdr:spPr>
        <a:xfrm>
          <a:off x="401420" y="14878525"/>
          <a:ext cx="722530" cy="351950"/>
        </a:xfrm>
        <a:prstGeom prst="rect">
          <a:avLst/>
        </a:prstGeom>
      </xdr:spPr>
    </xdr:pic>
    <xdr:clientData/>
  </xdr:oneCellAnchor>
  <xdr:oneCellAnchor>
    <xdr:from>
      <xdr:col>0</xdr:col>
      <xdr:colOff>401420</xdr:colOff>
      <xdr:row>183</xdr:row>
      <xdr:rowOff>475</xdr:rowOff>
    </xdr:from>
    <xdr:ext cx="722530" cy="351950"/>
    <xdr:pic>
      <xdr:nvPicPr>
        <xdr:cNvPr id="13" name="Picture 12"/>
        <xdr:cNvPicPr>
          <a:picLocks noChangeAspect="1"/>
        </xdr:cNvPicPr>
      </xdr:nvPicPr>
      <xdr:blipFill>
        <a:blip xmlns:r="http://schemas.openxmlformats.org/officeDocument/2006/relationships" r:embed="rId5">
          <a:duotone>
            <a:prstClr val="black"/>
            <a:srgbClr val="BF90BF">
              <a:tint val="45000"/>
              <a:satMod val="400000"/>
            </a:srgbClr>
          </a:duotone>
          <a:extLst>
            <a:ext uri="{BEBA8EAE-BF5A-486C-A8C5-ECC9F3942E4B}">
              <a14:imgProps xmlns:a14="http://schemas.microsoft.com/office/drawing/2010/main">
                <a14:imgLayer r:embed="rId6">
                  <a14:imgEffect>
                    <a14:brightnessContrast bright="20000" contrast="-20000"/>
                  </a14:imgEffect>
                </a14:imgLayer>
              </a14:imgProps>
            </a:ext>
          </a:extLst>
        </a:blip>
        <a:stretch>
          <a:fillRect/>
        </a:stretch>
      </xdr:blipFill>
      <xdr:spPr>
        <a:xfrm>
          <a:off x="401420" y="14878525"/>
          <a:ext cx="722530" cy="351950"/>
        </a:xfrm>
        <a:prstGeom prst="rect">
          <a:avLst/>
        </a:prstGeom>
      </xdr:spPr>
    </xdr:pic>
    <xdr:clientData/>
  </xdr:oneCellAnchor>
  <xdr:twoCellAnchor editAs="oneCell">
    <xdr:from>
      <xdr:col>20</xdr:col>
      <xdr:colOff>9525</xdr:colOff>
      <xdr:row>1</xdr:row>
      <xdr:rowOff>9524</xdr:rowOff>
    </xdr:from>
    <xdr:to>
      <xdr:col>22</xdr:col>
      <xdr:colOff>589188</xdr:colOff>
      <xdr:row>3</xdr:row>
      <xdr:rowOff>238125</xdr:rowOff>
    </xdr:to>
    <xdr:pic>
      <xdr:nvPicPr>
        <xdr:cNvPr id="14" name="Picture 13"/>
        <xdr:cNvPicPr>
          <a:picLocks noChangeAspect="1"/>
        </xdr:cNvPicPr>
      </xdr:nvPicPr>
      <xdr:blipFill>
        <a:blip xmlns:r="http://schemas.openxmlformats.org/officeDocument/2006/relationships" r:embed="rId7"/>
        <a:stretch>
          <a:fillRect/>
        </a:stretch>
      </xdr:blipFill>
      <xdr:spPr>
        <a:xfrm>
          <a:off x="12211050" y="85724"/>
          <a:ext cx="2256063" cy="695326"/>
        </a:xfrm>
        <a:prstGeom prst="rect">
          <a:avLst/>
        </a:prstGeom>
      </xdr:spPr>
    </xdr:pic>
    <xdr:clientData/>
  </xdr:twoCellAnchor>
  <xdr:twoCellAnchor editAs="oneCell">
    <xdr:from>
      <xdr:col>20</xdr:col>
      <xdr:colOff>9524</xdr:colOff>
      <xdr:row>19</xdr:row>
      <xdr:rowOff>9525</xdr:rowOff>
    </xdr:from>
    <xdr:to>
      <xdr:col>23</xdr:col>
      <xdr:colOff>6349</xdr:colOff>
      <xdr:row>23</xdr:row>
      <xdr:rowOff>0</xdr:rowOff>
    </xdr:to>
    <xdr:pic>
      <xdr:nvPicPr>
        <xdr:cNvPr id="15" name="Picture 14"/>
        <xdr:cNvPicPr>
          <a:picLocks noChangeAspect="1"/>
        </xdr:cNvPicPr>
      </xdr:nvPicPr>
      <xdr:blipFill>
        <a:blip xmlns:r="http://schemas.openxmlformats.org/officeDocument/2006/relationships" r:embed="rId8"/>
        <a:stretch>
          <a:fillRect/>
        </a:stretch>
      </xdr:blipFill>
      <xdr:spPr>
        <a:xfrm>
          <a:off x="12211049" y="3048000"/>
          <a:ext cx="2282825" cy="7429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xdr:col>
      <xdr:colOff>744256</xdr:colOff>
      <xdr:row>4</xdr:row>
      <xdr:rowOff>2</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76200"/>
          <a:ext cx="1830106" cy="714377"/>
        </a:xfrm>
        <a:prstGeom prst="rect">
          <a:avLst/>
        </a:prstGeom>
      </xdr:spPr>
    </xdr:pic>
    <xdr:clientData/>
  </xdr:twoCellAnchor>
  <xdr:twoCellAnchor editAs="oneCell">
    <xdr:from>
      <xdr:col>0</xdr:col>
      <xdr:colOff>0</xdr:colOff>
      <xdr:row>24</xdr:row>
      <xdr:rowOff>19051</xdr:rowOff>
    </xdr:from>
    <xdr:to>
      <xdr:col>2</xdr:col>
      <xdr:colOff>742949</xdr:colOff>
      <xdr:row>28</xdr:row>
      <xdr:rowOff>1</xdr:rowOff>
    </xdr:to>
    <xdr:pic>
      <xdr:nvPicPr>
        <xdr:cNvPr id="3" name="Picture 2"/>
        <xdr:cNvPicPr>
          <a:picLocks noChangeAspect="1"/>
        </xdr:cNvPicPr>
      </xdr:nvPicPr>
      <xdr:blipFill>
        <a:blip xmlns:r="http://schemas.openxmlformats.org/officeDocument/2006/relationships" r:embed="rId2">
          <a:duotone>
            <a:prstClr val="black"/>
            <a:srgbClr val="9999CC">
              <a:tint val="45000"/>
              <a:satMod val="400000"/>
            </a:srgbClr>
          </a:duotone>
        </a:blip>
        <a:stretch>
          <a:fillRect/>
        </a:stretch>
      </xdr:blipFill>
      <xdr:spPr>
        <a:xfrm>
          <a:off x="0" y="3057526"/>
          <a:ext cx="1828799" cy="733425"/>
        </a:xfrm>
        <a:prstGeom prst="rect">
          <a:avLst/>
        </a:prstGeom>
      </xdr:spPr>
    </xdr:pic>
    <xdr:clientData/>
  </xdr:twoCellAnchor>
  <xdr:twoCellAnchor editAs="oneCell">
    <xdr:from>
      <xdr:col>20</xdr:col>
      <xdr:colOff>9525</xdr:colOff>
      <xdr:row>1</xdr:row>
      <xdr:rowOff>9524</xdr:rowOff>
    </xdr:from>
    <xdr:to>
      <xdr:col>22</xdr:col>
      <xdr:colOff>589188</xdr:colOff>
      <xdr:row>3</xdr:row>
      <xdr:rowOff>238125</xdr:rowOff>
    </xdr:to>
    <xdr:pic>
      <xdr:nvPicPr>
        <xdr:cNvPr id="8" name="Picture 7"/>
        <xdr:cNvPicPr>
          <a:picLocks noChangeAspect="1"/>
        </xdr:cNvPicPr>
      </xdr:nvPicPr>
      <xdr:blipFill>
        <a:blip xmlns:r="http://schemas.openxmlformats.org/officeDocument/2006/relationships" r:embed="rId3"/>
        <a:stretch>
          <a:fillRect/>
        </a:stretch>
      </xdr:blipFill>
      <xdr:spPr>
        <a:xfrm>
          <a:off x="12211050" y="85724"/>
          <a:ext cx="2256063" cy="695326"/>
        </a:xfrm>
        <a:prstGeom prst="rect">
          <a:avLst/>
        </a:prstGeom>
      </xdr:spPr>
    </xdr:pic>
    <xdr:clientData/>
  </xdr:twoCellAnchor>
  <xdr:twoCellAnchor editAs="oneCell">
    <xdr:from>
      <xdr:col>20</xdr:col>
      <xdr:colOff>9524</xdr:colOff>
      <xdr:row>24</xdr:row>
      <xdr:rowOff>9525</xdr:rowOff>
    </xdr:from>
    <xdr:to>
      <xdr:col>23</xdr:col>
      <xdr:colOff>6349</xdr:colOff>
      <xdr:row>28</xdr:row>
      <xdr:rowOff>0</xdr:rowOff>
    </xdr:to>
    <xdr:pic>
      <xdr:nvPicPr>
        <xdr:cNvPr id="9" name="Picture 8"/>
        <xdr:cNvPicPr>
          <a:picLocks noChangeAspect="1"/>
        </xdr:cNvPicPr>
      </xdr:nvPicPr>
      <xdr:blipFill>
        <a:blip xmlns:r="http://schemas.openxmlformats.org/officeDocument/2006/relationships" r:embed="rId4"/>
        <a:stretch>
          <a:fillRect/>
        </a:stretch>
      </xdr:blipFill>
      <xdr:spPr>
        <a:xfrm>
          <a:off x="12211049" y="3048000"/>
          <a:ext cx="2282825" cy="74295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xdr:col>
      <xdr:colOff>744256</xdr:colOff>
      <xdr:row>4</xdr:row>
      <xdr:rowOff>2</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76200"/>
          <a:ext cx="1830106" cy="714377"/>
        </a:xfrm>
        <a:prstGeom prst="rect">
          <a:avLst/>
        </a:prstGeom>
      </xdr:spPr>
    </xdr:pic>
    <xdr:clientData/>
  </xdr:twoCellAnchor>
  <xdr:twoCellAnchor editAs="oneCell">
    <xdr:from>
      <xdr:col>0</xdr:col>
      <xdr:colOff>0</xdr:colOff>
      <xdr:row>32</xdr:row>
      <xdr:rowOff>19051</xdr:rowOff>
    </xdr:from>
    <xdr:to>
      <xdr:col>2</xdr:col>
      <xdr:colOff>742949</xdr:colOff>
      <xdr:row>36</xdr:row>
      <xdr:rowOff>1</xdr:rowOff>
    </xdr:to>
    <xdr:pic>
      <xdr:nvPicPr>
        <xdr:cNvPr id="3" name="Picture 2"/>
        <xdr:cNvPicPr>
          <a:picLocks noChangeAspect="1"/>
        </xdr:cNvPicPr>
      </xdr:nvPicPr>
      <xdr:blipFill>
        <a:blip xmlns:r="http://schemas.openxmlformats.org/officeDocument/2006/relationships" r:embed="rId2">
          <a:duotone>
            <a:prstClr val="black"/>
            <a:srgbClr val="9999CC">
              <a:tint val="45000"/>
              <a:satMod val="400000"/>
            </a:srgbClr>
          </a:duotone>
        </a:blip>
        <a:stretch>
          <a:fillRect/>
        </a:stretch>
      </xdr:blipFill>
      <xdr:spPr>
        <a:xfrm>
          <a:off x="0" y="4924426"/>
          <a:ext cx="1828799" cy="733425"/>
        </a:xfrm>
        <a:prstGeom prst="rect">
          <a:avLst/>
        </a:prstGeom>
      </xdr:spPr>
    </xdr:pic>
    <xdr:clientData/>
  </xdr:twoCellAnchor>
  <xdr:twoCellAnchor editAs="oneCell">
    <xdr:from>
      <xdr:col>27</xdr:col>
      <xdr:colOff>9525</xdr:colOff>
      <xdr:row>1</xdr:row>
      <xdr:rowOff>9524</xdr:rowOff>
    </xdr:from>
    <xdr:to>
      <xdr:col>29</xdr:col>
      <xdr:colOff>589188</xdr:colOff>
      <xdr:row>3</xdr:row>
      <xdr:rowOff>238125</xdr:rowOff>
    </xdr:to>
    <xdr:pic>
      <xdr:nvPicPr>
        <xdr:cNvPr id="4" name="Picture 3"/>
        <xdr:cNvPicPr>
          <a:picLocks noChangeAspect="1"/>
        </xdr:cNvPicPr>
      </xdr:nvPicPr>
      <xdr:blipFill>
        <a:blip xmlns:r="http://schemas.openxmlformats.org/officeDocument/2006/relationships" r:embed="rId3"/>
        <a:stretch>
          <a:fillRect/>
        </a:stretch>
      </xdr:blipFill>
      <xdr:spPr>
        <a:xfrm>
          <a:off x="13058775" y="85724"/>
          <a:ext cx="2256063" cy="695326"/>
        </a:xfrm>
        <a:prstGeom prst="rect">
          <a:avLst/>
        </a:prstGeom>
      </xdr:spPr>
    </xdr:pic>
    <xdr:clientData/>
  </xdr:twoCellAnchor>
  <xdr:twoCellAnchor editAs="oneCell">
    <xdr:from>
      <xdr:col>27</xdr:col>
      <xdr:colOff>9524</xdr:colOff>
      <xdr:row>32</xdr:row>
      <xdr:rowOff>9525</xdr:rowOff>
    </xdr:from>
    <xdr:to>
      <xdr:col>30</xdr:col>
      <xdr:colOff>6349</xdr:colOff>
      <xdr:row>36</xdr:row>
      <xdr:rowOff>0</xdr:rowOff>
    </xdr:to>
    <xdr:pic>
      <xdr:nvPicPr>
        <xdr:cNvPr id="5" name="Picture 4"/>
        <xdr:cNvPicPr>
          <a:picLocks noChangeAspect="1"/>
        </xdr:cNvPicPr>
      </xdr:nvPicPr>
      <xdr:blipFill>
        <a:blip xmlns:r="http://schemas.openxmlformats.org/officeDocument/2006/relationships" r:embed="rId4"/>
        <a:stretch>
          <a:fillRect/>
        </a:stretch>
      </xdr:blipFill>
      <xdr:spPr>
        <a:xfrm>
          <a:off x="13058774" y="4914900"/>
          <a:ext cx="2282825" cy="74295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10</xdr:col>
      <xdr:colOff>66674</xdr:colOff>
      <xdr:row>3</xdr:row>
      <xdr:rowOff>19049</xdr:rowOff>
    </xdr:from>
    <xdr:to>
      <xdr:col>12</xdr:col>
      <xdr:colOff>428625</xdr:colOff>
      <xdr:row>4</xdr:row>
      <xdr:rowOff>186358</xdr:rowOff>
    </xdr:to>
    <xdr:pic>
      <xdr:nvPicPr>
        <xdr:cNvPr id="2" name="Picture 1" descr="Donate button">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67624" y="666749"/>
          <a:ext cx="1333501" cy="376859"/>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xdr:col>
      <xdr:colOff>744256</xdr:colOff>
      <xdr:row>4</xdr:row>
      <xdr:rowOff>2</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76200"/>
          <a:ext cx="1830106" cy="714377"/>
        </a:xfrm>
        <a:prstGeom prst="rect">
          <a:avLst/>
        </a:prstGeom>
      </xdr:spPr>
    </xdr:pic>
    <xdr:clientData/>
  </xdr:twoCellAnchor>
  <xdr:twoCellAnchor editAs="oneCell">
    <xdr:from>
      <xdr:col>0</xdr:col>
      <xdr:colOff>0</xdr:colOff>
      <xdr:row>15</xdr:row>
      <xdr:rowOff>19051</xdr:rowOff>
    </xdr:from>
    <xdr:to>
      <xdr:col>2</xdr:col>
      <xdr:colOff>742949</xdr:colOff>
      <xdr:row>19</xdr:row>
      <xdr:rowOff>1</xdr:rowOff>
    </xdr:to>
    <xdr:pic>
      <xdr:nvPicPr>
        <xdr:cNvPr id="3" name="Picture 2"/>
        <xdr:cNvPicPr>
          <a:picLocks noChangeAspect="1"/>
        </xdr:cNvPicPr>
      </xdr:nvPicPr>
      <xdr:blipFill>
        <a:blip xmlns:r="http://schemas.openxmlformats.org/officeDocument/2006/relationships" r:embed="rId2">
          <a:duotone>
            <a:prstClr val="black"/>
            <a:srgbClr val="9999CC">
              <a:tint val="45000"/>
              <a:satMod val="400000"/>
            </a:srgbClr>
          </a:duotone>
        </a:blip>
        <a:stretch>
          <a:fillRect/>
        </a:stretch>
      </xdr:blipFill>
      <xdr:spPr>
        <a:xfrm>
          <a:off x="0" y="3057526"/>
          <a:ext cx="1828799" cy="733425"/>
        </a:xfrm>
        <a:prstGeom prst="rect">
          <a:avLst/>
        </a:prstGeom>
      </xdr:spPr>
    </xdr:pic>
    <xdr:clientData/>
  </xdr:twoCellAnchor>
  <xdr:oneCellAnchor>
    <xdr:from>
      <xdr:col>23</xdr:col>
      <xdr:colOff>31164</xdr:colOff>
      <xdr:row>22</xdr:row>
      <xdr:rowOff>0</xdr:rowOff>
    </xdr:from>
    <xdr:ext cx="362135" cy="355428"/>
    <xdr:pic>
      <xdr:nvPicPr>
        <xdr:cNvPr id="4" name="Picture 3"/>
        <xdr:cNvPicPr>
          <a:picLocks noChangeAspect="1"/>
        </xdr:cNvPicPr>
      </xdr:nvPicPr>
      <xdr:blipFill>
        <a:blip xmlns:r="http://schemas.openxmlformats.org/officeDocument/2006/relationships" r:embed="rId3"/>
        <a:stretch>
          <a:fillRect/>
        </a:stretch>
      </xdr:blipFill>
      <xdr:spPr>
        <a:xfrm>
          <a:off x="14518689" y="4276725"/>
          <a:ext cx="362135" cy="355428"/>
        </a:xfrm>
        <a:prstGeom prst="rect">
          <a:avLst/>
        </a:prstGeom>
      </xdr:spPr>
    </xdr:pic>
    <xdr:clientData/>
  </xdr:oneCellAnchor>
  <xdr:oneCellAnchor>
    <xdr:from>
      <xdr:col>0</xdr:col>
      <xdr:colOff>0</xdr:colOff>
      <xdr:row>22</xdr:row>
      <xdr:rowOff>0</xdr:rowOff>
    </xdr:from>
    <xdr:ext cx="368840" cy="355428"/>
    <xdr:pic>
      <xdr:nvPicPr>
        <xdr:cNvPr id="5" name="Picture 4"/>
        <xdr:cNvPicPr>
          <a:picLocks noChangeAspect="1"/>
        </xdr:cNvPicPr>
      </xdr:nvPicPr>
      <xdr:blipFill>
        <a:blip xmlns:r="http://schemas.openxmlformats.org/officeDocument/2006/relationships" r:embed="rId4"/>
        <a:stretch>
          <a:fillRect/>
        </a:stretch>
      </xdr:blipFill>
      <xdr:spPr>
        <a:xfrm>
          <a:off x="0" y="4276725"/>
          <a:ext cx="368840" cy="355428"/>
        </a:xfrm>
        <a:prstGeom prst="rect">
          <a:avLst/>
        </a:prstGeom>
      </xdr:spPr>
    </xdr:pic>
    <xdr:clientData/>
  </xdr:oneCellAnchor>
  <xdr:oneCellAnchor>
    <xdr:from>
      <xdr:col>0</xdr:col>
      <xdr:colOff>401420</xdr:colOff>
      <xdr:row>22</xdr:row>
      <xdr:rowOff>475</xdr:rowOff>
    </xdr:from>
    <xdr:ext cx="722530" cy="351950"/>
    <xdr:pic>
      <xdr:nvPicPr>
        <xdr:cNvPr id="6" name="Picture 5"/>
        <xdr:cNvPicPr>
          <a:picLocks noChangeAspect="1"/>
        </xdr:cNvPicPr>
      </xdr:nvPicPr>
      <xdr:blipFill>
        <a:blip xmlns:r="http://schemas.openxmlformats.org/officeDocument/2006/relationships" r:embed="rId5">
          <a:duotone>
            <a:prstClr val="black"/>
            <a:srgbClr val="BF90BF">
              <a:tint val="45000"/>
              <a:satMod val="400000"/>
            </a:srgbClr>
          </a:duotone>
          <a:extLst>
            <a:ext uri="{BEBA8EAE-BF5A-486C-A8C5-ECC9F3942E4B}">
              <a14:imgProps xmlns:a14="http://schemas.microsoft.com/office/drawing/2010/main">
                <a14:imgLayer r:embed="rId6">
                  <a14:imgEffect>
                    <a14:brightnessContrast bright="20000" contrast="-20000"/>
                  </a14:imgEffect>
                </a14:imgLayer>
              </a14:imgProps>
            </a:ext>
          </a:extLst>
        </a:blip>
        <a:stretch>
          <a:fillRect/>
        </a:stretch>
      </xdr:blipFill>
      <xdr:spPr>
        <a:xfrm>
          <a:off x="401420" y="4277200"/>
          <a:ext cx="722530" cy="351950"/>
        </a:xfrm>
        <a:prstGeom prst="rect">
          <a:avLst/>
        </a:prstGeom>
      </xdr:spPr>
    </xdr:pic>
    <xdr:clientData/>
  </xdr:oneCellAnchor>
  <xdr:oneCellAnchor>
    <xdr:from>
      <xdr:col>0</xdr:col>
      <xdr:colOff>401420</xdr:colOff>
      <xdr:row>22</xdr:row>
      <xdr:rowOff>475</xdr:rowOff>
    </xdr:from>
    <xdr:ext cx="722530" cy="351950"/>
    <xdr:pic>
      <xdr:nvPicPr>
        <xdr:cNvPr id="7" name="Picture 6"/>
        <xdr:cNvPicPr>
          <a:picLocks noChangeAspect="1"/>
        </xdr:cNvPicPr>
      </xdr:nvPicPr>
      <xdr:blipFill>
        <a:blip xmlns:r="http://schemas.openxmlformats.org/officeDocument/2006/relationships" r:embed="rId5">
          <a:duotone>
            <a:prstClr val="black"/>
            <a:srgbClr val="BF90BF">
              <a:tint val="45000"/>
              <a:satMod val="400000"/>
            </a:srgbClr>
          </a:duotone>
          <a:extLst>
            <a:ext uri="{BEBA8EAE-BF5A-486C-A8C5-ECC9F3942E4B}">
              <a14:imgProps xmlns:a14="http://schemas.microsoft.com/office/drawing/2010/main">
                <a14:imgLayer r:embed="rId6">
                  <a14:imgEffect>
                    <a14:brightnessContrast bright="20000" contrast="-20000"/>
                  </a14:imgEffect>
                </a14:imgLayer>
              </a14:imgProps>
            </a:ext>
          </a:extLst>
        </a:blip>
        <a:stretch>
          <a:fillRect/>
        </a:stretch>
      </xdr:blipFill>
      <xdr:spPr>
        <a:xfrm>
          <a:off x="401420" y="4277200"/>
          <a:ext cx="722530" cy="351950"/>
        </a:xfrm>
        <a:prstGeom prst="rect">
          <a:avLst/>
        </a:prstGeom>
      </xdr:spPr>
    </xdr:pic>
    <xdr:clientData/>
  </xdr:oneCellAnchor>
  <xdr:twoCellAnchor editAs="oneCell">
    <xdr:from>
      <xdr:col>20</xdr:col>
      <xdr:colOff>9525</xdr:colOff>
      <xdr:row>1</xdr:row>
      <xdr:rowOff>9524</xdr:rowOff>
    </xdr:from>
    <xdr:to>
      <xdr:col>22</xdr:col>
      <xdr:colOff>589188</xdr:colOff>
      <xdr:row>3</xdr:row>
      <xdr:rowOff>238125</xdr:rowOff>
    </xdr:to>
    <xdr:pic>
      <xdr:nvPicPr>
        <xdr:cNvPr id="8" name="Picture 7"/>
        <xdr:cNvPicPr>
          <a:picLocks noChangeAspect="1"/>
        </xdr:cNvPicPr>
      </xdr:nvPicPr>
      <xdr:blipFill>
        <a:blip xmlns:r="http://schemas.openxmlformats.org/officeDocument/2006/relationships" r:embed="rId7"/>
        <a:stretch>
          <a:fillRect/>
        </a:stretch>
      </xdr:blipFill>
      <xdr:spPr>
        <a:xfrm>
          <a:off x="12211050" y="85724"/>
          <a:ext cx="2256063" cy="695326"/>
        </a:xfrm>
        <a:prstGeom prst="rect">
          <a:avLst/>
        </a:prstGeom>
      </xdr:spPr>
    </xdr:pic>
    <xdr:clientData/>
  </xdr:twoCellAnchor>
  <xdr:twoCellAnchor editAs="oneCell">
    <xdr:from>
      <xdr:col>20</xdr:col>
      <xdr:colOff>9524</xdr:colOff>
      <xdr:row>15</xdr:row>
      <xdr:rowOff>9525</xdr:rowOff>
    </xdr:from>
    <xdr:to>
      <xdr:col>23</xdr:col>
      <xdr:colOff>6349</xdr:colOff>
      <xdr:row>19</xdr:row>
      <xdr:rowOff>0</xdr:rowOff>
    </xdr:to>
    <xdr:pic>
      <xdr:nvPicPr>
        <xdr:cNvPr id="9" name="Picture 8"/>
        <xdr:cNvPicPr>
          <a:picLocks noChangeAspect="1"/>
        </xdr:cNvPicPr>
      </xdr:nvPicPr>
      <xdr:blipFill>
        <a:blip xmlns:r="http://schemas.openxmlformats.org/officeDocument/2006/relationships" r:embed="rId8"/>
        <a:stretch>
          <a:fillRect/>
        </a:stretch>
      </xdr:blipFill>
      <xdr:spPr>
        <a:xfrm>
          <a:off x="12211049" y="3048000"/>
          <a:ext cx="2282825" cy="742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stfc.space/officers/3816036121" TargetMode="External"/><Relationship Id="rId117" Type="http://schemas.openxmlformats.org/officeDocument/2006/relationships/hyperlink" Target="https://stfc.space/officers/336948052" TargetMode="External"/><Relationship Id="rId21" Type="http://schemas.openxmlformats.org/officeDocument/2006/relationships/hyperlink" Target="https://stfc.space/officers/329940464" TargetMode="External"/><Relationship Id="rId42" Type="http://schemas.openxmlformats.org/officeDocument/2006/relationships/hyperlink" Target="https://stfc.space/officers/909354959" TargetMode="External"/><Relationship Id="rId47" Type="http://schemas.openxmlformats.org/officeDocument/2006/relationships/hyperlink" Target="https://stfc.space/officers/634330627" TargetMode="External"/><Relationship Id="rId63" Type="http://schemas.openxmlformats.org/officeDocument/2006/relationships/hyperlink" Target="https://stfc.space/officers/2432668775" TargetMode="External"/><Relationship Id="rId68" Type="http://schemas.openxmlformats.org/officeDocument/2006/relationships/hyperlink" Target="https://stfc.space/officers/2822661458" TargetMode="External"/><Relationship Id="rId84" Type="http://schemas.openxmlformats.org/officeDocument/2006/relationships/hyperlink" Target="https://stfc.space/officers/2963484044" TargetMode="External"/><Relationship Id="rId89" Type="http://schemas.openxmlformats.org/officeDocument/2006/relationships/hyperlink" Target="https://stfc.space/officers/3999633781" TargetMode="External"/><Relationship Id="rId112" Type="http://schemas.openxmlformats.org/officeDocument/2006/relationships/hyperlink" Target="https://stfc.space/officers/2446409392" TargetMode="External"/><Relationship Id="rId133" Type="http://schemas.openxmlformats.org/officeDocument/2006/relationships/hyperlink" Target="https://stfc.space/officers/215089650" TargetMode="External"/><Relationship Id="rId138" Type="http://schemas.openxmlformats.org/officeDocument/2006/relationships/hyperlink" Target="https://stfc.space/officers/1752126880" TargetMode="External"/><Relationship Id="rId154" Type="http://schemas.openxmlformats.org/officeDocument/2006/relationships/hyperlink" Target="https://stfc.space/officers/4019230068" TargetMode="External"/><Relationship Id="rId159" Type="http://schemas.openxmlformats.org/officeDocument/2006/relationships/hyperlink" Target="https://stfc.space/officers/1143746577" TargetMode="External"/><Relationship Id="rId16" Type="http://schemas.openxmlformats.org/officeDocument/2006/relationships/hyperlink" Target="https://stfc.space/officers/4150311506" TargetMode="External"/><Relationship Id="rId107" Type="http://schemas.openxmlformats.org/officeDocument/2006/relationships/hyperlink" Target="https://stfc.space/officers/43410162" TargetMode="External"/><Relationship Id="rId11" Type="http://schemas.openxmlformats.org/officeDocument/2006/relationships/hyperlink" Target="https://stfc.space/officers/2518604778" TargetMode="External"/><Relationship Id="rId32" Type="http://schemas.openxmlformats.org/officeDocument/2006/relationships/hyperlink" Target="https://stfc.space/officers/3191841428" TargetMode="External"/><Relationship Id="rId37" Type="http://schemas.openxmlformats.org/officeDocument/2006/relationships/hyperlink" Target="https://stfc.space/officers/776602621" TargetMode="External"/><Relationship Id="rId53" Type="http://schemas.openxmlformats.org/officeDocument/2006/relationships/hyperlink" Target="https://stfc.space/officers/440622131" TargetMode="External"/><Relationship Id="rId58" Type="http://schemas.openxmlformats.org/officeDocument/2006/relationships/hyperlink" Target="https://stfc.space/officers/3479870516" TargetMode="External"/><Relationship Id="rId74" Type="http://schemas.openxmlformats.org/officeDocument/2006/relationships/hyperlink" Target="https://stfc.space/officers/1983456684" TargetMode="External"/><Relationship Id="rId79" Type="http://schemas.openxmlformats.org/officeDocument/2006/relationships/hyperlink" Target="https://stfc.space/officers/1250418815" TargetMode="External"/><Relationship Id="rId102" Type="http://schemas.openxmlformats.org/officeDocument/2006/relationships/hyperlink" Target="https://stfc.space/officers/989647182" TargetMode="External"/><Relationship Id="rId123" Type="http://schemas.openxmlformats.org/officeDocument/2006/relationships/hyperlink" Target="https://stfc.space/officers/766809588" TargetMode="External"/><Relationship Id="rId128" Type="http://schemas.openxmlformats.org/officeDocument/2006/relationships/hyperlink" Target="https://stfc.space/officers/4148782205" TargetMode="External"/><Relationship Id="rId144" Type="http://schemas.openxmlformats.org/officeDocument/2006/relationships/hyperlink" Target="https://stfc.space/officers/2235857051" TargetMode="External"/><Relationship Id="rId149" Type="http://schemas.openxmlformats.org/officeDocument/2006/relationships/hyperlink" Target="https://stfc.space/officers/2593842933" TargetMode="External"/><Relationship Id="rId5" Type="http://schemas.openxmlformats.org/officeDocument/2006/relationships/hyperlink" Target="https://stfc.space/officers/282462507" TargetMode="External"/><Relationship Id="rId90" Type="http://schemas.openxmlformats.org/officeDocument/2006/relationships/hyperlink" Target="https://stfc.space/officers/531187684" TargetMode="External"/><Relationship Id="rId95" Type="http://schemas.openxmlformats.org/officeDocument/2006/relationships/hyperlink" Target="https://stfc.space/officers/1841597470" TargetMode="External"/><Relationship Id="rId160" Type="http://schemas.openxmlformats.org/officeDocument/2006/relationships/printerSettings" Target="../printerSettings/printerSettings1.bin"/><Relationship Id="rId165" Type="http://schemas.openxmlformats.org/officeDocument/2006/relationships/ctrlProp" Target="../ctrlProps/ctrlProp3.xml"/><Relationship Id="rId22" Type="http://schemas.openxmlformats.org/officeDocument/2006/relationships/hyperlink" Target="https://stfc.space/officers/513311144" TargetMode="External"/><Relationship Id="rId27" Type="http://schemas.openxmlformats.org/officeDocument/2006/relationships/hyperlink" Target="https://stfc.space/officers/1131760724" TargetMode="External"/><Relationship Id="rId43" Type="http://schemas.openxmlformats.org/officeDocument/2006/relationships/hyperlink" Target="https://stfc.space/officers/1083140166" TargetMode="External"/><Relationship Id="rId48" Type="http://schemas.openxmlformats.org/officeDocument/2006/relationships/hyperlink" Target="https://stfc.space/officers/677303054" TargetMode="External"/><Relationship Id="rId64" Type="http://schemas.openxmlformats.org/officeDocument/2006/relationships/hyperlink" Target="https://stfc.space/officers/1608562191" TargetMode="External"/><Relationship Id="rId69" Type="http://schemas.openxmlformats.org/officeDocument/2006/relationships/hyperlink" Target="https://stfc.space/officers/2601201375" TargetMode="External"/><Relationship Id="rId113" Type="http://schemas.openxmlformats.org/officeDocument/2006/relationships/hyperlink" Target="https://stfc.space/officers/1349602017" TargetMode="External"/><Relationship Id="rId118" Type="http://schemas.openxmlformats.org/officeDocument/2006/relationships/hyperlink" Target="https://stfc.space/officers/2651130337" TargetMode="External"/><Relationship Id="rId134" Type="http://schemas.openxmlformats.org/officeDocument/2006/relationships/hyperlink" Target="https://stfc.space/officers/1670351312" TargetMode="External"/><Relationship Id="rId139" Type="http://schemas.openxmlformats.org/officeDocument/2006/relationships/hyperlink" Target="https://stfc.space/officers/3382562951" TargetMode="External"/><Relationship Id="rId80" Type="http://schemas.openxmlformats.org/officeDocument/2006/relationships/hyperlink" Target="https://stfc.space/officers/2333021829" TargetMode="External"/><Relationship Id="rId85" Type="http://schemas.openxmlformats.org/officeDocument/2006/relationships/hyperlink" Target="https://stfc.space/officers/1353192478" TargetMode="External"/><Relationship Id="rId150" Type="http://schemas.openxmlformats.org/officeDocument/2006/relationships/hyperlink" Target="https://stfc.space/officers/98548875" TargetMode="External"/><Relationship Id="rId155" Type="http://schemas.openxmlformats.org/officeDocument/2006/relationships/hyperlink" Target="https://stfc.space/" TargetMode="External"/><Relationship Id="rId12" Type="http://schemas.openxmlformats.org/officeDocument/2006/relationships/hyperlink" Target="https://stfc.space/officers/177664289" TargetMode="External"/><Relationship Id="rId17" Type="http://schemas.openxmlformats.org/officeDocument/2006/relationships/hyperlink" Target="https://stfc.space/officers/194631754" TargetMode="External"/><Relationship Id="rId33" Type="http://schemas.openxmlformats.org/officeDocument/2006/relationships/hyperlink" Target="https://stfc.space/officers/3583932904" TargetMode="External"/><Relationship Id="rId38" Type="http://schemas.openxmlformats.org/officeDocument/2006/relationships/hyperlink" Target="https://stfc.space/officers/4132174205" TargetMode="External"/><Relationship Id="rId59" Type="http://schemas.openxmlformats.org/officeDocument/2006/relationships/hyperlink" Target="https://stfc.space/officers/1427486959" TargetMode="External"/><Relationship Id="rId103" Type="http://schemas.openxmlformats.org/officeDocument/2006/relationships/hyperlink" Target="https://stfc.space/officers/3245467973" TargetMode="External"/><Relationship Id="rId108" Type="http://schemas.openxmlformats.org/officeDocument/2006/relationships/hyperlink" Target="https://stfc.space/officers/2030703558" TargetMode="External"/><Relationship Id="rId124" Type="http://schemas.openxmlformats.org/officeDocument/2006/relationships/hyperlink" Target="https://stfc.space/officers/755079845" TargetMode="External"/><Relationship Id="rId129" Type="http://schemas.openxmlformats.org/officeDocument/2006/relationships/hyperlink" Target="https://stfc.space/officers/370544309" TargetMode="External"/><Relationship Id="rId54" Type="http://schemas.openxmlformats.org/officeDocument/2006/relationships/hyperlink" Target="https://stfc.space/officers/1622062016" TargetMode="External"/><Relationship Id="rId70" Type="http://schemas.openxmlformats.org/officeDocument/2006/relationships/hyperlink" Target="https://stfc.space/officers/680147223" TargetMode="External"/><Relationship Id="rId75" Type="http://schemas.openxmlformats.org/officeDocument/2006/relationships/hyperlink" Target="https://stfc.space/officers/913104893" TargetMode="External"/><Relationship Id="rId91" Type="http://schemas.openxmlformats.org/officeDocument/2006/relationships/hyperlink" Target="https://stfc.space/officers/3155244352" TargetMode="External"/><Relationship Id="rId96" Type="http://schemas.openxmlformats.org/officeDocument/2006/relationships/hyperlink" Target="https://stfc.space/officers/3968109489" TargetMode="External"/><Relationship Id="rId140" Type="http://schemas.openxmlformats.org/officeDocument/2006/relationships/hyperlink" Target="https://stfc.space/officers/2757127113" TargetMode="External"/><Relationship Id="rId145" Type="http://schemas.openxmlformats.org/officeDocument/2006/relationships/hyperlink" Target="https://stfc.space/officers/2959514562" TargetMode="External"/><Relationship Id="rId161" Type="http://schemas.openxmlformats.org/officeDocument/2006/relationships/drawing" Target="../drawings/drawing1.xml"/><Relationship Id="rId166" Type="http://schemas.openxmlformats.org/officeDocument/2006/relationships/ctrlProp" Target="../ctrlProps/ctrlProp4.xml"/><Relationship Id="rId1" Type="http://schemas.openxmlformats.org/officeDocument/2006/relationships/hyperlink" Target="https://stfc.space/officers/229898163" TargetMode="External"/><Relationship Id="rId6" Type="http://schemas.openxmlformats.org/officeDocument/2006/relationships/hyperlink" Target="https://stfc.space/officers/1835829612" TargetMode="External"/><Relationship Id="rId15" Type="http://schemas.openxmlformats.org/officeDocument/2006/relationships/hyperlink" Target="https://stfc.space/officers/1853520303" TargetMode="External"/><Relationship Id="rId23" Type="http://schemas.openxmlformats.org/officeDocument/2006/relationships/hyperlink" Target="https://stfc.space/officers/1683164967" TargetMode="External"/><Relationship Id="rId28" Type="http://schemas.openxmlformats.org/officeDocument/2006/relationships/hyperlink" Target="https://stfc.space/officers/3155462804" TargetMode="External"/><Relationship Id="rId36" Type="http://schemas.openxmlformats.org/officeDocument/2006/relationships/hyperlink" Target="https://stfc.space/officers/4110037371" TargetMode="External"/><Relationship Id="rId49" Type="http://schemas.openxmlformats.org/officeDocument/2006/relationships/hyperlink" Target="https://stfc.space/officers/3156736320" TargetMode="External"/><Relationship Id="rId57" Type="http://schemas.openxmlformats.org/officeDocument/2006/relationships/hyperlink" Target="https://stfc.space/officers/668528267" TargetMode="External"/><Relationship Id="rId106" Type="http://schemas.openxmlformats.org/officeDocument/2006/relationships/hyperlink" Target="https://stfc.space/officers/2219055924" TargetMode="External"/><Relationship Id="rId114" Type="http://schemas.openxmlformats.org/officeDocument/2006/relationships/hyperlink" Target="https://stfc.space/officers/1330179266" TargetMode="External"/><Relationship Id="rId119" Type="http://schemas.openxmlformats.org/officeDocument/2006/relationships/hyperlink" Target="https://stfc.space/officers/3304441016" TargetMode="External"/><Relationship Id="rId127" Type="http://schemas.openxmlformats.org/officeDocument/2006/relationships/hyperlink" Target="https://stfc.space/officers/361377304" TargetMode="External"/><Relationship Id="rId10" Type="http://schemas.openxmlformats.org/officeDocument/2006/relationships/hyperlink" Target="https://stfc.space/officers/566062509" TargetMode="External"/><Relationship Id="rId31" Type="http://schemas.openxmlformats.org/officeDocument/2006/relationships/hyperlink" Target="https://stfc.space/officers/949329475" TargetMode="External"/><Relationship Id="rId44" Type="http://schemas.openxmlformats.org/officeDocument/2006/relationships/hyperlink" Target="https://stfc.space/officers/1465017198" TargetMode="External"/><Relationship Id="rId52" Type="http://schemas.openxmlformats.org/officeDocument/2006/relationships/hyperlink" Target="https://stfc.space/officers/2498836305" TargetMode="External"/><Relationship Id="rId60" Type="http://schemas.openxmlformats.org/officeDocument/2006/relationships/hyperlink" Target="https://stfc.space/officers/3264304828" TargetMode="External"/><Relationship Id="rId65" Type="http://schemas.openxmlformats.org/officeDocument/2006/relationships/hyperlink" Target="https://stfc.space/officers/1602389738" TargetMode="External"/><Relationship Id="rId73" Type="http://schemas.openxmlformats.org/officeDocument/2006/relationships/hyperlink" Target="https://stfc.space/officers/3465002315" TargetMode="External"/><Relationship Id="rId78" Type="http://schemas.openxmlformats.org/officeDocument/2006/relationships/hyperlink" Target="https://stfc.space/officers/3114234402" TargetMode="External"/><Relationship Id="rId81" Type="http://schemas.openxmlformats.org/officeDocument/2006/relationships/hyperlink" Target="https://stfc.space/officers/2865735742" TargetMode="External"/><Relationship Id="rId86" Type="http://schemas.openxmlformats.org/officeDocument/2006/relationships/hyperlink" Target="https://stfc.space/officers/1617168639" TargetMode="External"/><Relationship Id="rId94" Type="http://schemas.openxmlformats.org/officeDocument/2006/relationships/hyperlink" Target="https://stfc.space/officers/1485791413" TargetMode="External"/><Relationship Id="rId99" Type="http://schemas.openxmlformats.org/officeDocument/2006/relationships/hyperlink" Target="https://stfc.space/officers/1859906553" TargetMode="External"/><Relationship Id="rId101" Type="http://schemas.openxmlformats.org/officeDocument/2006/relationships/hyperlink" Target="https://stfc.space/officers/4219901626" TargetMode="External"/><Relationship Id="rId122" Type="http://schemas.openxmlformats.org/officeDocument/2006/relationships/hyperlink" Target="https://stfc.space/officers/3627600020" TargetMode="External"/><Relationship Id="rId130" Type="http://schemas.openxmlformats.org/officeDocument/2006/relationships/hyperlink" Target="https://stfc.space/officers/1395454844" TargetMode="External"/><Relationship Id="rId135" Type="http://schemas.openxmlformats.org/officeDocument/2006/relationships/hyperlink" Target="https://stfc.space/officers/107451388" TargetMode="External"/><Relationship Id="rId143" Type="http://schemas.openxmlformats.org/officeDocument/2006/relationships/hyperlink" Target="https://stfc.space/officers/3281026482" TargetMode="External"/><Relationship Id="rId148" Type="http://schemas.openxmlformats.org/officeDocument/2006/relationships/hyperlink" Target="https://stfc.space/officers/1137482318" TargetMode="External"/><Relationship Id="rId151" Type="http://schemas.openxmlformats.org/officeDocument/2006/relationships/hyperlink" Target="https://stfc.space/officers/3001921707" TargetMode="External"/><Relationship Id="rId156" Type="http://schemas.openxmlformats.org/officeDocument/2006/relationships/hyperlink" Target="https://stfc.space/officers/1437818828" TargetMode="External"/><Relationship Id="rId164" Type="http://schemas.openxmlformats.org/officeDocument/2006/relationships/ctrlProp" Target="../ctrlProps/ctrlProp2.xml"/><Relationship Id="rId4" Type="http://schemas.openxmlformats.org/officeDocument/2006/relationships/hyperlink" Target="https://stfc.space/officers/339936167" TargetMode="External"/><Relationship Id="rId9" Type="http://schemas.openxmlformats.org/officeDocument/2006/relationships/hyperlink" Target="https://stfc.space/officers/1577339063" TargetMode="External"/><Relationship Id="rId13" Type="http://schemas.openxmlformats.org/officeDocument/2006/relationships/hyperlink" Target="https://stfc.space/officers/4066988596" TargetMode="External"/><Relationship Id="rId18" Type="http://schemas.openxmlformats.org/officeDocument/2006/relationships/hyperlink" Target="https://stfc.space/officers/1958876935" TargetMode="External"/><Relationship Id="rId39" Type="http://schemas.openxmlformats.org/officeDocument/2006/relationships/hyperlink" Target="https://stfc.space/officers/3314108979" TargetMode="External"/><Relationship Id="rId109" Type="http://schemas.openxmlformats.org/officeDocument/2006/relationships/hyperlink" Target="https://stfc.space/officers/1248750548" TargetMode="External"/><Relationship Id="rId34" Type="http://schemas.openxmlformats.org/officeDocument/2006/relationships/hyperlink" Target="https://stfc.space/officers/3490516652" TargetMode="External"/><Relationship Id="rId50" Type="http://schemas.openxmlformats.org/officeDocument/2006/relationships/hyperlink" Target="https://stfc.space/officers/3628828668" TargetMode="External"/><Relationship Id="rId55" Type="http://schemas.openxmlformats.org/officeDocument/2006/relationships/hyperlink" Target="https://stfc.space/officers/2775384983" TargetMode="External"/><Relationship Id="rId76" Type="http://schemas.openxmlformats.org/officeDocument/2006/relationships/hyperlink" Target="https://stfc.space/officers/3079282844" TargetMode="External"/><Relationship Id="rId97" Type="http://schemas.openxmlformats.org/officeDocument/2006/relationships/hyperlink" Target="https://stfc.space/officers/631590783" TargetMode="External"/><Relationship Id="rId104" Type="http://schemas.openxmlformats.org/officeDocument/2006/relationships/hyperlink" Target="https://stfc.space/officers/3534264929" TargetMode="External"/><Relationship Id="rId120" Type="http://schemas.openxmlformats.org/officeDocument/2006/relationships/hyperlink" Target="https://stfc.space/officers/161972881" TargetMode="External"/><Relationship Id="rId125" Type="http://schemas.openxmlformats.org/officeDocument/2006/relationships/hyperlink" Target="https://stfc.space/officers/1455040265" TargetMode="External"/><Relationship Id="rId141" Type="http://schemas.openxmlformats.org/officeDocument/2006/relationships/hyperlink" Target="https://stfc.space/officers/118103052" TargetMode="External"/><Relationship Id="rId146" Type="http://schemas.openxmlformats.org/officeDocument/2006/relationships/hyperlink" Target="https://stfc.space/officers/2517597941" TargetMode="External"/><Relationship Id="rId167" Type="http://schemas.openxmlformats.org/officeDocument/2006/relationships/ctrlProp" Target="../ctrlProps/ctrlProp5.xml"/><Relationship Id="rId7" Type="http://schemas.openxmlformats.org/officeDocument/2006/relationships/hyperlink" Target="https://stfc.space/officers/3769449499" TargetMode="External"/><Relationship Id="rId71" Type="http://schemas.openxmlformats.org/officeDocument/2006/relationships/hyperlink" Target="https://stfc.space/officers/250991574" TargetMode="External"/><Relationship Id="rId92" Type="http://schemas.openxmlformats.org/officeDocument/2006/relationships/hyperlink" Target="https://stfc.space/officers/3019272402" TargetMode="External"/><Relationship Id="rId162" Type="http://schemas.openxmlformats.org/officeDocument/2006/relationships/vmlDrawing" Target="../drawings/vmlDrawing1.vml"/><Relationship Id="rId2" Type="http://schemas.openxmlformats.org/officeDocument/2006/relationships/hyperlink" Target="https://stfc.space/officers/743931698" TargetMode="External"/><Relationship Id="rId29" Type="http://schemas.openxmlformats.org/officeDocument/2006/relationships/hyperlink" Target="https://stfc.space/officers/3542999283" TargetMode="External"/><Relationship Id="rId24" Type="http://schemas.openxmlformats.org/officeDocument/2006/relationships/hyperlink" Target="https://stfc.space/officers/1070197892" TargetMode="External"/><Relationship Id="rId40" Type="http://schemas.openxmlformats.org/officeDocument/2006/relationships/hyperlink" Target="https://stfc.space/officers/2204519406" TargetMode="External"/><Relationship Id="rId45" Type="http://schemas.openxmlformats.org/officeDocument/2006/relationships/hyperlink" Target="https://stfc.space/officers/2392608691" TargetMode="External"/><Relationship Id="rId66" Type="http://schemas.openxmlformats.org/officeDocument/2006/relationships/hyperlink" Target="https://stfc.space/officers/3492633912" TargetMode="External"/><Relationship Id="rId87" Type="http://schemas.openxmlformats.org/officeDocument/2006/relationships/hyperlink" Target="https://stfc.space/officers/3990993357" TargetMode="External"/><Relationship Id="rId110" Type="http://schemas.openxmlformats.org/officeDocument/2006/relationships/hyperlink" Target="https://stfc.space/officers/3594947012" TargetMode="External"/><Relationship Id="rId115" Type="http://schemas.openxmlformats.org/officeDocument/2006/relationships/hyperlink" Target="https://stfc.space/officers/176044746" TargetMode="External"/><Relationship Id="rId131" Type="http://schemas.openxmlformats.org/officeDocument/2006/relationships/hyperlink" Target="https://stfc.space/officers/1800794103" TargetMode="External"/><Relationship Id="rId136" Type="http://schemas.openxmlformats.org/officeDocument/2006/relationships/hyperlink" Target="https://stfc.space/officers/423029416" TargetMode="External"/><Relationship Id="rId157" Type="http://schemas.openxmlformats.org/officeDocument/2006/relationships/hyperlink" Target="https://stfc.space/officers/725106789" TargetMode="External"/><Relationship Id="rId61" Type="http://schemas.openxmlformats.org/officeDocument/2006/relationships/hyperlink" Target="https://stfc.space/officers/3528103772" TargetMode="External"/><Relationship Id="rId82" Type="http://schemas.openxmlformats.org/officeDocument/2006/relationships/hyperlink" Target="https://stfc.space/officers/2639742910" TargetMode="External"/><Relationship Id="rId152" Type="http://schemas.openxmlformats.org/officeDocument/2006/relationships/hyperlink" Target="https://stfc.space/officers/3381802332" TargetMode="External"/><Relationship Id="rId19" Type="http://schemas.openxmlformats.org/officeDocument/2006/relationships/hyperlink" Target="https://stfc.space/officers/3722250154" TargetMode="External"/><Relationship Id="rId14" Type="http://schemas.openxmlformats.org/officeDocument/2006/relationships/hyperlink" Target="https://stfc.space/officers/1525867544" TargetMode="External"/><Relationship Id="rId30" Type="http://schemas.openxmlformats.org/officeDocument/2006/relationships/hyperlink" Target="https://stfc.space/officers/2449957978" TargetMode="External"/><Relationship Id="rId35" Type="http://schemas.openxmlformats.org/officeDocument/2006/relationships/hyperlink" Target="https://stfc.space/officers/307877748" TargetMode="External"/><Relationship Id="rId56" Type="http://schemas.openxmlformats.org/officeDocument/2006/relationships/hyperlink" Target="https://stfc.space/officers/988947581" TargetMode="External"/><Relationship Id="rId77" Type="http://schemas.openxmlformats.org/officeDocument/2006/relationships/hyperlink" Target="https://stfc.space/officers/3923643019" TargetMode="External"/><Relationship Id="rId100" Type="http://schemas.openxmlformats.org/officeDocument/2006/relationships/hyperlink" Target="https://stfc.space/officers/2695272429" TargetMode="External"/><Relationship Id="rId105" Type="http://schemas.openxmlformats.org/officeDocument/2006/relationships/hyperlink" Target="https://stfc.space/officers/868427019" TargetMode="External"/><Relationship Id="rId126" Type="http://schemas.openxmlformats.org/officeDocument/2006/relationships/hyperlink" Target="https://stfc.space/officers/1556052341" TargetMode="External"/><Relationship Id="rId147" Type="http://schemas.openxmlformats.org/officeDocument/2006/relationships/hyperlink" Target="https://stfc.space/officers/1116707401" TargetMode="External"/><Relationship Id="rId168" Type="http://schemas.openxmlformats.org/officeDocument/2006/relationships/ctrlProp" Target="../ctrlProps/ctrlProp6.xml"/><Relationship Id="rId8" Type="http://schemas.openxmlformats.org/officeDocument/2006/relationships/hyperlink" Target="https://stfc.space/officers/2475235160" TargetMode="External"/><Relationship Id="rId51" Type="http://schemas.openxmlformats.org/officeDocument/2006/relationships/hyperlink" Target="https://stfc.space/officers/2520801863" TargetMode="External"/><Relationship Id="rId72" Type="http://schemas.openxmlformats.org/officeDocument/2006/relationships/hyperlink" Target="https://stfc.space/officers/2847497836" TargetMode="External"/><Relationship Id="rId93" Type="http://schemas.openxmlformats.org/officeDocument/2006/relationships/hyperlink" Target="https://stfc.space/officers/656972203" TargetMode="External"/><Relationship Id="rId98" Type="http://schemas.openxmlformats.org/officeDocument/2006/relationships/hyperlink" Target="https://stfc.space/officers/3217575459" TargetMode="External"/><Relationship Id="rId121" Type="http://schemas.openxmlformats.org/officeDocument/2006/relationships/hyperlink" Target="https://stfc.space/officers/2567136252" TargetMode="External"/><Relationship Id="rId142" Type="http://schemas.openxmlformats.org/officeDocument/2006/relationships/hyperlink" Target="https://stfc.space/officers/3394864658" TargetMode="External"/><Relationship Id="rId163" Type="http://schemas.openxmlformats.org/officeDocument/2006/relationships/ctrlProp" Target="../ctrlProps/ctrlProp1.xml"/><Relationship Id="rId3" Type="http://schemas.openxmlformats.org/officeDocument/2006/relationships/hyperlink" Target="https://stfc.space/officers/1127234629" TargetMode="External"/><Relationship Id="rId25" Type="http://schemas.openxmlformats.org/officeDocument/2006/relationships/hyperlink" Target="https://stfc.space/officers/3961190554" TargetMode="External"/><Relationship Id="rId46" Type="http://schemas.openxmlformats.org/officeDocument/2006/relationships/hyperlink" Target="https://stfc.space/officers/2765885322" TargetMode="External"/><Relationship Id="rId67" Type="http://schemas.openxmlformats.org/officeDocument/2006/relationships/hyperlink" Target="https://stfc.space/officers/3880112208" TargetMode="External"/><Relationship Id="rId116" Type="http://schemas.openxmlformats.org/officeDocument/2006/relationships/hyperlink" Target="https://stfc.space/officers/56060748" TargetMode="External"/><Relationship Id="rId137" Type="http://schemas.openxmlformats.org/officeDocument/2006/relationships/hyperlink" Target="https://stfc.space/officers/3579242146" TargetMode="External"/><Relationship Id="rId158" Type="http://schemas.openxmlformats.org/officeDocument/2006/relationships/hyperlink" Target="https://stfc.space/officers/2486433247" TargetMode="External"/><Relationship Id="rId20" Type="http://schemas.openxmlformats.org/officeDocument/2006/relationships/hyperlink" Target="https://stfc.space/officers/1730335425" TargetMode="External"/><Relationship Id="rId41" Type="http://schemas.openxmlformats.org/officeDocument/2006/relationships/hyperlink" Target="https://stfc.space/officers/1580157615" TargetMode="External"/><Relationship Id="rId62" Type="http://schemas.openxmlformats.org/officeDocument/2006/relationships/hyperlink" Target="https://stfc.space/officers/3553398304" TargetMode="External"/><Relationship Id="rId83" Type="http://schemas.openxmlformats.org/officeDocument/2006/relationships/hyperlink" Target="https://stfc.space/officers/3221819893" TargetMode="External"/><Relationship Id="rId88" Type="http://schemas.openxmlformats.org/officeDocument/2006/relationships/hyperlink" Target="https://stfc.space/officers/2184439996" TargetMode="External"/><Relationship Id="rId111" Type="http://schemas.openxmlformats.org/officeDocument/2006/relationships/hyperlink" Target="https://stfc.space/officers/2334517642" TargetMode="External"/><Relationship Id="rId132" Type="http://schemas.openxmlformats.org/officeDocument/2006/relationships/hyperlink" Target="https://stfc.space/officers/3106264505" TargetMode="External"/><Relationship Id="rId153" Type="http://schemas.openxmlformats.org/officeDocument/2006/relationships/hyperlink" Target="https://stfc.space/officers/40756886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11.xml"/><Relationship Id="rId13" Type="http://schemas.openxmlformats.org/officeDocument/2006/relationships/ctrlProp" Target="../ctrlProps/ctrlProp16.xml"/><Relationship Id="rId18" Type="http://schemas.openxmlformats.org/officeDocument/2006/relationships/ctrlProp" Target="../ctrlProps/ctrlProp21.xml"/><Relationship Id="rId26" Type="http://schemas.openxmlformats.org/officeDocument/2006/relationships/ctrlProp" Target="../ctrlProps/ctrlProp29.xml"/><Relationship Id="rId3" Type="http://schemas.openxmlformats.org/officeDocument/2006/relationships/vmlDrawing" Target="../drawings/vmlDrawing2.vml"/><Relationship Id="rId21" Type="http://schemas.openxmlformats.org/officeDocument/2006/relationships/ctrlProp" Target="../ctrlProps/ctrlProp24.xml"/><Relationship Id="rId7" Type="http://schemas.openxmlformats.org/officeDocument/2006/relationships/ctrlProp" Target="../ctrlProps/ctrlProp10.xml"/><Relationship Id="rId12" Type="http://schemas.openxmlformats.org/officeDocument/2006/relationships/ctrlProp" Target="../ctrlProps/ctrlProp15.xml"/><Relationship Id="rId17" Type="http://schemas.openxmlformats.org/officeDocument/2006/relationships/ctrlProp" Target="../ctrlProps/ctrlProp20.xml"/><Relationship Id="rId25" Type="http://schemas.openxmlformats.org/officeDocument/2006/relationships/ctrlProp" Target="../ctrlProps/ctrlProp28.xml"/><Relationship Id="rId2" Type="http://schemas.openxmlformats.org/officeDocument/2006/relationships/drawing" Target="../drawings/drawing2.xml"/><Relationship Id="rId16" Type="http://schemas.openxmlformats.org/officeDocument/2006/relationships/ctrlProp" Target="../ctrlProps/ctrlProp19.xml"/><Relationship Id="rId20" Type="http://schemas.openxmlformats.org/officeDocument/2006/relationships/ctrlProp" Target="../ctrlProps/ctrlProp23.xml"/><Relationship Id="rId1" Type="http://schemas.openxmlformats.org/officeDocument/2006/relationships/printerSettings" Target="../printerSettings/printerSettings3.bin"/><Relationship Id="rId6" Type="http://schemas.openxmlformats.org/officeDocument/2006/relationships/ctrlProp" Target="../ctrlProps/ctrlProp9.xml"/><Relationship Id="rId11" Type="http://schemas.openxmlformats.org/officeDocument/2006/relationships/ctrlProp" Target="../ctrlProps/ctrlProp14.xml"/><Relationship Id="rId24" Type="http://schemas.openxmlformats.org/officeDocument/2006/relationships/ctrlProp" Target="../ctrlProps/ctrlProp27.xml"/><Relationship Id="rId5" Type="http://schemas.openxmlformats.org/officeDocument/2006/relationships/ctrlProp" Target="../ctrlProps/ctrlProp8.xml"/><Relationship Id="rId15" Type="http://schemas.openxmlformats.org/officeDocument/2006/relationships/ctrlProp" Target="../ctrlProps/ctrlProp18.xml"/><Relationship Id="rId23" Type="http://schemas.openxmlformats.org/officeDocument/2006/relationships/ctrlProp" Target="../ctrlProps/ctrlProp26.xml"/><Relationship Id="rId10" Type="http://schemas.openxmlformats.org/officeDocument/2006/relationships/ctrlProp" Target="../ctrlProps/ctrlProp13.xml"/><Relationship Id="rId19" Type="http://schemas.openxmlformats.org/officeDocument/2006/relationships/ctrlProp" Target="../ctrlProps/ctrlProp22.xml"/><Relationship Id="rId4" Type="http://schemas.openxmlformats.org/officeDocument/2006/relationships/ctrlProp" Target="../ctrlProps/ctrlProp7.xml"/><Relationship Id="rId9" Type="http://schemas.openxmlformats.org/officeDocument/2006/relationships/ctrlProp" Target="../ctrlProps/ctrlProp12.xml"/><Relationship Id="rId14" Type="http://schemas.openxmlformats.org/officeDocument/2006/relationships/ctrlProp" Target="../ctrlProps/ctrlProp17.xml"/><Relationship Id="rId22" Type="http://schemas.openxmlformats.org/officeDocument/2006/relationships/ctrlProp" Target="../ctrlProps/ctrlProp25.xml"/><Relationship Id="rId27" Type="http://schemas.openxmlformats.org/officeDocument/2006/relationships/ctrlProp" Target="../ctrlProps/ctrlProp30.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discord.gg/BRhru6Vcnj" TargetMode="External"/><Relationship Id="rId1" Type="http://schemas.openxmlformats.org/officeDocument/2006/relationships/hyperlink" Target="https://discord.gg/BRhru6Vcnj" TargetMode="External"/><Relationship Id="rId4"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rgb="FFBF90BF"/>
    <pageSetUpPr autoPageBreaks="0"/>
  </sheetPr>
  <dimension ref="A1:Y180"/>
  <sheetViews>
    <sheetView tabSelected="1" zoomScaleNormal="100" workbookViewId="0">
      <pane ySplit="21" topLeftCell="A22" activePane="bottomLeft" state="frozen"/>
      <selection pane="bottomLeft" activeCell="N7" sqref="N7:O7"/>
    </sheetView>
  </sheetViews>
  <sheetFormatPr defaultRowHeight="16.5" x14ac:dyDescent="0.25"/>
  <cols>
    <col min="1" max="1" width="16.5703125" style="1" customWidth="1"/>
    <col min="2" max="2" width="1" style="1" customWidth="1"/>
    <col min="3" max="3" width="23.140625" style="1" customWidth="1"/>
    <col min="4" max="4" width="8.28515625" style="1" bestFit="1" customWidth="1"/>
    <col min="5" max="5" width="8" style="1" customWidth="1"/>
    <col min="6" max="8" width="10.7109375" style="1" customWidth="1"/>
    <col min="9" max="9" width="18.7109375" style="1" customWidth="1"/>
    <col min="10" max="19" width="9.7109375" style="1" customWidth="1"/>
    <col min="20" max="20" width="18.7109375" style="1" customWidth="1"/>
    <col min="21" max="21" width="3.140625" style="1" customWidth="1"/>
    <col min="22" max="22" width="5.85546875" style="1" customWidth="1"/>
    <col min="23" max="23" width="4.42578125" style="1" customWidth="1"/>
    <col min="24" max="24" width="6.5703125" style="1" customWidth="1"/>
    <col min="25" max="16384" width="9.140625" style="1"/>
  </cols>
  <sheetData>
    <row r="1" spans="1:25" ht="8.25" customHeight="1" x14ac:dyDescent="0.25"/>
    <row r="2" spans="1:25" ht="27.75" customHeight="1" x14ac:dyDescent="0.25">
      <c r="A2" s="28"/>
      <c r="B2" s="28"/>
      <c r="C2" s="213" t="s">
        <v>1610</v>
      </c>
      <c r="D2" s="576" t="s">
        <v>2162</v>
      </c>
      <c r="E2" s="576"/>
      <c r="F2" s="576"/>
      <c r="G2" s="577"/>
      <c r="H2" s="214"/>
      <c r="I2" s="214"/>
      <c r="J2" s="214"/>
      <c r="K2" s="214"/>
      <c r="L2" s="214"/>
      <c r="M2" s="214"/>
      <c r="N2" s="214"/>
      <c r="O2" s="214"/>
      <c r="P2" s="214"/>
      <c r="Q2" s="214"/>
      <c r="R2" s="214"/>
      <c r="S2" s="214"/>
      <c r="T2" s="214"/>
      <c r="U2" s="214"/>
      <c r="V2" s="214"/>
      <c r="W2" s="215" t="str">
        <f>"Version " &amp; 'Change Log'!$A$2</f>
        <v>Version 1.7.7</v>
      </c>
    </row>
    <row r="3" spans="1:25" ht="9" customHeight="1" thickBot="1" x14ac:dyDescent="0.3">
      <c r="A3" s="28"/>
      <c r="B3" s="28"/>
      <c r="W3" s="216"/>
    </row>
    <row r="4" spans="1:25" ht="15.75" customHeight="1" thickBot="1" x14ac:dyDescent="0.3">
      <c r="A4" s="2"/>
      <c r="B4" s="2"/>
      <c r="C4" s="28"/>
      <c r="D4" s="3"/>
      <c r="E4" s="4"/>
      <c r="F4" s="4"/>
      <c r="G4" s="4"/>
      <c r="H4" s="4"/>
      <c r="I4" s="52">
        <v>653.81600000000003</v>
      </c>
      <c r="J4" s="3"/>
      <c r="K4" s="4"/>
      <c r="L4" s="4"/>
      <c r="M4" s="4"/>
      <c r="N4" s="4"/>
      <c r="O4" s="4"/>
      <c r="P4" s="6"/>
      <c r="Q4" s="46"/>
      <c r="R4" s="46"/>
      <c r="S4" s="217"/>
      <c r="T4" s="2"/>
      <c r="U4" s="7"/>
      <c r="V4" s="7"/>
      <c r="W4" s="7"/>
      <c r="X4" s="7"/>
    </row>
    <row r="5" spans="1:25" ht="19.5" customHeight="1" thickBot="1" x14ac:dyDescent="0.3">
      <c r="A5" s="2"/>
      <c r="B5" s="2"/>
      <c r="C5" s="8"/>
      <c r="D5" s="468" t="s">
        <v>1869</v>
      </c>
      <c r="E5" s="475">
        <f>IFERROR(INDEX(ImportBonusLevel,MATCH(D5,ImportBonusList,0)),0)</f>
        <v>0</v>
      </c>
      <c r="F5" s="8"/>
      <c r="G5" s="2"/>
      <c r="H5" s="2"/>
      <c r="I5" s="467" t="s">
        <v>1769</v>
      </c>
      <c r="J5" s="476">
        <f>IFERROR(INDEX(ImportBonusLevel,MATCH(I5,ImportBonusList,0)),0)</f>
        <v>0</v>
      </c>
      <c r="K5" s="8"/>
      <c r="L5" s="8"/>
      <c r="N5" s="596" t="s">
        <v>130</v>
      </c>
      <c r="O5" s="597"/>
      <c r="P5" s="8"/>
      <c r="Q5" s="8"/>
      <c r="R5" s="459" t="s">
        <v>130</v>
      </c>
      <c r="S5" s="459" t="s">
        <v>671</v>
      </c>
      <c r="T5" s="8"/>
      <c r="U5" s="9"/>
      <c r="V5" s="7"/>
      <c r="W5" s="7"/>
      <c r="X5" s="7"/>
    </row>
    <row r="6" spans="1:25" ht="18" customHeight="1" thickBot="1" x14ac:dyDescent="0.3">
      <c r="A6" s="9"/>
      <c r="B6" s="2"/>
      <c r="C6" s="2"/>
      <c r="D6" s="218" t="b">
        <v>1</v>
      </c>
      <c r="E6" s="2"/>
      <c r="F6" s="2"/>
      <c r="G6" s="2"/>
      <c r="H6" s="2"/>
      <c r="I6" s="467" t="s">
        <v>1770</v>
      </c>
      <c r="J6" s="219">
        <f>IF(OpsLevel&gt;9,IF(OrionLevel&lt;1,0,IF(OpsLevel&lt;20,IF(OrionLevel&gt;20,0.1,IF(OrionLevel&gt;18,0.05,IF(OrionLevel&gt;14,0.02,0))),IF(OpsLevel&lt;30,IF(OrionLevel&gt;20,0.13,IF(OrionLevel&gt;18,0.07,IF(OrionLevel&gt;14,0.03,0))),IF(OpsLevel&lt;40,IF(OrionLevel&gt;20,0.37,IF(OrionLevel&gt;18,0.17,IF(OrionLevel&gt;14,0.07,0))),IF(OpsLevel&lt;51,IF(OrionLevel&gt;20,0.7,IF(OrionLevel&gt;18,0.35,IF(OrionLevel&gt;14,0.15,0))),IF(OpsLevel&gt;50,IF(OrionLevel&gt;20,0.9,IF(OrionLevel&gt;18,0.45,IF(OrionLevel&gt;14,0.2,0))),0)))))),0)</f>
        <v>0</v>
      </c>
      <c r="K6" s="8"/>
      <c r="L6" s="611" t="str">
        <f>IFERROR(IF(AND(VLOOKUP(L7,OfficerSkillsFull,11,FALSE) = VLOOKUP(N7,OfficerSkillsFull,11,FALSE), VLOOKUP(L7,OfficerSkillsFull,12,FALSE) = VLOOKUP(N7,OfficerSkillsFull,12,FALSE)),IF(OR(N7="TOS Chekov", N7="TOS Scotty", N7="Michael Burnham", N7="Origins Burnham", N7="Origins Saru", N7="Origins Stamets"),VLOOKUP(N7,OfficerSkillsFull,14,FALSE)&amp;"---------",VLOOKUP(N7,OfficerSkillsFull,14,FALSE)*100&amp;"% -------"),IF(VLOOKUP(L7,OfficerSkillsFull,11,FALSE) = VLOOKUP(N7,OfficerSkillsFull,11,FALSE),IF(OR(N7="TOS Chekov", N7="TOS Scotty", N7="Michael Burnham", N7="Origins Burnham", N7="Origins Saru", N7="Origins Stamets"),VLOOKUP(N7,OfficerSkillsFull,13,FALSE)&amp;"=======",VLOOKUP(N7,OfficerSkillsFull,13,FALSE)*100&amp;"% ====="),"")),"")</f>
        <v/>
      </c>
      <c r="M6" s="611"/>
      <c r="N6" s="610" t="str">
        <f>IFERROR(IF(OR(N7="TOS Chekov", N7="TOS Scotty", N7="Michael Burnham", N7="Origins Burnham", N7="Origins Saru", N7="Origins Stamets", N7="Rom"),VLOOKUP(N7,OfficerSkillsFull,10,FALSE),VLOOKUP(N7,OfficerSkillsFull,10,FALSE)*100 &amp; "%"),"")</f>
        <v/>
      </c>
      <c r="O6" s="610"/>
      <c r="P6" s="612" t="str">
        <f>IFERROR(IF(AND(VLOOKUP(P7,OfficerSkillsFull,11,FALSE) = VLOOKUP(N7,OfficerSkillsFull,11,FALSE), OR(VLOOKUP(P7,OfficerSkillsFull,12,FALSE) = VLOOKUP(N7,OfficerSkillsFull,12,FALSE),AND(VLOOKUP(P7,OfficerSkillsFull,11,FALSE) = VLOOKUP(L7,OfficerSkillsFull,11,FALSE),VLOOKUP(P7,OfficerSkillsFull,12,FALSE) = IFERROR(VLOOKUP(L7,OfficerSkillsFull,12,FALSE),"")))),"------- " &amp; IF(OR(N7="TOS Chekov", N7="TOS Scotty", N7="Michael Burnham", N7="Origins Burnham", N7="Origins Saru", N7="Origins Stamets"),VLOOKUP(N7,OfficerSkillsFull,14,FALSE),VLOOKUP(N7,OfficerSkillsFull,14,FALSE)*100),IF(VLOOKUP(P7,OfficerSkillsFull,11,FALSE) = VLOOKUP(N7,OfficerSkillsFull,11,FALSE),"===== " &amp; IF(OR(N7="TOS Chekov", N7="TOS Scotty", N7="Michael Burnham", N7="Origins Burnham", N7="Origins Saru", N7="Origins Stamets"),VLOOKUP(N7,OfficerSkillsFull,13,FALSE),VLOOKUP(N7,OfficerSkillsFull,13,FALSE)*100),"")),"")</f>
        <v/>
      </c>
      <c r="Q6" s="612"/>
      <c r="R6" s="219">
        <f>References!B7+References!D7</f>
        <v>0</v>
      </c>
      <c r="S6" s="219">
        <f>References!C7+References!E7</f>
        <v>0</v>
      </c>
      <c r="T6" s="220" t="s">
        <v>672</v>
      </c>
      <c r="U6" s="221"/>
      <c r="V6" s="222"/>
      <c r="W6" s="223"/>
      <c r="X6" s="9"/>
    </row>
    <row r="7" spans="1:25" ht="17.25" thickBot="1" x14ac:dyDescent="0.3">
      <c r="A7" s="224"/>
      <c r="B7" s="2"/>
      <c r="C7" s="225" t="s">
        <v>132</v>
      </c>
      <c r="D7" s="489">
        <f>IF(OpsLevel&lt;41,OpsLevel,IFERROR(VLOOKUP(OpsLevel,AcademyBonus,2,FALSE),""))</f>
        <v>0</v>
      </c>
      <c r="E7" s="226">
        <f t="shared" ref="E7:E8" si="0">IFERROR(INDEX(ImportBonusLevel,MATCH(C7,ImportBonusList,0)),0)</f>
        <v>0</v>
      </c>
      <c r="F7" s="225" t="s">
        <v>148</v>
      </c>
      <c r="H7" s="2"/>
      <c r="I7" s="467" t="s">
        <v>1771</v>
      </c>
      <c r="J7" s="219">
        <f>IF(OpsLevel&gt;9,IF(OrionLevel&lt;1,0,IF(OpsLevel&lt;20,IF(OrionLevel&gt;20,0.1,IF(OrionLevel&gt;18,0.05,IF(OrionLevel&gt;14,0.02,0))),IF(OpsLevel&lt;30,IF(OrionLevel&gt;20,0.13,IF(OrionLevel&gt;18,0.07,IF(OrionLevel&gt;14,0.03,0))),IF(OpsLevel&lt;40,IF(OrionLevel&gt;20,0.37,IF(OrionLevel&gt;18,0.17,IF(OrionLevel&gt;14,0.07,0))),IF(OpsLevel&lt;51,IF(OrionLevel&gt;20,0.7,IF(OrionLevel&gt;18,0.35,IF(OrionLevel&gt;14,0.15,0))),IF(OpsLevel&gt;50,IF(OrionLevel&gt;20,0.9,IF(OrionLevel&gt;18,0.45,IF(OrionLevel&gt;14,0.2,0))),0)))))),0)</f>
        <v>0</v>
      </c>
      <c r="K7" s="8"/>
      <c r="L7" s="604"/>
      <c r="M7" s="605"/>
      <c r="N7" s="608"/>
      <c r="O7" s="609"/>
      <c r="P7" s="604"/>
      <c r="Q7" s="605"/>
      <c r="R7" s="219">
        <f>References!B8+References!D8</f>
        <v>0</v>
      </c>
      <c r="S7" s="219">
        <f>References!C8+References!E8</f>
        <v>0</v>
      </c>
      <c r="T7" s="220" t="s">
        <v>673</v>
      </c>
      <c r="U7" s="10"/>
      <c r="V7" s="227"/>
      <c r="W7" s="228"/>
      <c r="X7" s="229" t="s">
        <v>137</v>
      </c>
    </row>
    <row r="8" spans="1:25" ht="17.25" thickBot="1" x14ac:dyDescent="0.3">
      <c r="A8" s="230" t="s">
        <v>3</v>
      </c>
      <c r="B8" s="2"/>
      <c r="C8" s="225" t="s">
        <v>0</v>
      </c>
      <c r="D8" s="2"/>
      <c r="E8" s="439">
        <f t="shared" si="0"/>
        <v>0</v>
      </c>
      <c r="F8" s="2"/>
      <c r="G8" s="231" t="b">
        <v>0</v>
      </c>
      <c r="H8" s="2"/>
      <c r="I8" s="467" t="s">
        <v>1772</v>
      </c>
      <c r="J8" s="219">
        <f>IF(OpsLevel&gt;9,IF(OrionLevel&lt;1,0,IF(OpsLevel&lt;20,IF(OrionLevel&gt;20,0.1,IF(OrionLevel&gt;18,0.05,IF(OrionLevel&gt;14,0.02,0))),IF(OpsLevel&lt;30,IF(OrionLevel&gt;20,0.13,IF(OrionLevel&gt;18,0.07,IF(OrionLevel&gt;14,0.03,0))),IF(OpsLevel&lt;40,IF(OrionLevel&gt;20,0.37,IF(OrionLevel&gt;18,0.17,IF(OrionLevel&gt;14,0.07,0))),IF(OpsLevel&lt;51,IF(OrionLevel&gt;20,0.7,IF(OrionLevel&gt;18,0.35,IF(OrionLevel&gt;14,0.15,0))),IF(OpsLevel&gt;50,IF(OrionLevel&gt;20,0.9,IF(OrionLevel&gt;18,0.45,IF(OrionLevel&gt;14,0.2,0))),0)))))),0)</f>
        <v>0</v>
      </c>
      <c r="K8" s="2"/>
      <c r="L8" s="603" t="str">
        <f>IFERROR(VLOOKUP(1,EasterEggs,2,),"")</f>
        <v/>
      </c>
      <c r="M8" s="603"/>
      <c r="N8" s="603"/>
      <c r="O8" s="603"/>
      <c r="P8" s="603"/>
      <c r="Q8" s="603"/>
      <c r="R8" s="219">
        <f>References!B9+References!D9</f>
        <v>0</v>
      </c>
      <c r="S8" s="219">
        <f>References!C9+References!E9</f>
        <v>0</v>
      </c>
      <c r="T8" s="220" t="s">
        <v>674</v>
      </c>
      <c r="U8" s="2"/>
      <c r="V8" s="232"/>
      <c r="W8" s="233"/>
      <c r="X8" s="234" t="s">
        <v>138</v>
      </c>
    </row>
    <row r="9" spans="1:25" ht="17.25" thickBot="1" x14ac:dyDescent="0.3">
      <c r="A9" s="230" t="s">
        <v>142</v>
      </c>
      <c r="B9" s="2"/>
      <c r="C9" s="251" t="s">
        <v>1699</v>
      </c>
      <c r="E9" s="458">
        <f>IFERROR(INDEX(ImportBonusLevel,MATCH(C9,ImportBonusList,0)),0)</f>
        <v>0</v>
      </c>
      <c r="F9" s="2"/>
      <c r="G9" s="231" t="b">
        <v>0</v>
      </c>
      <c r="H9" s="2"/>
      <c r="I9" s="8"/>
      <c r="J9" s="8"/>
      <c r="L9" s="8"/>
      <c r="N9" s="596" t="s">
        <v>131</v>
      </c>
      <c r="O9" s="598"/>
      <c r="P9" s="8"/>
      <c r="Q9" s="8"/>
      <c r="R9" s="8"/>
      <c r="S9" s="8"/>
      <c r="T9" s="8"/>
      <c r="U9" s="221"/>
      <c r="V9" s="235"/>
      <c r="W9" s="236"/>
      <c r="X9" s="237"/>
    </row>
    <row r="10" spans="1:25" ht="17.25" thickBot="1" x14ac:dyDescent="0.3">
      <c r="A10" s="238"/>
      <c r="B10" s="2"/>
      <c r="C10" s="225" t="s">
        <v>1</v>
      </c>
      <c r="D10" s="2"/>
      <c r="E10" s="440">
        <f t="shared" ref="E10:E15" si="1">IFERROR(INDEX(ImportBonusLevel,MATCH(C10,ImportBonusList,0)),0)</f>
        <v>0</v>
      </c>
      <c r="F10" s="2"/>
      <c r="G10" s="231" t="b">
        <v>0</v>
      </c>
      <c r="H10" s="2"/>
      <c r="I10" s="585"/>
      <c r="J10" s="606"/>
      <c r="K10" s="614"/>
      <c r="L10" s="606"/>
      <c r="M10" s="614"/>
      <c r="N10" s="606"/>
      <c r="O10" s="614"/>
      <c r="P10" s="606"/>
      <c r="Q10" s="607"/>
      <c r="R10" s="606"/>
      <c r="S10" s="614"/>
      <c r="T10" s="585"/>
      <c r="U10" s="221"/>
      <c r="V10" s="239"/>
      <c r="W10" s="240"/>
      <c r="X10" s="241"/>
      <c r="Y10" s="472"/>
    </row>
    <row r="11" spans="1:25" ht="17.25" thickBot="1" x14ac:dyDescent="0.3">
      <c r="A11" s="238"/>
      <c r="B11" s="2"/>
      <c r="C11" s="225" t="s">
        <v>114</v>
      </c>
      <c r="D11" s="2"/>
      <c r="E11" s="226">
        <f t="shared" si="1"/>
        <v>0</v>
      </c>
      <c r="F11" s="2"/>
      <c r="G11" s="231" t="b">
        <v>0</v>
      </c>
      <c r="H11" s="219">
        <f>IF(AOEApply = TRUE,IF(OpsLevel&lt;1,0,IF(OpsLevel&lt;20,0.35,IF(OpsLevel&lt;39,0.75,IF(OpsLevel&lt;51,1.25,IF(OpsLevel&lt;61,2,0))))),0)</f>
        <v>0</v>
      </c>
      <c r="I11" s="225"/>
      <c r="J11" s="225"/>
      <c r="K11" s="225"/>
      <c r="L11" s="613" t="s">
        <v>677</v>
      </c>
      <c r="M11" s="613"/>
      <c r="N11" s="613"/>
      <c r="O11" s="613"/>
      <c r="P11" s="613"/>
      <c r="Q11" s="613"/>
      <c r="R11" s="225"/>
      <c r="S11" s="225"/>
      <c r="T11" s="225"/>
      <c r="U11" s="221"/>
      <c r="V11" s="242"/>
      <c r="W11" s="243"/>
      <c r="X11" s="11" t="s">
        <v>139</v>
      </c>
    </row>
    <row r="12" spans="1:25" ht="17.25" thickBot="1" x14ac:dyDescent="0.3">
      <c r="A12" s="244"/>
      <c r="B12" s="2"/>
      <c r="C12" s="225" t="s">
        <v>115</v>
      </c>
      <c r="D12" s="2"/>
      <c r="E12" s="226">
        <f t="shared" si="1"/>
        <v>0</v>
      </c>
      <c r="F12" s="225" t="s">
        <v>1698</v>
      </c>
      <c r="G12" s="2"/>
      <c r="H12" s="226">
        <f>IFERROR(INDEX(ImportBonusLevel,MATCH(F12,ImportBonusList,0)),0)</f>
        <v>0</v>
      </c>
      <c r="I12" s="469"/>
      <c r="L12" s="615" t="s">
        <v>110</v>
      </c>
      <c r="M12" s="616"/>
      <c r="N12" s="615" t="s">
        <v>111</v>
      </c>
      <c r="O12" s="617"/>
      <c r="P12" s="615" t="s">
        <v>112</v>
      </c>
      <c r="Q12" s="617"/>
      <c r="U12" s="221"/>
      <c r="V12" s="246"/>
      <c r="W12" s="247"/>
      <c r="X12" s="248"/>
    </row>
    <row r="13" spans="1:25" ht="17.25" thickBot="1" x14ac:dyDescent="0.3">
      <c r="A13" s="249" t="s">
        <v>140</v>
      </c>
      <c r="B13" s="2"/>
      <c r="C13" s="225" t="s">
        <v>2</v>
      </c>
      <c r="D13" s="2"/>
      <c r="E13" s="226">
        <f t="shared" si="1"/>
        <v>0</v>
      </c>
      <c r="F13" s="251" t="s">
        <v>777</v>
      </c>
      <c r="G13" s="245"/>
      <c r="H13" s="250">
        <f>IFERROR(INDEX(ImportBonusLevel,MATCH(F13,ImportBonusList,0)),0)</f>
        <v>0</v>
      </c>
      <c r="I13" s="252" t="s">
        <v>211</v>
      </c>
      <c r="J13" s="599"/>
      <c r="K13" s="600"/>
      <c r="L13" s="601">
        <f>IFERROR((INDEX(RosterAttack,MATCH(L7,RosterOfficer,0))/OfficerBonusA)*(OfficerBonusAB+SUM(R6:S6)),0)+IFERROR((INDEX(RosterAttack,MATCH(N7,RosterOfficer,0))/OfficerBonusA)*(OfficerBonusAC+SUM(R6:S6)),0)+IFERROR((INDEX(RosterAttack,MATCH(P7,RosterOfficer,0))/OfficerBonusA)*(OfficerBonusAB+SUM(R6:S6)),0)+IFERROR((INDEX(RosterAttack,MATCH(I10,RosterOfficer,0))/OfficerBonusA)*(OfficerBonusA+S6),0)+IFERROR((INDEX(RosterAttack,MATCH(J10,RosterOfficer,0))/OfficerBonusA)*(OfficerBonusA+S6),0)+IFERROR((INDEX(RosterAttack,MATCH(L10,RosterOfficer,0))/OfficerBonusA)*(OfficerBonusA+S6),0)+IFERROR((INDEX(RosterAttack,MATCH(N10,RosterOfficer,0))/OfficerBonusA)*(OfficerBonusA+S6),0)+IFERROR((INDEX(RosterAttack,MATCH(P10,RosterOfficer,0))/OfficerBonusA)*(OfficerBonusA+S6),0)+IFERROR((INDEX(RosterAttack,MATCH(R10,RosterOfficer,0))/OfficerBonusA)*(OfficerBonusA+S6),0)+IFERROR((INDEX(RosterAttack,MATCH(T10,RosterOfficer,0))/OfficerBonusA)*(OfficerBonusA+S6),0)</f>
        <v>0</v>
      </c>
      <c r="M13" s="602"/>
      <c r="N13" s="601">
        <f>IFERROR((INDEX(RosterDefence,MATCH(L7,RosterOfficer,0))/OfficerBonusD)*(OfficerBonusDB+SUM(R7:S7)),0)+IFERROR((INDEX(RosterDefence,MATCH(N7,RosterOfficer,0))/OfficerBonusD)*(OfficerBonusDC+SUM(R7:S7)),0)+IFERROR((INDEX(RosterDefence,MATCH(P7,RosterOfficer,0))/OfficerBonusD)*(OfficerBonusDB+SUM(R7:S7)),0)+IFERROR((INDEX(RosterDefence,MATCH(I10,RosterOfficer,0))/OfficerBonusD)*(OfficerBonusD+S7),0)+IFERROR((INDEX(RosterDefence,MATCH(J10,RosterOfficer,0))/OfficerBonusD)*(OfficerBonusD+S7),0)+IFERROR((INDEX(RosterDefence,MATCH(L10,RosterOfficer,0))/OfficerBonusD)*(OfficerBonusD+S7),0)+IFERROR((INDEX(RosterDefence,MATCH(N10,RosterOfficer,0))/OfficerBonusD)*(OfficerBonusD+S7),0)+IFERROR((INDEX(RosterDefence,MATCH(P10,RosterOfficer,0))/OfficerBonusD)*(OfficerBonusD+S7),0)+IFERROR((INDEX(RosterDefence,MATCH(R10,RosterOfficer,0))/OfficerBonusD)*(OfficerBonusD+S7),0)+IFERROR((INDEX(RosterDefence,MATCH(T10,RosterOfficer,0))/OfficerBonusD)*(OfficerBonusD+S7),0)</f>
        <v>0</v>
      </c>
      <c r="O13" s="602"/>
      <c r="P13" s="601">
        <f>IFERROR((INDEX(RosterHealth,MATCH(L7,RosterOfficer,0))/OfficerBonusH)*(OfficerBonusHB+SUM(R8:S8)),0)+IFERROR((INDEX(RosterHealth,MATCH(N7,RosterOfficer,0))/OfficerBonusH)*(OfficerBonusHC+SUM(R8:S8)),0)+IFERROR((INDEX(RosterHealth,MATCH(P7,RosterOfficer,0))/OfficerBonusH)*(OfficerBonusHB+SUM(R8:S8)),0)+IFERROR((INDEX(RosterHealth,MATCH(I10,RosterOfficer,0))/OfficerBonusH)*(OfficerBonusH+S8),0)+IFERROR((INDEX(RosterHealth,MATCH(J10,RosterOfficer,0))/OfficerBonusH)*(OfficerBonusH+S8),0)+IFERROR((INDEX(RosterHealth,MATCH(L10,RosterOfficer,0))/OfficerBonusH)*(OfficerBonusH+S8),0)+IFERROR((INDEX(RosterHealth,MATCH(N10,RosterOfficer,0))/OfficerBonusH)*(OfficerBonusH+S8),0)+IFERROR((INDEX(RosterHealth,MATCH(P10,RosterOfficer,0))/OfficerBonusH)*(OfficerBonusH+S8),0)+IFERROR((INDEX(RosterHealth,MATCH(R10,RosterOfficer,0))/OfficerBonusH)*(OfficerBonusH+S8),0)+IFERROR((INDEX(RosterHealth,MATCH(T10,RosterOfficer,0))/OfficerBonusH)*(OfficerBonusH+S8),0)</f>
        <v>0</v>
      </c>
      <c r="Q13" s="602"/>
      <c r="T13" s="253" t="s">
        <v>212</v>
      </c>
      <c r="U13" s="221"/>
      <c r="V13" s="239"/>
      <c r="W13" s="240"/>
      <c r="X13" s="241"/>
    </row>
    <row r="14" spans="1:25" ht="17.25" thickBot="1" x14ac:dyDescent="0.3">
      <c r="A14" s="249"/>
      <c r="B14" s="2"/>
      <c r="C14" s="225" t="s">
        <v>774</v>
      </c>
      <c r="D14" s="2"/>
      <c r="E14" s="226">
        <f t="shared" si="1"/>
        <v>0</v>
      </c>
      <c r="F14" s="251" t="s">
        <v>776</v>
      </c>
      <c r="G14" s="245"/>
      <c r="H14" s="250">
        <f>IFERROR(INDEX(ImportBonusLevel,MATCH(F14,ImportBonusList,0)),0)</f>
        <v>0</v>
      </c>
      <c r="I14" s="252" t="s">
        <v>208</v>
      </c>
      <c r="J14" s="254" t="str">
        <f>IFERROR(VLOOKUP(SelectedShip&amp;"Bonuses",ShipList,4,FALSE),"")</f>
        <v/>
      </c>
      <c r="K14" s="254" t="str">
        <f>IFERROR(VLOOKUP(SelectedShip&amp;"Bonuses",ShipList,6,FALSE),"")</f>
        <v/>
      </c>
      <c r="L14" s="254" t="str">
        <f>IFERROR(VLOOKUP(SelectedShip&amp;"Bonuses",ShipList,8,FALSE),"")</f>
        <v/>
      </c>
      <c r="M14" s="254" t="str">
        <f>IFERROR(VLOOKUP(SelectedShip&amp;"Bonuses",ShipList,10,FALSE),"")</f>
        <v/>
      </c>
      <c r="N14" s="254" t="str">
        <f>IFERROR(VLOOKUP(SelectedShip&amp;"Bonuses",ShipList,12,FALSE),"")</f>
        <v/>
      </c>
      <c r="O14" s="254" t="str">
        <f>IFERROR(VLOOKUP(SelectedShip&amp;"Bonuses",ShipList,14,FALSE),"")</f>
        <v/>
      </c>
      <c r="P14" s="254" t="str">
        <f>IFERROR(VLOOKUP(SelectedShip&amp;"Bonuses",ShipList,16,FALSE),"")</f>
        <v/>
      </c>
      <c r="Q14" s="254" t="str">
        <f>IFERROR(VLOOKUP(SelectedShip&amp;"Bonuses",ShipList,18,FALSE),"")</f>
        <v/>
      </c>
      <c r="R14" s="254" t="str">
        <f>IFERROR(VLOOKUP(SelectedShip&amp;"Bonuses",ShipList,20,FALSE),"")</f>
        <v/>
      </c>
      <c r="S14" s="254" t="str">
        <f>IFERROR(VLOOKUP(SelectedShip&amp;"Bonuses",ShipList,22,FALSE),"")</f>
        <v/>
      </c>
      <c r="T14" s="255">
        <f>IF(L13&gt;S14,VLOOKUP(SelectedShip&amp;"Bonuses",ShipList,23,FALSE),IF(L13&gt;R14,VLOOKUP(SelectedShip&amp;"Bonuses",ShipList,21,FALSE),IF(L13&gt;Q14,VLOOKUP(SelectedShip&amp;"Bonuses",ShipList,19,FALSE),IF(L13&gt;P14,VLOOKUP(SelectedShip&amp;"Bonuses",ShipList,17,FALSE),IF(L13&gt;O14,VLOOKUP(SelectedShip&amp;"Bonuses",ShipList,15,FALSE),IF(L13&gt;N14,VLOOKUP(SelectedShip&amp;"Bonuses",ShipList,13,FALSE),IF(L13&gt;M14,VLOOKUP(SelectedShip&amp;"Bonuses",ShipList,11,FALSE),IF(L13&gt;L14,VLOOKUP(SelectedShip&amp;"Bonuses",ShipList,9,FALSE),IF(L13&gt;K14,VLOOKUP(SelectedShip&amp;"Bonuses",ShipList,7,FALSE),IF(L13&gt;J14,VLOOKUP(SelectedShip&amp;"Bonuses",ShipList,5,FALSE),0))))))))))</f>
        <v>0</v>
      </c>
      <c r="U14" s="221"/>
      <c r="V14" s="242"/>
      <c r="W14" s="243"/>
      <c r="X14" s="11" t="s">
        <v>207</v>
      </c>
    </row>
    <row r="15" spans="1:25" ht="17.25" thickBot="1" x14ac:dyDescent="0.3">
      <c r="A15" s="256"/>
      <c r="B15" s="2"/>
      <c r="C15" s="225" t="s">
        <v>775</v>
      </c>
      <c r="D15" s="2"/>
      <c r="E15" s="226">
        <f t="shared" si="1"/>
        <v>0</v>
      </c>
      <c r="F15" s="251" t="s">
        <v>778</v>
      </c>
      <c r="G15" s="245"/>
      <c r="H15" s="250">
        <f>IFERROR(INDEX(ImportBonusLevel,MATCH(F15,ImportBonusList,0)),0)</f>
        <v>0</v>
      </c>
      <c r="I15" s="252" t="s">
        <v>209</v>
      </c>
      <c r="J15" s="254" t="str">
        <f>IFERROR(VLOOKUP(SelectedShip&amp;"Bonuses",ShipList,4,FALSE),"")</f>
        <v/>
      </c>
      <c r="K15" s="254" t="str">
        <f>IFERROR(VLOOKUP(SelectedShip&amp;"Bonuses",ShipList,6,FALSE),"")</f>
        <v/>
      </c>
      <c r="L15" s="254" t="str">
        <f>IFERROR(VLOOKUP(SelectedShip&amp;"Bonuses",ShipList,8,FALSE),"")</f>
        <v/>
      </c>
      <c r="M15" s="254" t="str">
        <f>IFERROR(VLOOKUP(SelectedShip&amp;"Bonuses",ShipList,10,FALSE),"")</f>
        <v/>
      </c>
      <c r="N15" s="254" t="str">
        <f>IFERROR(VLOOKUP(SelectedShip&amp;"Bonuses",ShipList,12,FALSE),"")</f>
        <v/>
      </c>
      <c r="O15" s="254" t="str">
        <f>IFERROR(VLOOKUP(SelectedShip&amp;"Bonuses",ShipList,14,FALSE),"")</f>
        <v/>
      </c>
      <c r="P15" s="254" t="str">
        <f>IFERROR(VLOOKUP(SelectedShip&amp;"Bonuses",ShipList,16,FALSE),"")</f>
        <v/>
      </c>
      <c r="Q15" s="254" t="str">
        <f>IFERROR(VLOOKUP(SelectedShip&amp;"Bonuses",ShipList,18,FALSE),"")</f>
        <v/>
      </c>
      <c r="R15" s="254" t="str">
        <f>IFERROR(VLOOKUP(SelectedShip&amp;"Bonuses",ShipList,20,FALSE),"")</f>
        <v/>
      </c>
      <c r="S15" s="254" t="str">
        <f>IFERROR(VLOOKUP(SelectedShip&amp;"Bonuses",ShipList,22,FALSE),"")</f>
        <v/>
      </c>
      <c r="T15" s="255">
        <f>IF(N13&gt;S15,VLOOKUP(SelectedShip&amp;"Bonuses",ShipList,23,FALSE),IF(N13&gt;R15,VLOOKUP(SelectedShip&amp;"Bonuses",ShipList,21,FALSE),IF(N13&gt;Q15,VLOOKUP(SelectedShip&amp;"Bonuses",ShipList,19,FALSE),IF(N13&gt;P15,VLOOKUP(SelectedShip&amp;"Bonuses",ShipList,17,FALSE),IF(N13&gt;O15,VLOOKUP(SelectedShip&amp;"Bonuses",ShipList,15,FALSE),IF(N13&gt;N15,VLOOKUP(SelectedShip&amp;"Bonuses",ShipList,13,FALSE),IF(N13&gt;M15,VLOOKUP(SelectedShip&amp;"Bonuses",ShipList,11,FALSE),IF(N13&gt;L15,VLOOKUP(SelectedShip&amp;"Bonuses",ShipList,9,FALSE),IF(N13&gt;K15,VLOOKUP(SelectedShip&amp;"Bonuses",ShipList,7,FALSE),IF(N13&gt;J15,VLOOKUP(SelectedShip&amp;"Bonuses",ShipList,5,FALSE),0))))))))))</f>
        <v>0</v>
      </c>
      <c r="U15" s="221"/>
      <c r="V15" s="246"/>
      <c r="W15" s="247"/>
      <c r="X15" s="248"/>
    </row>
    <row r="16" spans="1:25" ht="17.25" thickBot="1" x14ac:dyDescent="0.3">
      <c r="A16" s="2"/>
      <c r="B16" s="2"/>
      <c r="H16" s="2"/>
      <c r="I16" s="257" t="s">
        <v>210</v>
      </c>
      <c r="J16" s="254" t="str">
        <f>IFERROR(VLOOKUP(SelectedShip&amp;"Bonuses",ShipList,4,FALSE),"")</f>
        <v/>
      </c>
      <c r="K16" s="254" t="str">
        <f>IFERROR(VLOOKUP(SelectedShip&amp;"Bonuses",ShipList,6,FALSE),"")</f>
        <v/>
      </c>
      <c r="L16" s="254" t="str">
        <f>IFERROR(VLOOKUP(SelectedShip&amp;"Bonuses",ShipList,8,FALSE),"")</f>
        <v/>
      </c>
      <c r="M16" s="254" t="str">
        <f>IFERROR(VLOOKUP(SelectedShip&amp;"Bonuses",ShipList,10,FALSE),"")</f>
        <v/>
      </c>
      <c r="N16" s="254" t="str">
        <f>IFERROR(VLOOKUP(SelectedShip&amp;"Bonuses",ShipList,12,FALSE),"")</f>
        <v/>
      </c>
      <c r="O16" s="254" t="str">
        <f>IFERROR(VLOOKUP(SelectedShip&amp;"Bonuses",ShipList,14,FALSE),"")</f>
        <v/>
      </c>
      <c r="P16" s="254" t="str">
        <f>IFERROR(VLOOKUP(SelectedShip&amp;"Bonuses",ShipList,16,FALSE),"")</f>
        <v/>
      </c>
      <c r="Q16" s="254" t="str">
        <f>IFERROR(VLOOKUP(SelectedShip&amp;"Bonuses",ShipList,18,FALSE),"")</f>
        <v/>
      </c>
      <c r="R16" s="254" t="str">
        <f>IFERROR(VLOOKUP(SelectedShip&amp;"Bonuses",ShipList,20,FALSE),"")</f>
        <v/>
      </c>
      <c r="S16" s="254" t="str">
        <f>IFERROR(VLOOKUP(SelectedShip&amp;"Bonuses",ShipList,22,FALSE),"")</f>
        <v/>
      </c>
      <c r="T16" s="255">
        <f>IF(P13&gt;S16,VLOOKUP(SelectedShip&amp;"Bonuses",ShipList,23,FALSE),IF(P13&gt;R16,VLOOKUP(SelectedShip&amp;"Bonuses",ShipList,21,FALSE),IF(P13&gt;Q16,VLOOKUP(SelectedShip&amp;"Bonuses",ShipList,19,FALSE),IF(P13&gt;P16,VLOOKUP(SelectedShip&amp;"Bonuses",ShipList,17,FALSE),IF(P13&gt;O16,VLOOKUP(SelectedShip&amp;"Bonuses",ShipList,15,FALSE),IF(P13&gt;N16,VLOOKUP(SelectedShip&amp;"Bonuses",ShipList,13,FALSE),IF(P13&gt;M16,VLOOKUP(SelectedShip&amp;"Bonuses",ShipList,11,FALSE),IF(P13&gt;L16,VLOOKUP(SelectedShip&amp;"Bonuses",ShipList,9,FALSE),IF(P13&gt;K16,VLOOKUP(SelectedShip&amp;"Bonuses",ShipList,7,FALSE),IF(P13&gt;J16,VLOOKUP(SelectedShip&amp;"Bonuses",ShipList,5,FALSE),0))))))))))</f>
        <v>0</v>
      </c>
      <c r="U16" s="258"/>
      <c r="V16" s="7"/>
      <c r="W16" s="7"/>
      <c r="X16" s="7"/>
    </row>
    <row r="17" spans="1:24" ht="23.25" customHeight="1" thickBot="1" x14ac:dyDescent="0.3">
      <c r="A17" s="2"/>
      <c r="B17" s="2"/>
      <c r="C17" s="13" t="b">
        <v>0</v>
      </c>
      <c r="D17" s="2"/>
      <c r="E17" s="2"/>
      <c r="F17" s="2"/>
      <c r="G17" s="14"/>
      <c r="H17" s="2"/>
      <c r="I17" s="2"/>
      <c r="J17" s="2"/>
      <c r="K17" s="2"/>
      <c r="L17" s="595" t="s">
        <v>133</v>
      </c>
      <c r="M17" s="595"/>
      <c r="N17" s="595"/>
      <c r="O17" s="595"/>
      <c r="P17" s="595"/>
      <c r="Q17" s="595"/>
      <c r="R17" s="12"/>
      <c r="S17" s="12"/>
      <c r="T17" s="2"/>
      <c r="U17" s="10"/>
      <c r="V17" s="7"/>
      <c r="W17" s="7"/>
      <c r="X17" s="7"/>
    </row>
    <row r="18" spans="1:24" ht="17.25" customHeight="1" thickBot="1" x14ac:dyDescent="0.3">
      <c r="A18" s="2"/>
      <c r="B18" s="2"/>
      <c r="C18" s="2"/>
      <c r="D18" s="3"/>
      <c r="E18" s="16"/>
      <c r="F18" s="5">
        <v>745.68499999999995</v>
      </c>
      <c r="G18" s="17"/>
      <c r="H18" s="18"/>
      <c r="I18" s="18"/>
      <c r="J18" s="18"/>
      <c r="K18" s="18"/>
      <c r="L18" s="19"/>
      <c r="M18" s="19"/>
      <c r="N18" s="49"/>
      <c r="O18" s="20">
        <v>689.11400000000003</v>
      </c>
      <c r="P18" s="48"/>
      <c r="Q18" s="51" t="s">
        <v>141</v>
      </c>
      <c r="R18" s="50"/>
      <c r="S18" s="47"/>
      <c r="T18" s="2"/>
      <c r="U18" s="10"/>
      <c r="V18" s="7"/>
      <c r="W18" s="7"/>
      <c r="X18" s="7"/>
    </row>
    <row r="19" spans="1:24" ht="8.25" customHeight="1" thickBot="1" x14ac:dyDescent="0.3">
      <c r="A19" s="2"/>
      <c r="B19" s="2"/>
      <c r="C19" s="2"/>
      <c r="D19" s="2"/>
      <c r="E19" s="2"/>
      <c r="F19" s="2"/>
      <c r="G19" s="14"/>
      <c r="H19" s="2"/>
      <c r="I19" s="2"/>
      <c r="J19" s="2"/>
      <c r="K19" s="2"/>
      <c r="L19" s="15"/>
      <c r="M19" s="15"/>
      <c r="N19" s="15"/>
      <c r="O19" s="15"/>
      <c r="P19" s="15"/>
      <c r="Q19" s="15"/>
      <c r="R19" s="12"/>
      <c r="S19" s="12"/>
      <c r="T19" s="2"/>
      <c r="U19" s="10"/>
      <c r="V19" s="7"/>
      <c r="W19" s="7"/>
      <c r="X19" s="7"/>
    </row>
    <row r="20" spans="1:24" ht="27.75" customHeight="1" thickBot="1" x14ac:dyDescent="0.3">
      <c r="A20" s="28"/>
      <c r="B20" s="21"/>
      <c r="C20" s="21"/>
      <c r="D20" s="22"/>
      <c r="E20" s="22"/>
      <c r="F20" s="22"/>
      <c r="G20" s="22"/>
      <c r="H20" s="22"/>
      <c r="I20" s="22"/>
      <c r="J20" s="22"/>
      <c r="K20" s="22"/>
      <c r="L20" s="22"/>
      <c r="M20" s="22"/>
      <c r="N20" s="79" t="s">
        <v>644</v>
      </c>
      <c r="O20" s="95" t="s">
        <v>1767</v>
      </c>
      <c r="P20" s="22"/>
      <c r="Q20" s="22"/>
      <c r="R20" s="22"/>
      <c r="S20" s="22"/>
      <c r="T20" s="22"/>
      <c r="U20" s="22"/>
      <c r="V20" s="22"/>
      <c r="W20" s="22"/>
      <c r="X20" s="7"/>
    </row>
    <row r="21" spans="1:24" s="96" customFormat="1" ht="31.5" customHeight="1" x14ac:dyDescent="0.25">
      <c r="A21" s="87"/>
      <c r="B21" s="87"/>
      <c r="C21" s="87" t="s">
        <v>3</v>
      </c>
      <c r="D21" s="88" t="s">
        <v>113</v>
      </c>
      <c r="E21" s="88" t="s">
        <v>324</v>
      </c>
      <c r="F21" s="88" t="s">
        <v>110</v>
      </c>
      <c r="G21" s="88" t="s">
        <v>111</v>
      </c>
      <c r="H21" s="88" t="s">
        <v>112</v>
      </c>
      <c r="I21" s="87" t="s">
        <v>336</v>
      </c>
      <c r="J21" s="89" t="str">
        <f>IF(O20="Abilities","CM or BDA","")</f>
        <v>CM or BDA</v>
      </c>
      <c r="K21" s="89" t="str">
        <f>IF(O20="Abilities","OA","")</f>
        <v>OA</v>
      </c>
      <c r="L21" s="89" t="str">
        <f ca="1">VLOOKUP("Headings",INDIRECT($O$20),2,FALSE)</f>
        <v>Burning</v>
      </c>
      <c r="M21" s="89" t="str">
        <f ca="1">VLOOKUP("Headings",INDIRECT($O$20),3,FALSE)</f>
        <v>Breach</v>
      </c>
      <c r="N21" s="89" t="str">
        <f ca="1">VLOOKUP("Headings",INDIRECT($O$20),4,FALSE)</f>
        <v>Morale</v>
      </c>
      <c r="O21" s="88" t="str">
        <f ca="1">VLOOKUP("Headings",INDIRECT($O$20),5,FALSE)</f>
        <v>Captain Manouver, Below Decks and Officer Ability</v>
      </c>
      <c r="Q21" s="87"/>
      <c r="R21" s="87"/>
      <c r="S21" s="87"/>
      <c r="T21" s="87"/>
      <c r="U21" s="87"/>
      <c r="V21" s="87"/>
      <c r="W21" s="87"/>
      <c r="X21" s="87"/>
    </row>
    <row r="22" spans="1:24" s="13" customFormat="1" ht="17.25" customHeight="1" x14ac:dyDescent="0.25">
      <c r="A22" s="34"/>
      <c r="B22" s="13" t="str">
        <f t="shared" ref="B22:B53" si="2">VLOOKUP(C22,OfficerScores,2,FALSE)</f>
        <v>U</v>
      </c>
      <c r="C22" s="493" t="s">
        <v>47</v>
      </c>
      <c r="D22" s="44">
        <f t="shared" ref="D22:D55" ca="1" si="3">IFERROR(INDEX(ImportLevel,MATCH(C22,ImportOfficerList,0)),0)</f>
        <v>0</v>
      </c>
      <c r="E22" s="34">
        <f t="shared" ref="E22:E55" ca="1" si="4">IFERROR(INDEX(ImportRank,MATCH(C22,ImportOfficerList,0)),0)</f>
        <v>0</v>
      </c>
      <c r="F22" s="35">
        <f t="shared" ref="F22:F53" ca="1" si="5">IF(D22&gt;0,VLOOKUP(C22,OfficerStats,IF(MaxLevel=TRUE,30,D22)*3-1,FALSE)*OfficerBonusA,IF(MaxLevel = TRUE,VLOOKUP(C22,OfficerStats,30*3-1,FALSE)*OfficerBonusA,0))</f>
        <v>0</v>
      </c>
      <c r="G22" s="35">
        <f t="shared" ref="G22:G53" ca="1" si="6">IF(D22&gt;0,VLOOKUP(C22,OfficerStats,IF(MaxLevel=TRUE,30,D22)*3,FALSE)*OfficerBonusD,IF(MaxLevel = TRUE,VLOOKUP(C22,OfficerStats,30*3,FALSE)*OfficerBonusD,0))</f>
        <v>0</v>
      </c>
      <c r="H22" s="35">
        <f t="shared" ref="H22:H53" ca="1" si="7">IF(D22&gt;0,VLOOKUP(C22,OfficerStats,IF(MaxLevel=TRUE,30,D22)*3+1,FALSE)*OfficerBonusH,IF(MaxLevel = TRUE,VLOOKUP(C22,OfficerStats,30*3+1,FALSE)*OfficerBonusH,0))</f>
        <v>0</v>
      </c>
      <c r="I22" s="34" t="str">
        <f t="shared" ref="I22:I53" si="8">IFERROR(INDEX(OfficerSkillsFull,MATCH(C22,OfficerSkillsOfficers,0),11),0)</f>
        <v>Auxiliary Controls</v>
      </c>
      <c r="J22" s="33" t="str">
        <f t="shared" ref="J22:J53" ca="1" si="9">IFERROR(IF($O$20="Abilities",VLOOKUP(C22,INDIRECT($O$20),6,FALSE)*100 &amp; "%",""),"")</f>
        <v/>
      </c>
      <c r="K22" s="33" t="str">
        <f t="shared" ref="K22:K38" ca="1" si="10">IFERROR(IF($O$20="Abilities",VLOOKUP(C22,INDIRECT($O$20),7,FALSE)*100 &amp; "%",""),"")</f>
        <v/>
      </c>
      <c r="L22" s="33" t="str">
        <f t="shared" ref="L22:L53" ca="1" si="11">VLOOKUP(C22,INDIRECT($O$20),2,FALSE)</f>
        <v xml:space="preserve"> | </v>
      </c>
      <c r="M22" s="33" t="str">
        <f t="shared" ref="M22:M53" ca="1" si="12">VLOOKUP(C22,INDIRECT($O$20),3,FALSE)</f>
        <v xml:space="preserve"> | </v>
      </c>
      <c r="N22" s="33" t="str">
        <f t="shared" ref="N22:N53" ca="1" si="13">VLOOKUP(C22,INDIRECT($O$20),4,FALSE)</f>
        <v xml:space="preserve"> | </v>
      </c>
      <c r="O22" s="84" t="str">
        <f t="shared" ref="O22:O53" ca="1" si="14">VLOOKUP(C22,INDIRECT($O$20),5,FALSE)</f>
        <v>CM: Increase Critical Hit chance when defending the station OA: Increase Defence of all Officers on the ship</v>
      </c>
      <c r="Q22" s="34"/>
      <c r="R22" s="34"/>
      <c r="S22" s="34"/>
      <c r="T22" s="34"/>
      <c r="U22" s="34"/>
      <c r="V22" s="34"/>
      <c r="W22" s="34"/>
      <c r="X22" s="34"/>
    </row>
    <row r="23" spans="1:24" s="13" customFormat="1" ht="17.25" customHeight="1" x14ac:dyDescent="0.25">
      <c r="A23" s="34"/>
      <c r="B23" s="13" t="str">
        <f t="shared" si="2"/>
        <v>R</v>
      </c>
      <c r="C23" s="531" t="s">
        <v>102</v>
      </c>
      <c r="D23" s="44">
        <f t="shared" ca="1" si="3"/>
        <v>0</v>
      </c>
      <c r="E23" s="34">
        <f t="shared" ca="1" si="4"/>
        <v>0</v>
      </c>
      <c r="F23" s="35">
        <f t="shared" ca="1" si="5"/>
        <v>0</v>
      </c>
      <c r="G23" s="35">
        <f t="shared" ca="1" si="6"/>
        <v>0</v>
      </c>
      <c r="H23" s="35">
        <f t="shared" ca="1" si="7"/>
        <v>0</v>
      </c>
      <c r="I23" s="34" t="str">
        <f t="shared" si="8"/>
        <v>Mudd's Crew</v>
      </c>
      <c r="J23" s="33" t="str">
        <f t="shared" ca="1" si="9"/>
        <v/>
      </c>
      <c r="K23" s="33" t="str">
        <f t="shared" ca="1" si="10"/>
        <v/>
      </c>
      <c r="L23" s="33" t="str">
        <f t="shared" ca="1" si="11"/>
        <v xml:space="preserve"> | </v>
      </c>
      <c r="M23" s="33" t="str">
        <f t="shared" ca="1" si="12"/>
        <v xml:space="preserve"> | </v>
      </c>
      <c r="N23" s="33" t="str">
        <f t="shared" ca="1" si="13"/>
        <v xml:space="preserve"> | </v>
      </c>
      <c r="O23" s="84" t="str">
        <f t="shared" ca="1" si="14"/>
        <v>CM: Increase Critical hit chance for the first 3 rounds against Eclipse. OA: Decrease Ecliple hostile's mitigation by 40%</v>
      </c>
      <c r="Q23" s="34"/>
      <c r="R23" s="34"/>
      <c r="S23" s="34"/>
      <c r="T23" s="34"/>
      <c r="U23" s="34"/>
      <c r="V23" s="34"/>
      <c r="W23" s="34"/>
      <c r="X23" s="34"/>
    </row>
    <row r="24" spans="1:24" s="13" customFormat="1" ht="17.25" customHeight="1" x14ac:dyDescent="0.25">
      <c r="A24" s="34"/>
      <c r="B24" s="13" t="str">
        <f t="shared" si="2"/>
        <v>U</v>
      </c>
      <c r="C24" s="493" t="s">
        <v>84</v>
      </c>
      <c r="D24" s="44">
        <f t="shared" ca="1" si="3"/>
        <v>0</v>
      </c>
      <c r="E24" s="34">
        <f t="shared" ca="1" si="4"/>
        <v>0</v>
      </c>
      <c r="F24" s="35">
        <f t="shared" ca="1" si="5"/>
        <v>0</v>
      </c>
      <c r="G24" s="35">
        <f t="shared" ca="1" si="6"/>
        <v>0</v>
      </c>
      <c r="H24" s="35">
        <f t="shared" ca="1" si="7"/>
        <v>0</v>
      </c>
      <c r="I24" s="34" t="str">
        <f t="shared" si="8"/>
        <v>Discovery Crew</v>
      </c>
      <c r="J24" s="33" t="str">
        <f t="shared" ca="1" si="9"/>
        <v/>
      </c>
      <c r="K24" s="33" t="str">
        <f t="shared" ca="1" si="10"/>
        <v/>
      </c>
      <c r="L24" s="33" t="str">
        <f t="shared" ca="1" si="11"/>
        <v xml:space="preserve">Y | </v>
      </c>
      <c r="M24" s="33" t="str">
        <f t="shared" ca="1" si="12"/>
        <v xml:space="preserve"> | </v>
      </c>
      <c r="N24" s="33" t="str">
        <f t="shared" ca="1" si="13"/>
        <v xml:space="preserve"> | </v>
      </c>
      <c r="O24" s="84" t="str">
        <f t="shared" ca="1" si="14"/>
        <v>CM: Increase Mining Speed (Isogen) OA: Chance to Inflict Burning when defending a node</v>
      </c>
      <c r="Q24" s="34"/>
      <c r="R24" s="34"/>
      <c r="S24" s="34"/>
      <c r="T24" s="34"/>
      <c r="U24" s="34"/>
      <c r="V24" s="34"/>
      <c r="W24" s="34"/>
      <c r="X24" s="34"/>
    </row>
    <row r="25" spans="1:24" s="13" customFormat="1" ht="17.25" customHeight="1" x14ac:dyDescent="0.25">
      <c r="A25" s="34"/>
      <c r="B25" s="13" t="str">
        <f t="shared" si="2"/>
        <v>U</v>
      </c>
      <c r="C25" s="493" t="s">
        <v>31</v>
      </c>
      <c r="D25" s="44">
        <f t="shared" ca="1" si="3"/>
        <v>0</v>
      </c>
      <c r="E25" s="34">
        <f t="shared" ca="1" si="4"/>
        <v>0</v>
      </c>
      <c r="F25" s="35">
        <f t="shared" ca="1" si="5"/>
        <v>0</v>
      </c>
      <c r="G25" s="35">
        <f t="shared" ca="1" si="6"/>
        <v>0</v>
      </c>
      <c r="H25" s="35">
        <f t="shared" ca="1" si="7"/>
        <v>0</v>
      </c>
      <c r="I25" s="34" t="str">
        <f t="shared" si="8"/>
        <v>Nero's Crew</v>
      </c>
      <c r="J25" s="33" t="str">
        <f t="shared" ca="1" si="9"/>
        <v/>
      </c>
      <c r="K25" s="33" t="str">
        <f t="shared" ca="1" si="10"/>
        <v/>
      </c>
      <c r="L25" s="33" t="str">
        <f t="shared" ca="1" si="11"/>
        <v xml:space="preserve">Y | </v>
      </c>
      <c r="M25" s="33" t="str">
        <f t="shared" ca="1" si="12"/>
        <v xml:space="preserve"> | </v>
      </c>
      <c r="N25" s="33" t="str">
        <f t="shared" ca="1" si="13"/>
        <v xml:space="preserve"> | </v>
      </c>
      <c r="O25" s="84" t="str">
        <f t="shared" ca="1" si="14"/>
        <v>CM: Chance to cause Burning to opponent after hitting it with energy weapon OA: Increase Armor when ship has less than 70% Hull Health</v>
      </c>
      <c r="Q25" s="34"/>
      <c r="R25" s="34"/>
      <c r="S25" s="34"/>
      <c r="T25" s="34"/>
      <c r="U25" s="34"/>
      <c r="V25" s="34"/>
      <c r="W25" s="34"/>
      <c r="X25" s="34"/>
    </row>
    <row r="26" spans="1:24" s="13" customFormat="1" ht="17.25" customHeight="1" x14ac:dyDescent="0.25">
      <c r="A26" s="34"/>
      <c r="B26" s="13" t="str">
        <f t="shared" si="2"/>
        <v>U</v>
      </c>
      <c r="C26" s="493" t="s">
        <v>29</v>
      </c>
      <c r="D26" s="44">
        <f t="shared" ca="1" si="3"/>
        <v>0</v>
      </c>
      <c r="E26" s="34">
        <f t="shared" ca="1" si="4"/>
        <v>0</v>
      </c>
      <c r="F26" s="35">
        <f t="shared" ca="1" si="5"/>
        <v>0</v>
      </c>
      <c r="G26" s="35">
        <f t="shared" ca="1" si="6"/>
        <v>0</v>
      </c>
      <c r="H26" s="35">
        <f t="shared" ca="1" si="7"/>
        <v>0</v>
      </c>
      <c r="I26" s="34" t="str">
        <f t="shared" si="8"/>
        <v>Enterprise Crew</v>
      </c>
      <c r="J26" s="33" t="str">
        <f t="shared" ca="1" si="9"/>
        <v/>
      </c>
      <c r="K26" s="33" t="str">
        <f t="shared" ca="1" si="10"/>
        <v/>
      </c>
      <c r="L26" s="33" t="str">
        <f t="shared" ca="1" si="11"/>
        <v xml:space="preserve"> | </v>
      </c>
      <c r="M26" s="33" t="str">
        <f t="shared" ca="1" si="12"/>
        <v xml:space="preserve"> | </v>
      </c>
      <c r="N26" s="33" t="str">
        <f t="shared" ca="1" si="13"/>
        <v xml:space="preserve">Y | </v>
      </c>
      <c r="O26" s="84" t="str">
        <f t="shared" ca="1" si="14"/>
        <v>CM: Chance to inspire Morale for 3 rounds when Shield is depleted OA: Increase Shield Health</v>
      </c>
      <c r="Q26" s="34"/>
      <c r="R26" s="34"/>
      <c r="S26" s="34"/>
      <c r="T26" s="34"/>
      <c r="U26" s="34"/>
      <c r="V26" s="34"/>
      <c r="W26" s="34"/>
      <c r="X26" s="34"/>
    </row>
    <row r="27" spans="1:24" s="13" customFormat="1" ht="17.25" customHeight="1" x14ac:dyDescent="0.25">
      <c r="A27" s="34"/>
      <c r="B27" s="13" t="str">
        <f t="shared" si="2"/>
        <v>R</v>
      </c>
      <c r="C27" s="493" t="s">
        <v>1973</v>
      </c>
      <c r="D27" s="44">
        <f t="shared" ca="1" si="3"/>
        <v>0</v>
      </c>
      <c r="E27" s="34">
        <f t="shared" ca="1" si="4"/>
        <v>0</v>
      </c>
      <c r="F27" s="35">
        <f t="shared" ca="1" si="5"/>
        <v>0</v>
      </c>
      <c r="G27" s="35">
        <f t="shared" ca="1" si="6"/>
        <v>0</v>
      </c>
      <c r="H27" s="35">
        <f t="shared" ca="1" si="7"/>
        <v>0</v>
      </c>
      <c r="I27" s="34" t="str">
        <f t="shared" si="8"/>
        <v>Ferengi Conglomerate</v>
      </c>
      <c r="J27" s="33" t="str">
        <f t="shared" ca="1" si="9"/>
        <v/>
      </c>
      <c r="K27" s="33" t="str">
        <f t="shared" ca="1" si="10"/>
        <v/>
      </c>
      <c r="L27" s="33" t="str">
        <f t="shared" ca="1" si="11"/>
        <v xml:space="preserve"> | </v>
      </c>
      <c r="M27" s="33" t="str">
        <f t="shared" ca="1" si="12"/>
        <v xml:space="preserve"> | </v>
      </c>
      <c r="N27" s="33" t="str">
        <f t="shared" ca="1" si="13"/>
        <v xml:space="preserve"> | </v>
      </c>
      <c r="O27" s="84" t="str">
        <f t="shared" ca="1" si="14"/>
        <v>CM: Increase Mining speed (Concentrated Latinum) OA: Increase Mining Speed</v>
      </c>
      <c r="Q27" s="34"/>
      <c r="R27" s="34"/>
      <c r="S27" s="34"/>
      <c r="T27" s="34"/>
      <c r="U27" s="34"/>
      <c r="V27" s="34"/>
      <c r="W27" s="34"/>
      <c r="X27" s="34"/>
    </row>
    <row r="28" spans="1:24" s="13" customFormat="1" ht="17.25" customHeight="1" x14ac:dyDescent="0.25">
      <c r="A28" s="34"/>
      <c r="B28" s="13" t="str">
        <f t="shared" si="2"/>
        <v>R</v>
      </c>
      <c r="C28" s="493" t="s">
        <v>22</v>
      </c>
      <c r="D28" s="44">
        <f t="shared" ca="1" si="3"/>
        <v>0</v>
      </c>
      <c r="E28" s="34">
        <f t="shared" ca="1" si="4"/>
        <v>0</v>
      </c>
      <c r="F28" s="35">
        <f t="shared" ca="1" si="5"/>
        <v>0</v>
      </c>
      <c r="G28" s="35">
        <f t="shared" ca="1" si="6"/>
        <v>0</v>
      </c>
      <c r="H28" s="35">
        <f t="shared" ca="1" si="7"/>
        <v>0</v>
      </c>
      <c r="I28" s="34" t="str">
        <f t="shared" si="8"/>
        <v>Klingon Patriots</v>
      </c>
      <c r="J28" s="33" t="str">
        <f t="shared" ca="1" si="9"/>
        <v/>
      </c>
      <c r="K28" s="33" t="str">
        <f t="shared" ca="1" si="10"/>
        <v/>
      </c>
      <c r="L28" s="33" t="str">
        <f t="shared" ca="1" si="11"/>
        <v xml:space="preserve"> | </v>
      </c>
      <c r="M28" s="33" t="str">
        <f t="shared" ca="1" si="12"/>
        <v xml:space="preserve">Y | </v>
      </c>
      <c r="N28" s="33" t="str">
        <f t="shared" ca="1" si="13"/>
        <v xml:space="preserve"> | </v>
      </c>
      <c r="O28" s="84" t="str">
        <f t="shared" ca="1" si="14"/>
        <v>CM: Chance to cause Hull Breach for 2 rounds after hitting with kinetic weapon OA: Increase Armor Piercing every time the ship hits</v>
      </c>
      <c r="Q28" s="34"/>
      <c r="R28" s="34"/>
      <c r="S28" s="34"/>
      <c r="T28" s="34"/>
      <c r="U28" s="34"/>
      <c r="V28" s="34"/>
      <c r="W28" s="34"/>
      <c r="X28" s="34"/>
    </row>
    <row r="29" spans="1:24" s="13" customFormat="1" ht="17.25" customHeight="1" x14ac:dyDescent="0.25">
      <c r="A29" s="34"/>
      <c r="B29" s="13" t="str">
        <f t="shared" si="2"/>
        <v>U</v>
      </c>
      <c r="C29" s="493" t="s">
        <v>2291</v>
      </c>
      <c r="D29" s="44">
        <f t="shared" ca="1" si="3"/>
        <v>0</v>
      </c>
      <c r="E29" s="34">
        <f t="shared" ca="1" si="4"/>
        <v>0</v>
      </c>
      <c r="F29" s="35">
        <f t="shared" ca="1" si="5"/>
        <v>0</v>
      </c>
      <c r="G29" s="35">
        <f t="shared" ca="1" si="6"/>
        <v>0</v>
      </c>
      <c r="H29" s="35">
        <f t="shared" ca="1" si="7"/>
        <v>0</v>
      </c>
      <c r="I29" s="34" t="str">
        <f t="shared" si="8"/>
        <v>Lower Decks Crew</v>
      </c>
      <c r="J29" s="33" t="str">
        <f t="shared" ca="1" si="9"/>
        <v/>
      </c>
      <c r="K29" s="33" t="str">
        <f t="shared" ca="1" si="10"/>
        <v/>
      </c>
      <c r="L29" s="33" t="str">
        <f t="shared" ca="1" si="11"/>
        <v xml:space="preserve"> | </v>
      </c>
      <c r="M29" s="33" t="str">
        <f t="shared" ca="1" si="12"/>
        <v xml:space="preserve"> | </v>
      </c>
      <c r="N29" s="33" t="str">
        <f t="shared" ca="1" si="13"/>
        <v xml:space="preserve"> | </v>
      </c>
      <c r="O29" s="84" t="str">
        <f t="shared" ca="1" si="14"/>
        <v>BDA: Increases Armor Penetration, Shield Penetration and Accuracy OA: Decreases Armor, Shield and Dodge of all non-Armada targets</v>
      </c>
      <c r="Q29" s="34"/>
      <c r="R29" s="34"/>
      <c r="S29" s="34"/>
      <c r="T29" s="34"/>
      <c r="U29" s="34"/>
      <c r="V29" s="34"/>
      <c r="W29" s="34"/>
      <c r="X29" s="34"/>
    </row>
    <row r="30" spans="1:24" s="13" customFormat="1" ht="17.25" customHeight="1" x14ac:dyDescent="0.25">
      <c r="A30" s="34"/>
      <c r="B30" s="13" t="str">
        <f t="shared" si="2"/>
        <v>R</v>
      </c>
      <c r="C30" s="493" t="s">
        <v>1938</v>
      </c>
      <c r="D30" s="44">
        <f t="shared" ca="1" si="3"/>
        <v>0</v>
      </c>
      <c r="E30" s="34">
        <f t="shared" ca="1" si="4"/>
        <v>0</v>
      </c>
      <c r="F30" s="35">
        <f t="shared" ca="1" si="5"/>
        <v>0</v>
      </c>
      <c r="G30" s="35">
        <f t="shared" ca="1" si="6"/>
        <v>0</v>
      </c>
      <c r="H30" s="35">
        <f t="shared" ca="1" si="7"/>
        <v>0</v>
      </c>
      <c r="I30" s="34" t="str">
        <f t="shared" si="8"/>
        <v>Khitomer's Revenge</v>
      </c>
      <c r="J30" s="33" t="str">
        <f t="shared" ca="1" si="9"/>
        <v/>
      </c>
      <c r="K30" s="33" t="str">
        <f t="shared" ca="1" si="10"/>
        <v/>
      </c>
      <c r="L30" s="33" t="str">
        <f t="shared" ca="1" si="11"/>
        <v xml:space="preserve"> | </v>
      </c>
      <c r="M30" s="33" t="str">
        <f t="shared" ca="1" si="12"/>
        <v xml:space="preserve"> | </v>
      </c>
      <c r="N30" s="33" t="str">
        <f t="shared" ca="1" si="13"/>
        <v xml:space="preserve"> | </v>
      </c>
      <c r="O30" s="84" t="str">
        <f t="shared" ca="1" si="14"/>
        <v>CM: Increase Weapon Damage OA: Increase Armor by Crew Attack</v>
      </c>
      <c r="Q30" s="34"/>
      <c r="R30" s="34"/>
      <c r="S30" s="34"/>
      <c r="T30" s="34"/>
      <c r="U30" s="34"/>
      <c r="V30" s="34"/>
      <c r="W30" s="34"/>
      <c r="X30" s="34"/>
    </row>
    <row r="31" spans="1:24" s="13" customFormat="1" ht="17.25" customHeight="1" x14ac:dyDescent="0.25">
      <c r="A31" s="34"/>
      <c r="B31" s="13" t="str">
        <f t="shared" si="2"/>
        <v>R</v>
      </c>
      <c r="C31" s="493" t="s">
        <v>43</v>
      </c>
      <c r="D31" s="44">
        <f t="shared" ca="1" si="3"/>
        <v>0</v>
      </c>
      <c r="E31" s="34">
        <f t="shared" ca="1" si="4"/>
        <v>0</v>
      </c>
      <c r="F31" s="35">
        <f t="shared" ca="1" si="5"/>
        <v>0</v>
      </c>
      <c r="G31" s="35">
        <f t="shared" ca="1" si="6"/>
        <v>0</v>
      </c>
      <c r="H31" s="35">
        <f t="shared" ca="1" si="7"/>
        <v>0</v>
      </c>
      <c r="I31" s="34" t="str">
        <f t="shared" si="8"/>
        <v>Surveyors &amp; Miners</v>
      </c>
      <c r="J31" s="33" t="str">
        <f t="shared" ca="1" si="9"/>
        <v/>
      </c>
      <c r="K31" s="33" t="str">
        <f t="shared" ca="1" si="10"/>
        <v/>
      </c>
      <c r="L31" s="33" t="str">
        <f t="shared" ca="1" si="11"/>
        <v xml:space="preserve"> | </v>
      </c>
      <c r="M31" s="33" t="str">
        <f t="shared" ca="1" si="12"/>
        <v xml:space="preserve"> | </v>
      </c>
      <c r="N31" s="33" t="str">
        <f t="shared" ca="1" si="13"/>
        <v xml:space="preserve"> | </v>
      </c>
      <c r="O31" s="84" t="str">
        <f t="shared" ca="1" si="14"/>
        <v>CM: Increase Mining Speed (Crystal) OA: Decrease opponet's Hull Health at start of battle if mining</v>
      </c>
      <c r="Q31" s="34"/>
      <c r="R31" s="34"/>
      <c r="S31" s="34"/>
      <c r="T31" s="34"/>
      <c r="U31" s="34"/>
      <c r="V31" s="34"/>
      <c r="W31" s="34"/>
      <c r="X31" s="34"/>
    </row>
    <row r="32" spans="1:24" s="13" customFormat="1" ht="17.25" customHeight="1" x14ac:dyDescent="0.25">
      <c r="A32" s="34"/>
      <c r="B32" s="13" t="str">
        <f t="shared" si="2"/>
        <v>E</v>
      </c>
      <c r="C32" s="493" t="s">
        <v>2293</v>
      </c>
      <c r="D32" s="44">
        <f t="shared" ca="1" si="3"/>
        <v>0</v>
      </c>
      <c r="E32" s="34">
        <f t="shared" ca="1" si="4"/>
        <v>0</v>
      </c>
      <c r="F32" s="35">
        <f t="shared" ca="1" si="5"/>
        <v>0</v>
      </c>
      <c r="G32" s="35">
        <f t="shared" ca="1" si="6"/>
        <v>0</v>
      </c>
      <c r="H32" s="35">
        <f t="shared" ca="1" si="7"/>
        <v>0</v>
      </c>
      <c r="I32" s="34" t="str">
        <f t="shared" si="8"/>
        <v>Lower Decks Crew</v>
      </c>
      <c r="J32" s="33" t="str">
        <f t="shared" ca="1" si="9"/>
        <v/>
      </c>
      <c r="K32" s="33" t="str">
        <f t="shared" ca="1" si="10"/>
        <v/>
      </c>
      <c r="L32" s="33" t="str">
        <f t="shared" ca="1" si="11"/>
        <v xml:space="preserve"> | </v>
      </c>
      <c r="M32" s="33" t="str">
        <f t="shared" ca="1" si="12"/>
        <v xml:space="preserve"> | </v>
      </c>
      <c r="N32" s="33" t="str">
        <f t="shared" ca="1" si="13"/>
        <v xml:space="preserve"> | </v>
      </c>
      <c r="O32" s="84" t="str">
        <f t="shared" ca="1" si="14"/>
        <v>BDA: Increase ship's Weapon Damage OA: Increases Attack of all Officers on the ship</v>
      </c>
      <c r="Q32" s="34"/>
      <c r="R32" s="34"/>
      <c r="S32" s="34"/>
      <c r="T32" s="34"/>
      <c r="U32" s="34"/>
      <c r="V32" s="34"/>
      <c r="W32" s="34"/>
      <c r="X32" s="34"/>
    </row>
    <row r="33" spans="1:24" s="13" customFormat="1" ht="17.25" customHeight="1" x14ac:dyDescent="0.25">
      <c r="A33" s="34"/>
      <c r="B33" s="13" t="str">
        <f t="shared" si="2"/>
        <v>R</v>
      </c>
      <c r="C33" s="493" t="s">
        <v>1939</v>
      </c>
      <c r="D33" s="44">
        <f t="shared" ca="1" si="3"/>
        <v>0</v>
      </c>
      <c r="E33" s="34">
        <f t="shared" ca="1" si="4"/>
        <v>0</v>
      </c>
      <c r="F33" s="35">
        <f t="shared" ca="1" si="5"/>
        <v>0</v>
      </c>
      <c r="G33" s="35">
        <f t="shared" ca="1" si="6"/>
        <v>0</v>
      </c>
      <c r="H33" s="35">
        <f t="shared" ca="1" si="7"/>
        <v>0</v>
      </c>
      <c r="I33" s="34" t="str">
        <f t="shared" si="8"/>
        <v>Pride Of Romulus</v>
      </c>
      <c r="J33" s="33" t="str">
        <f t="shared" ca="1" si="9"/>
        <v/>
      </c>
      <c r="K33" s="33" t="str">
        <f t="shared" ca="1" si="10"/>
        <v/>
      </c>
      <c r="L33" s="33" t="str">
        <f t="shared" ca="1" si="11"/>
        <v xml:space="preserve"> | </v>
      </c>
      <c r="M33" s="33" t="str">
        <f t="shared" ca="1" si="12"/>
        <v xml:space="preserve"> | </v>
      </c>
      <c r="N33" s="33" t="str">
        <f t="shared" ca="1" si="13"/>
        <v xml:space="preserve"> | </v>
      </c>
      <c r="O33" s="84" t="str">
        <f t="shared" ca="1" si="14"/>
        <v>CM: When on a ship that can use cloaking, B'Etor increases the duration the ship can stay cloaked OA: When on the Amalgam, B'Etor boosts the Amalgam's bonus loot ship ability</v>
      </c>
      <c r="Q33" s="34"/>
      <c r="R33" s="34"/>
      <c r="S33" s="34"/>
      <c r="T33" s="34"/>
      <c r="U33" s="34"/>
      <c r="V33" s="34"/>
      <c r="W33" s="34"/>
      <c r="X33" s="34"/>
    </row>
    <row r="34" spans="1:24" s="13" customFormat="1" ht="17.25" customHeight="1" x14ac:dyDescent="0.25">
      <c r="A34" s="34"/>
      <c r="B34" s="13" t="str">
        <f t="shared" si="2"/>
        <v>R</v>
      </c>
      <c r="C34" s="493" t="s">
        <v>731</v>
      </c>
      <c r="D34" s="44">
        <f t="shared" ca="1" si="3"/>
        <v>0</v>
      </c>
      <c r="E34" s="34">
        <f t="shared" ca="1" si="4"/>
        <v>0</v>
      </c>
      <c r="F34" s="35">
        <f t="shared" ca="1" si="5"/>
        <v>0</v>
      </c>
      <c r="G34" s="35">
        <f t="shared" ca="1" si="6"/>
        <v>0</v>
      </c>
      <c r="H34" s="35">
        <f t="shared" ca="1" si="7"/>
        <v>0</v>
      </c>
      <c r="I34" s="34" t="str">
        <f t="shared" si="8"/>
        <v>TNG Crew</v>
      </c>
      <c r="J34" s="33" t="str">
        <f t="shared" ca="1" si="9"/>
        <v/>
      </c>
      <c r="K34" s="33" t="str">
        <f t="shared" ca="1" si="10"/>
        <v/>
      </c>
      <c r="L34" s="33" t="str">
        <f t="shared" ca="1" si="11"/>
        <v xml:space="preserve"> | </v>
      </c>
      <c r="M34" s="33" t="str">
        <f t="shared" ca="1" si="12"/>
        <v xml:space="preserve"> | </v>
      </c>
      <c r="N34" s="33" t="str">
        <f t="shared" ca="1" si="13"/>
        <v xml:space="preserve"> | </v>
      </c>
      <c r="O34" s="84" t="str">
        <f t="shared" ca="1" si="14"/>
        <v>CM: When fighting Hostiles and Armadas, restore Shield by % of crew's Health OA: When fighting Hostiles and Armadas, increase mitigation by % of crew's Defence.</v>
      </c>
      <c r="Q34" s="34"/>
      <c r="R34" s="34"/>
      <c r="S34" s="34"/>
      <c r="T34" s="34"/>
      <c r="U34" s="34"/>
      <c r="V34" s="34"/>
      <c r="W34" s="34"/>
      <c r="X34" s="34"/>
    </row>
    <row r="35" spans="1:24" s="13" customFormat="1" ht="17.25" customHeight="1" x14ac:dyDescent="0.25">
      <c r="A35" s="34"/>
      <c r="B35" s="13" t="str">
        <f t="shared" si="2"/>
        <v>R</v>
      </c>
      <c r="C35" s="493" t="s">
        <v>44</v>
      </c>
      <c r="D35" s="44">
        <f t="shared" ca="1" si="3"/>
        <v>0</v>
      </c>
      <c r="E35" s="34">
        <f t="shared" ca="1" si="4"/>
        <v>0</v>
      </c>
      <c r="F35" s="35">
        <f t="shared" ca="1" si="5"/>
        <v>0</v>
      </c>
      <c r="G35" s="35">
        <f t="shared" ca="1" si="6"/>
        <v>0</v>
      </c>
      <c r="H35" s="35">
        <f t="shared" ca="1" si="7"/>
        <v>0</v>
      </c>
      <c r="I35" s="34" t="str">
        <f t="shared" si="8"/>
        <v>Enterprise Crew</v>
      </c>
      <c r="J35" s="33" t="str">
        <f t="shared" ca="1" si="9"/>
        <v/>
      </c>
      <c r="K35" s="33" t="str">
        <f t="shared" ca="1" si="10"/>
        <v/>
      </c>
      <c r="L35" s="33" t="str">
        <f t="shared" ca="1" si="11"/>
        <v xml:space="preserve"> | </v>
      </c>
      <c r="M35" s="33" t="str">
        <f t="shared" ca="1" si="12"/>
        <v xml:space="preserve"> | </v>
      </c>
      <c r="N35" s="33" t="str">
        <f t="shared" ca="1" si="13"/>
        <v xml:space="preserve"> | </v>
      </c>
      <c r="O35" s="84" t="str">
        <f t="shared" ca="1" si="14"/>
        <v>CM: Increase Officer abilities during combat OA: Increase Defence of all Officers on the bridge when hit</v>
      </c>
      <c r="Q35" s="34"/>
      <c r="R35" s="34"/>
      <c r="S35" s="34"/>
      <c r="T35" s="34"/>
      <c r="U35" s="34"/>
      <c r="V35" s="34"/>
      <c r="W35" s="34"/>
      <c r="X35" s="34"/>
    </row>
    <row r="36" spans="1:24" s="13" customFormat="1" ht="17.25" customHeight="1" x14ac:dyDescent="0.25">
      <c r="A36" s="34"/>
      <c r="B36" s="13" t="str">
        <f t="shared" si="2"/>
        <v>R</v>
      </c>
      <c r="C36" s="493" t="s">
        <v>2295</v>
      </c>
      <c r="D36" s="44">
        <f t="shared" ca="1" si="3"/>
        <v>0</v>
      </c>
      <c r="E36" s="34">
        <f t="shared" ca="1" si="4"/>
        <v>0</v>
      </c>
      <c r="F36" s="35">
        <f t="shared" ca="1" si="5"/>
        <v>0</v>
      </c>
      <c r="G36" s="35">
        <f t="shared" ca="1" si="6"/>
        <v>0</v>
      </c>
      <c r="H36" s="35">
        <f t="shared" ca="1" si="7"/>
        <v>0</v>
      </c>
      <c r="I36" s="34" t="str">
        <f t="shared" si="8"/>
        <v>Lower Decks Crew</v>
      </c>
      <c r="J36" s="33" t="str">
        <f t="shared" ca="1" si="9"/>
        <v/>
      </c>
      <c r="K36" s="33" t="str">
        <f t="shared" ca="1" si="10"/>
        <v/>
      </c>
      <c r="L36" s="33" t="str">
        <f t="shared" ca="1" si="11"/>
        <v xml:space="preserve"> | </v>
      </c>
      <c r="M36" s="33" t="str">
        <f t="shared" ca="1" si="12"/>
        <v xml:space="preserve"> | </v>
      </c>
      <c r="N36" s="33" t="str">
        <f t="shared" ca="1" si="13"/>
        <v xml:space="preserve"> | </v>
      </c>
      <c r="O36" s="84" t="str">
        <f t="shared" ca="1" si="14"/>
        <v>BDA: Increase Armor, Shield Deflection, and Dodge OA: Increase Armor Piercing, Shield Piercing and Accuracy</v>
      </c>
      <c r="Q36" s="34"/>
      <c r="R36" s="34"/>
      <c r="S36" s="34"/>
      <c r="T36" s="34"/>
      <c r="U36" s="34"/>
      <c r="V36" s="34"/>
      <c r="W36" s="34"/>
      <c r="X36" s="34"/>
    </row>
    <row r="37" spans="1:24" s="13" customFormat="1" ht="17.25" customHeight="1" x14ac:dyDescent="0.25">
      <c r="A37" s="34"/>
      <c r="B37" s="13" t="str">
        <f t="shared" si="2"/>
        <v>C</v>
      </c>
      <c r="C37" s="493" t="s">
        <v>13</v>
      </c>
      <c r="D37" s="44">
        <f t="shared" ca="1" si="3"/>
        <v>0</v>
      </c>
      <c r="E37" s="34">
        <f t="shared" ca="1" si="4"/>
        <v>0</v>
      </c>
      <c r="F37" s="35">
        <f t="shared" ca="1" si="5"/>
        <v>0</v>
      </c>
      <c r="G37" s="35">
        <f t="shared" ca="1" si="6"/>
        <v>0</v>
      </c>
      <c r="H37" s="35">
        <f t="shared" ca="1" si="7"/>
        <v>0</v>
      </c>
      <c r="I37" s="34" t="str">
        <f t="shared" si="8"/>
        <v>Another Time</v>
      </c>
      <c r="J37" s="33" t="str">
        <f t="shared" ca="1" si="9"/>
        <v/>
      </c>
      <c r="K37" s="33" t="str">
        <f t="shared" ca="1" si="10"/>
        <v/>
      </c>
      <c r="L37" s="33" t="str">
        <f t="shared" ca="1" si="11"/>
        <v xml:space="preserve"> | </v>
      </c>
      <c r="M37" s="33" t="str">
        <f t="shared" ca="1" si="12"/>
        <v xml:space="preserve"> | </v>
      </c>
      <c r="N37" s="33" t="str">
        <f t="shared" ca="1" si="13"/>
        <v xml:space="preserve"> | </v>
      </c>
      <c r="O37" s="84" t="str">
        <f t="shared" ca="1" si="14"/>
        <v>CM: Increase all Officer stats on Bridge OA: Increase Weapon Damage</v>
      </c>
      <c r="Q37" s="34"/>
      <c r="R37" s="34"/>
      <c r="S37" s="34"/>
      <c r="T37" s="34"/>
      <c r="U37" s="34"/>
      <c r="V37" s="34"/>
      <c r="W37" s="34"/>
      <c r="X37" s="34"/>
    </row>
    <row r="38" spans="1:24" s="13" customFormat="1" ht="17.25" customHeight="1" x14ac:dyDescent="0.25">
      <c r="A38" s="34"/>
      <c r="B38" s="13" t="str">
        <f t="shared" si="2"/>
        <v>C</v>
      </c>
      <c r="C38" s="493" t="s">
        <v>14</v>
      </c>
      <c r="D38" s="44">
        <f t="shared" ca="1" si="3"/>
        <v>0</v>
      </c>
      <c r="E38" s="34">
        <f t="shared" ca="1" si="4"/>
        <v>0</v>
      </c>
      <c r="F38" s="35">
        <f t="shared" ca="1" si="5"/>
        <v>0</v>
      </c>
      <c r="G38" s="35">
        <f t="shared" ca="1" si="6"/>
        <v>0</v>
      </c>
      <c r="H38" s="35">
        <f t="shared" ca="1" si="7"/>
        <v>0</v>
      </c>
      <c r="I38" s="34" t="str">
        <f t="shared" si="8"/>
        <v>Another Time</v>
      </c>
      <c r="J38" s="33" t="str">
        <f t="shared" ca="1" si="9"/>
        <v/>
      </c>
      <c r="K38" s="33" t="str">
        <f t="shared" ca="1" si="10"/>
        <v/>
      </c>
      <c r="L38" s="33" t="str">
        <f t="shared" ca="1" si="11"/>
        <v xml:space="preserve"> | </v>
      </c>
      <c r="M38" s="33" t="str">
        <f t="shared" ca="1" si="12"/>
        <v xml:space="preserve"> | </v>
      </c>
      <c r="N38" s="33" t="str">
        <f t="shared" ca="1" si="13"/>
        <v xml:space="preserve"> | </v>
      </c>
      <c r="O38" s="84" t="str">
        <f t="shared" ca="1" si="14"/>
        <v>CM: Increase Health of all Officers on the ship OA: Increase Captains Maneuver</v>
      </c>
      <c r="Q38" s="34"/>
      <c r="R38" s="34"/>
      <c r="S38" s="34"/>
      <c r="T38" s="34"/>
      <c r="U38" s="34"/>
      <c r="V38" s="34"/>
      <c r="W38" s="34"/>
      <c r="X38" s="34"/>
    </row>
    <row r="39" spans="1:24" s="13" customFormat="1" ht="17.25" customHeight="1" x14ac:dyDescent="0.25">
      <c r="A39" s="34"/>
      <c r="B39" s="13" t="str">
        <f t="shared" si="2"/>
        <v>C</v>
      </c>
      <c r="C39" s="493" t="s">
        <v>15</v>
      </c>
      <c r="D39" s="44">
        <f t="shared" ca="1" si="3"/>
        <v>0</v>
      </c>
      <c r="E39" s="34">
        <f t="shared" ca="1" si="4"/>
        <v>0</v>
      </c>
      <c r="F39" s="35">
        <f t="shared" ca="1" si="5"/>
        <v>0</v>
      </c>
      <c r="G39" s="35">
        <f t="shared" ca="1" si="6"/>
        <v>0</v>
      </c>
      <c r="H39" s="35">
        <f t="shared" ca="1" si="7"/>
        <v>0</v>
      </c>
      <c r="I39" s="34" t="str">
        <f t="shared" si="8"/>
        <v>Another Time</v>
      </c>
      <c r="J39" s="33" t="str">
        <f t="shared" ca="1" si="9"/>
        <v/>
      </c>
      <c r="K39" s="33" t="str">
        <f ca="1">IFERROR(IF($O$20="Abilities",VLOOKUP(C39,INDIRECT($O$20),7,FALSE),""),"")</f>
        <v/>
      </c>
      <c r="L39" s="33" t="str">
        <f t="shared" ca="1" si="11"/>
        <v xml:space="preserve"> | </v>
      </c>
      <c r="M39" s="33" t="str">
        <f t="shared" ca="1" si="12"/>
        <v xml:space="preserve"> | </v>
      </c>
      <c r="N39" s="33" t="str">
        <f t="shared" ca="1" si="13"/>
        <v xml:space="preserve"> | </v>
      </c>
      <c r="O39" s="84" t="str">
        <f t="shared" ca="1" si="14"/>
        <v>CM: Increase Hull Health OA: Increase Warp Distance</v>
      </c>
      <c r="Q39" s="34"/>
      <c r="R39" s="34"/>
      <c r="S39" s="34"/>
      <c r="T39" s="34"/>
      <c r="U39" s="34"/>
      <c r="V39" s="34"/>
      <c r="W39" s="34"/>
      <c r="X39" s="34"/>
    </row>
    <row r="40" spans="1:24" s="13" customFormat="1" ht="17.25" customHeight="1" x14ac:dyDescent="0.25">
      <c r="A40" s="34"/>
      <c r="B40" s="13" t="str">
        <f t="shared" si="2"/>
        <v>C</v>
      </c>
      <c r="C40" s="493" t="s">
        <v>18</v>
      </c>
      <c r="D40" s="44">
        <f t="shared" ca="1" si="3"/>
        <v>0</v>
      </c>
      <c r="E40" s="34">
        <f t="shared" ca="1" si="4"/>
        <v>0</v>
      </c>
      <c r="F40" s="35">
        <f t="shared" ca="1" si="5"/>
        <v>0</v>
      </c>
      <c r="G40" s="35">
        <f t="shared" ca="1" si="6"/>
        <v>0</v>
      </c>
      <c r="H40" s="35">
        <f t="shared" ca="1" si="7"/>
        <v>0</v>
      </c>
      <c r="I40" s="34" t="str">
        <f t="shared" si="8"/>
        <v>Another Time</v>
      </c>
      <c r="J40" s="33" t="str">
        <f t="shared" ca="1" si="9"/>
        <v/>
      </c>
      <c r="K40" s="33" t="str">
        <f t="shared" ref="K40:K57" ca="1" si="15">IFERROR(IF($O$20="Abilities",VLOOKUP(C40,INDIRECT($O$20),7,FALSE)*100 &amp; "%",""),"")</f>
        <v/>
      </c>
      <c r="L40" s="33" t="str">
        <f t="shared" ca="1" si="11"/>
        <v xml:space="preserve"> | </v>
      </c>
      <c r="M40" s="33" t="str">
        <f t="shared" ca="1" si="12"/>
        <v xml:space="preserve"> | </v>
      </c>
      <c r="N40" s="33" t="str">
        <f t="shared" ca="1" si="13"/>
        <v xml:space="preserve"> | </v>
      </c>
      <c r="O40" s="84" t="str">
        <f t="shared" ca="1" si="14"/>
        <v>CM: Increase Damage for first round OA: Increase Attack of all Officers on the ship (** Broken  Bridge ONLY **)</v>
      </c>
      <c r="Q40" s="34"/>
      <c r="R40" s="34"/>
      <c r="S40" s="34"/>
      <c r="T40" s="34"/>
      <c r="U40" s="34"/>
      <c r="V40" s="34"/>
      <c r="W40" s="34"/>
      <c r="X40" s="34"/>
    </row>
    <row r="41" spans="1:24" s="13" customFormat="1" ht="17.25" customHeight="1" x14ac:dyDescent="0.25">
      <c r="A41" s="34"/>
      <c r="B41" s="13" t="str">
        <f t="shared" si="2"/>
        <v>C</v>
      </c>
      <c r="C41" s="493" t="s">
        <v>17</v>
      </c>
      <c r="D41" s="44">
        <f t="shared" ca="1" si="3"/>
        <v>0</v>
      </c>
      <c r="E41" s="34">
        <f t="shared" ca="1" si="4"/>
        <v>0</v>
      </c>
      <c r="F41" s="35">
        <f t="shared" ca="1" si="5"/>
        <v>0</v>
      </c>
      <c r="G41" s="35">
        <f t="shared" ca="1" si="6"/>
        <v>0</v>
      </c>
      <c r="H41" s="35">
        <f t="shared" ca="1" si="7"/>
        <v>0</v>
      </c>
      <c r="I41" s="34" t="str">
        <f t="shared" si="8"/>
        <v>Another Time</v>
      </c>
      <c r="J41" s="33" t="str">
        <f t="shared" ca="1" si="9"/>
        <v/>
      </c>
      <c r="K41" s="33" t="str">
        <f t="shared" ca="1" si="15"/>
        <v/>
      </c>
      <c r="L41" s="33" t="str">
        <f t="shared" ca="1" si="11"/>
        <v xml:space="preserve"> | </v>
      </c>
      <c r="M41" s="33" t="str">
        <f t="shared" ca="1" si="12"/>
        <v xml:space="preserve"> | </v>
      </c>
      <c r="N41" s="33" t="str">
        <f t="shared" ca="1" si="13"/>
        <v xml:space="preserve"> | </v>
      </c>
      <c r="O41" s="84" t="str">
        <f t="shared" ca="1" si="14"/>
        <v>CM: Decrease opponents Weapon Damage OA: Increase Shield Health</v>
      </c>
      <c r="Q41" s="34"/>
      <c r="R41" s="34"/>
      <c r="S41" s="34"/>
      <c r="T41" s="34"/>
      <c r="U41" s="34"/>
      <c r="V41" s="34"/>
      <c r="W41" s="34"/>
      <c r="X41" s="34"/>
    </row>
    <row r="42" spans="1:24" s="13" customFormat="1" ht="17.25" customHeight="1" x14ac:dyDescent="0.25">
      <c r="A42" s="34"/>
      <c r="B42" s="13" t="str">
        <f t="shared" si="2"/>
        <v>R</v>
      </c>
      <c r="C42" s="493" t="s">
        <v>97</v>
      </c>
      <c r="D42" s="44">
        <f t="shared" ca="1" si="3"/>
        <v>0</v>
      </c>
      <c r="E42" s="34">
        <f t="shared" ca="1" si="4"/>
        <v>0</v>
      </c>
      <c r="F42" s="35">
        <f t="shared" ca="1" si="5"/>
        <v>0</v>
      </c>
      <c r="G42" s="35">
        <f t="shared" ca="1" si="6"/>
        <v>0</v>
      </c>
      <c r="H42" s="35">
        <f t="shared" ca="1" si="7"/>
        <v>0</v>
      </c>
      <c r="I42" s="34" t="str">
        <f t="shared" si="8"/>
        <v>Terran Empire</v>
      </c>
      <c r="J42" s="33" t="str">
        <f t="shared" ca="1" si="9"/>
        <v/>
      </c>
      <c r="K42" s="33" t="str">
        <f t="shared" ca="1" si="15"/>
        <v/>
      </c>
      <c r="L42" s="33" t="str">
        <f t="shared" ca="1" si="11"/>
        <v xml:space="preserve"> | </v>
      </c>
      <c r="M42" s="33" t="str">
        <f t="shared" ca="1" si="12"/>
        <v xml:space="preserve"> | Y</v>
      </c>
      <c r="N42" s="33" t="str">
        <f t="shared" ca="1" si="13"/>
        <v xml:space="preserve"> | </v>
      </c>
      <c r="O42" s="84" t="str">
        <f t="shared" ca="1" si="14"/>
        <v>CM: Increase Mitigation by Health, when on attacking on a capture node and opponent has Hull Breach OA: Increase Mitigation by Health when opponent has Hull Breach</v>
      </c>
      <c r="Q42" s="34"/>
      <c r="R42" s="34"/>
      <c r="S42" s="34"/>
      <c r="T42" s="34"/>
      <c r="U42" s="34"/>
      <c r="V42" s="34"/>
      <c r="W42" s="34"/>
      <c r="X42" s="34"/>
    </row>
    <row r="43" spans="1:24" s="13" customFormat="1" ht="17.25" customHeight="1" x14ac:dyDescent="0.25">
      <c r="A43" s="34"/>
      <c r="B43" s="13" t="str">
        <f t="shared" si="2"/>
        <v>E</v>
      </c>
      <c r="C43" s="493" t="s">
        <v>71</v>
      </c>
      <c r="D43" s="44">
        <f t="shared" ca="1" si="3"/>
        <v>0</v>
      </c>
      <c r="E43" s="34">
        <f t="shared" ca="1" si="4"/>
        <v>0</v>
      </c>
      <c r="F43" s="35">
        <f t="shared" ca="1" si="5"/>
        <v>0</v>
      </c>
      <c r="G43" s="35">
        <f t="shared" ca="1" si="6"/>
        <v>0</v>
      </c>
      <c r="H43" s="35">
        <f t="shared" ca="1" si="7"/>
        <v>0</v>
      </c>
      <c r="I43" s="34" t="str">
        <f t="shared" si="8"/>
        <v>Auxiliary Controls</v>
      </c>
      <c r="J43" s="33" t="str">
        <f t="shared" ca="1" si="9"/>
        <v/>
      </c>
      <c r="K43" s="33" t="str">
        <f t="shared" ca="1" si="15"/>
        <v/>
      </c>
      <c r="L43" s="33" t="str">
        <f t="shared" ca="1" si="11"/>
        <v xml:space="preserve"> | </v>
      </c>
      <c r="M43" s="33" t="str">
        <f t="shared" ca="1" si="12"/>
        <v xml:space="preserve"> | </v>
      </c>
      <c r="N43" s="33" t="str">
        <f t="shared" ca="1" si="13"/>
        <v xml:space="preserve"> | </v>
      </c>
      <c r="O43" s="84" t="str">
        <f t="shared" ca="1" si="14"/>
        <v>CM: Decrease opponents Damage when defending in battle OA: Increase Weapon Damage</v>
      </c>
      <c r="Q43" s="34"/>
      <c r="R43" s="34"/>
      <c r="S43" s="34"/>
      <c r="T43" s="34"/>
      <c r="U43" s="34"/>
      <c r="V43" s="34"/>
      <c r="W43" s="34"/>
      <c r="X43" s="34"/>
    </row>
    <row r="44" spans="1:24" s="13" customFormat="1" ht="17.25" customHeight="1" x14ac:dyDescent="0.25">
      <c r="A44" s="34"/>
      <c r="B44" s="13" t="str">
        <f t="shared" si="2"/>
        <v>R</v>
      </c>
      <c r="C44" s="493" t="s">
        <v>2178</v>
      </c>
      <c r="D44" s="44">
        <f t="shared" ca="1" si="3"/>
        <v>0</v>
      </c>
      <c r="E44" s="34">
        <f t="shared" ca="1" si="4"/>
        <v>0</v>
      </c>
      <c r="F44" s="35">
        <f t="shared" ca="1" si="5"/>
        <v>0</v>
      </c>
      <c r="G44" s="35">
        <f t="shared" ca="1" si="6"/>
        <v>0</v>
      </c>
      <c r="H44" s="35">
        <f t="shared" ca="1" si="7"/>
        <v>0</v>
      </c>
      <c r="I44" s="34" t="str">
        <f t="shared" si="8"/>
        <v>Ferengi Conglomerate</v>
      </c>
      <c r="J44" s="33" t="str">
        <f t="shared" ca="1" si="9"/>
        <v/>
      </c>
      <c r="K44" s="33" t="str">
        <f t="shared" ca="1" si="15"/>
        <v/>
      </c>
      <c r="L44" s="33" t="str">
        <f t="shared" ca="1" si="11"/>
        <v xml:space="preserve"> | </v>
      </c>
      <c r="M44" s="33" t="str">
        <f t="shared" ca="1" si="12"/>
        <v xml:space="preserve"> | </v>
      </c>
      <c r="N44" s="33" t="str">
        <f t="shared" ca="1" si="13"/>
        <v xml:space="preserve"> | </v>
      </c>
      <c r="O44" s="84" t="str">
        <f t="shared" ca="1" si="14"/>
        <v>CM: Increase Repair Cost Efficient of ship OA: Decrease Kinetic Damage dealt by Hostiles</v>
      </c>
      <c r="Q44" s="34"/>
      <c r="R44" s="34"/>
      <c r="S44" s="34"/>
      <c r="T44" s="34"/>
      <c r="U44" s="34"/>
      <c r="V44" s="34"/>
      <c r="W44" s="34"/>
      <c r="X44" s="34"/>
    </row>
    <row r="45" spans="1:24" s="13" customFormat="1" ht="17.25" customHeight="1" x14ac:dyDescent="0.25">
      <c r="A45" s="34"/>
      <c r="B45" s="13" t="str">
        <f t="shared" si="2"/>
        <v>R</v>
      </c>
      <c r="C45" s="493" t="s">
        <v>45</v>
      </c>
      <c r="D45" s="44">
        <f t="shared" ca="1" si="3"/>
        <v>0</v>
      </c>
      <c r="E45" s="34">
        <f t="shared" ca="1" si="4"/>
        <v>0</v>
      </c>
      <c r="F45" s="35">
        <f t="shared" ca="1" si="5"/>
        <v>0</v>
      </c>
      <c r="G45" s="35">
        <f t="shared" ca="1" si="6"/>
        <v>0</v>
      </c>
      <c r="H45" s="35">
        <f t="shared" ca="1" si="7"/>
        <v>0</v>
      </c>
      <c r="I45" s="34" t="str">
        <f t="shared" si="8"/>
        <v>Klingon Patriots</v>
      </c>
      <c r="J45" s="33" t="str">
        <f t="shared" ca="1" si="9"/>
        <v/>
      </c>
      <c r="K45" s="33" t="str">
        <f t="shared" ca="1" si="15"/>
        <v/>
      </c>
      <c r="L45" s="33" t="str">
        <f t="shared" ca="1" si="11"/>
        <v xml:space="preserve"> | </v>
      </c>
      <c r="M45" s="33" t="str">
        <f t="shared" ca="1" si="12"/>
        <v xml:space="preserve"> | Y</v>
      </c>
      <c r="N45" s="33" t="str">
        <f t="shared" ca="1" si="13"/>
        <v xml:space="preserve"> | </v>
      </c>
      <c r="O45" s="84" t="str">
        <f t="shared" ca="1" si="14"/>
        <v>CM: Increase Damage if opponent Hull Health under 60% OA: Chance to delay opponent's weapon fire for 1 round with a Critical Hit on Hull Breach</v>
      </c>
      <c r="Q45" s="34"/>
      <c r="R45" s="34"/>
      <c r="S45" s="34"/>
      <c r="T45" s="34"/>
      <c r="U45" s="34"/>
      <c r="V45" s="34"/>
      <c r="W45" s="34"/>
      <c r="X45" s="34"/>
    </row>
    <row r="46" spans="1:24" s="13" customFormat="1" ht="17.25" customHeight="1" x14ac:dyDescent="0.25">
      <c r="A46" s="34"/>
      <c r="B46" s="13" t="str">
        <f t="shared" si="2"/>
        <v>E</v>
      </c>
      <c r="C46" s="493" t="s">
        <v>80</v>
      </c>
      <c r="D46" s="44">
        <f t="shared" ca="1" si="3"/>
        <v>0</v>
      </c>
      <c r="E46" s="34">
        <f t="shared" ca="1" si="4"/>
        <v>0</v>
      </c>
      <c r="F46" s="35">
        <f t="shared" ca="1" si="5"/>
        <v>0</v>
      </c>
      <c r="G46" s="35">
        <f t="shared" ca="1" si="6"/>
        <v>0</v>
      </c>
      <c r="H46" s="35">
        <f t="shared" ca="1" si="7"/>
        <v>0</v>
      </c>
      <c r="I46" s="34" t="str">
        <f t="shared" si="8"/>
        <v>Romulan Patriots</v>
      </c>
      <c r="J46" s="33" t="str">
        <f t="shared" ca="1" si="9"/>
        <v/>
      </c>
      <c r="K46" s="33" t="str">
        <f t="shared" ca="1" si="15"/>
        <v/>
      </c>
      <c r="L46" s="33" t="str">
        <f t="shared" ca="1" si="11"/>
        <v xml:space="preserve">Y | </v>
      </c>
      <c r="M46" s="33" t="str">
        <f t="shared" ca="1" si="12"/>
        <v xml:space="preserve"> | </v>
      </c>
      <c r="N46" s="33" t="str">
        <f t="shared" ca="1" si="13"/>
        <v xml:space="preserve"> | </v>
      </c>
      <c r="O46" s="84" t="str">
        <f t="shared" ca="1" si="14"/>
        <v>CM: Chance to cause Burning for 3 rounds when Hull Health is lower than 80% OA: Increase Armour Piercing by Health</v>
      </c>
      <c r="Q46" s="34"/>
      <c r="R46" s="34"/>
      <c r="S46" s="34"/>
      <c r="T46" s="34"/>
      <c r="U46" s="34"/>
      <c r="V46" s="34"/>
      <c r="W46" s="34"/>
      <c r="X46" s="34"/>
    </row>
    <row r="47" spans="1:24" s="13" customFormat="1" ht="17.25" customHeight="1" x14ac:dyDescent="0.25">
      <c r="A47" s="34"/>
      <c r="B47" s="13" t="str">
        <f t="shared" si="2"/>
        <v>U</v>
      </c>
      <c r="C47" s="493" t="s">
        <v>20</v>
      </c>
      <c r="D47" s="44">
        <f t="shared" ca="1" si="3"/>
        <v>0</v>
      </c>
      <c r="E47" s="34">
        <f t="shared" ca="1" si="4"/>
        <v>0</v>
      </c>
      <c r="F47" s="35">
        <f t="shared" ca="1" si="5"/>
        <v>0</v>
      </c>
      <c r="G47" s="35">
        <f t="shared" ca="1" si="6"/>
        <v>0</v>
      </c>
      <c r="H47" s="35">
        <f t="shared" ca="1" si="7"/>
        <v>0</v>
      </c>
      <c r="I47" s="34" t="str">
        <f t="shared" si="8"/>
        <v>Starfleet Academy</v>
      </c>
      <c r="J47" s="33" t="str">
        <f t="shared" ca="1" si="9"/>
        <v/>
      </c>
      <c r="K47" s="33" t="str">
        <f t="shared" ca="1" si="15"/>
        <v/>
      </c>
      <c r="L47" s="33" t="str">
        <f t="shared" ca="1" si="11"/>
        <v xml:space="preserve"> | </v>
      </c>
      <c r="M47" s="33" t="str">
        <f t="shared" ca="1" si="12"/>
        <v xml:space="preserve"> | </v>
      </c>
      <c r="N47" s="33" t="str">
        <f t="shared" ca="1" si="13"/>
        <v xml:space="preserve"> | </v>
      </c>
      <c r="O47" s="84" t="str">
        <f t="shared" ca="1" si="14"/>
        <v>CM: Increase Mitigations against Hostiles OA: Decrease Energy damage dealt by Hostiles</v>
      </c>
      <c r="Q47" s="34"/>
      <c r="R47" s="34"/>
      <c r="S47" s="34"/>
      <c r="T47" s="34"/>
      <c r="U47" s="34"/>
      <c r="V47" s="34"/>
      <c r="W47" s="34"/>
      <c r="X47" s="34"/>
    </row>
    <row r="48" spans="1:24" s="13" customFormat="1" ht="17.25" customHeight="1" x14ac:dyDescent="0.25">
      <c r="A48" s="34"/>
      <c r="B48" s="13" t="str">
        <f t="shared" si="2"/>
        <v>U</v>
      </c>
      <c r="C48" s="493" t="s">
        <v>85</v>
      </c>
      <c r="D48" s="44">
        <f t="shared" ca="1" si="3"/>
        <v>0</v>
      </c>
      <c r="E48" s="34">
        <f t="shared" ca="1" si="4"/>
        <v>0</v>
      </c>
      <c r="F48" s="35">
        <f t="shared" ca="1" si="5"/>
        <v>0</v>
      </c>
      <c r="G48" s="35">
        <f t="shared" ca="1" si="6"/>
        <v>0</v>
      </c>
      <c r="H48" s="35">
        <f t="shared" ca="1" si="7"/>
        <v>0</v>
      </c>
      <c r="I48" s="34" t="str">
        <f t="shared" si="8"/>
        <v>Discovery Crew</v>
      </c>
      <c r="J48" s="33" t="str">
        <f t="shared" ca="1" si="9"/>
        <v/>
      </c>
      <c r="K48" s="33" t="str">
        <f t="shared" ca="1" si="15"/>
        <v/>
      </c>
      <c r="L48" s="33" t="str">
        <f t="shared" ca="1" si="11"/>
        <v xml:space="preserve"> | </v>
      </c>
      <c r="M48" s="33" t="str">
        <f t="shared" ca="1" si="12"/>
        <v xml:space="preserve"> | </v>
      </c>
      <c r="N48" s="33" t="str">
        <f t="shared" ca="1" si="13"/>
        <v xml:space="preserve"> | </v>
      </c>
      <c r="O48" s="84" t="str">
        <f t="shared" ca="1" si="14"/>
        <v>CM: Health to Armour when defending on a Capture Node OA: Increase to Jumping and Summoning Cost Efficiency</v>
      </c>
      <c r="Q48" s="34"/>
      <c r="R48" s="34"/>
      <c r="S48" s="34"/>
      <c r="T48" s="34"/>
      <c r="U48" s="34"/>
      <c r="V48" s="34"/>
      <c r="W48" s="34"/>
      <c r="X48" s="34"/>
    </row>
    <row r="49" spans="1:24" s="13" customFormat="1" ht="17.25" customHeight="1" x14ac:dyDescent="0.25">
      <c r="A49" s="34"/>
      <c r="B49" s="13" t="str">
        <f t="shared" si="2"/>
        <v>C</v>
      </c>
      <c r="C49" s="493" t="s">
        <v>91</v>
      </c>
      <c r="D49" s="44">
        <f t="shared" ca="1" si="3"/>
        <v>0</v>
      </c>
      <c r="E49" s="34">
        <f t="shared" ca="1" si="4"/>
        <v>0</v>
      </c>
      <c r="F49" s="35">
        <f t="shared" ca="1" si="5"/>
        <v>0</v>
      </c>
      <c r="G49" s="35">
        <f t="shared" ca="1" si="6"/>
        <v>0</v>
      </c>
      <c r="H49" s="35">
        <f t="shared" ca="1" si="7"/>
        <v>0</v>
      </c>
      <c r="I49" s="34" t="str">
        <f t="shared" si="8"/>
        <v>Shakedown Cruise</v>
      </c>
      <c r="J49" s="33" t="str">
        <f t="shared" ca="1" si="9"/>
        <v/>
      </c>
      <c r="K49" s="33" t="str">
        <f t="shared" ca="1" si="15"/>
        <v/>
      </c>
      <c r="L49" s="33" t="str">
        <f t="shared" ca="1" si="11"/>
        <v xml:space="preserve"> | </v>
      </c>
      <c r="M49" s="33" t="str">
        <f t="shared" ca="1" si="12"/>
        <v xml:space="preserve"> | </v>
      </c>
      <c r="N49" s="33" t="str">
        <f t="shared" ca="1" si="13"/>
        <v xml:space="preserve"> | </v>
      </c>
      <c r="O49" s="84" t="str">
        <f t="shared" ca="1" si="14"/>
        <v>CM: Increase Weapon Damage when attacked by a player OA: Increase Ship XP earned on Interceptors</v>
      </c>
      <c r="Q49" s="34"/>
      <c r="R49" s="34"/>
      <c r="S49" s="34"/>
      <c r="T49" s="34"/>
      <c r="U49" s="34"/>
      <c r="V49" s="34"/>
      <c r="W49" s="34"/>
      <c r="X49" s="34"/>
    </row>
    <row r="50" spans="1:24" s="13" customFormat="1" ht="17.25" customHeight="1" x14ac:dyDescent="0.25">
      <c r="A50" s="34"/>
      <c r="B50" s="13" t="str">
        <f t="shared" si="2"/>
        <v>E</v>
      </c>
      <c r="C50" s="493" t="s">
        <v>732</v>
      </c>
      <c r="D50" s="44">
        <f t="shared" ca="1" si="3"/>
        <v>0</v>
      </c>
      <c r="E50" s="34">
        <f t="shared" ca="1" si="4"/>
        <v>0</v>
      </c>
      <c r="F50" s="35">
        <f t="shared" ca="1" si="5"/>
        <v>0</v>
      </c>
      <c r="G50" s="35">
        <f t="shared" ca="1" si="6"/>
        <v>0</v>
      </c>
      <c r="H50" s="35">
        <f t="shared" ca="1" si="7"/>
        <v>0</v>
      </c>
      <c r="I50" s="34" t="str">
        <f t="shared" si="8"/>
        <v>TNG Crew</v>
      </c>
      <c r="J50" s="33" t="str">
        <f t="shared" ca="1" si="9"/>
        <v/>
      </c>
      <c r="K50" s="33" t="str">
        <f t="shared" ca="1" si="15"/>
        <v/>
      </c>
      <c r="L50" s="33" t="str">
        <f t="shared" ca="1" si="11"/>
        <v xml:space="preserve"> | </v>
      </c>
      <c r="M50" s="33" t="str">
        <f t="shared" ca="1" si="12"/>
        <v xml:space="preserve"> | </v>
      </c>
      <c r="N50" s="33" t="str">
        <f t="shared" ca="1" si="13"/>
        <v xml:space="preserve"> | </v>
      </c>
      <c r="O50" s="84" t="str">
        <f t="shared" ca="1" si="14"/>
        <v>CM: When fighting Hostiles and Armadas, restore Shield by % of crew's Health OA: When fighting Non-Player targets, including Mission Hostiles, Increase Penetration.</v>
      </c>
      <c r="Q50" s="34"/>
      <c r="R50" s="34"/>
      <c r="S50" s="34"/>
      <c r="T50" s="34"/>
      <c r="U50" s="34"/>
      <c r="V50" s="34"/>
      <c r="W50" s="34"/>
      <c r="X50" s="34"/>
    </row>
    <row r="51" spans="1:24" s="13" customFormat="1" ht="17.25" customHeight="1" x14ac:dyDescent="0.25">
      <c r="A51" s="34"/>
      <c r="B51" s="13" t="str">
        <f t="shared" si="2"/>
        <v>E</v>
      </c>
      <c r="C51" s="493" t="s">
        <v>1354</v>
      </c>
      <c r="D51" s="44">
        <f t="shared" ca="1" si="3"/>
        <v>0</v>
      </c>
      <c r="E51" s="34">
        <f t="shared" ca="1" si="4"/>
        <v>0</v>
      </c>
      <c r="F51" s="35">
        <f t="shared" ca="1" si="5"/>
        <v>0</v>
      </c>
      <c r="G51" s="35">
        <f t="shared" ca="1" si="6"/>
        <v>0</v>
      </c>
      <c r="H51" s="35">
        <f t="shared" ca="1" si="7"/>
        <v>0</v>
      </c>
      <c r="I51" s="34" t="str">
        <f t="shared" si="8"/>
        <v>TNG Crew</v>
      </c>
      <c r="J51" s="33" t="str">
        <f t="shared" ca="1" si="9"/>
        <v/>
      </c>
      <c r="K51" s="33" t="str">
        <f t="shared" ca="1" si="15"/>
        <v/>
      </c>
      <c r="L51" s="33" t="str">
        <f t="shared" ca="1" si="11"/>
        <v xml:space="preserve"> | </v>
      </c>
      <c r="M51" s="33" t="str">
        <f t="shared" ca="1" si="12"/>
        <v xml:space="preserve"> | </v>
      </c>
      <c r="N51" s="33" t="str">
        <f t="shared" ca="1" si="13"/>
        <v xml:space="preserve"> | </v>
      </c>
      <c r="O51" s="84" t="str">
        <f t="shared" ca="1" si="14"/>
        <v>CM: Reduces the Crit Chance of Armada Targets OA: Increases Weapon Damage against Romulan Hostiles and Armadas</v>
      </c>
      <c r="Q51" s="34"/>
      <c r="R51" s="34"/>
      <c r="S51" s="34"/>
      <c r="T51" s="34"/>
      <c r="U51" s="34"/>
      <c r="V51" s="34"/>
      <c r="W51" s="34"/>
      <c r="X51" s="34"/>
    </row>
    <row r="52" spans="1:24" s="13" customFormat="1" ht="17.25" customHeight="1" x14ac:dyDescent="0.25">
      <c r="A52" s="34"/>
      <c r="B52" s="13" t="str">
        <f t="shared" si="2"/>
        <v>R</v>
      </c>
      <c r="C52" s="493" t="s">
        <v>48</v>
      </c>
      <c r="D52" s="44">
        <f t="shared" ca="1" si="3"/>
        <v>0</v>
      </c>
      <c r="E52" s="34">
        <f t="shared" ca="1" si="4"/>
        <v>0</v>
      </c>
      <c r="F52" s="35">
        <f t="shared" ca="1" si="5"/>
        <v>0</v>
      </c>
      <c r="G52" s="35">
        <f t="shared" ca="1" si="6"/>
        <v>0</v>
      </c>
      <c r="H52" s="35">
        <f t="shared" ca="1" si="7"/>
        <v>0</v>
      </c>
      <c r="I52" s="34" t="str">
        <f t="shared" si="8"/>
        <v>Romulan Patriots</v>
      </c>
      <c r="J52" s="33" t="str">
        <f t="shared" ca="1" si="9"/>
        <v/>
      </c>
      <c r="K52" s="33" t="str">
        <f t="shared" ca="1" si="15"/>
        <v/>
      </c>
      <c r="L52" s="33" t="str">
        <f t="shared" ca="1" si="11"/>
        <v xml:space="preserve"> | </v>
      </c>
      <c r="M52" s="33" t="str">
        <f t="shared" ca="1" si="12"/>
        <v xml:space="preserve"> | </v>
      </c>
      <c r="N52" s="33" t="str">
        <f t="shared" ca="1" si="13"/>
        <v xml:space="preserve"> | </v>
      </c>
      <c r="O52" s="84" t="str">
        <f t="shared" ca="1" si="14"/>
        <v>CM: Increase Accuracy, Armor Piercing and Shield Piercing against stronger ships. OA: Increase Damage each time the ship gets hit</v>
      </c>
      <c r="Q52" s="34"/>
      <c r="R52" s="34"/>
      <c r="S52" s="34"/>
      <c r="T52" s="34"/>
      <c r="U52" s="34"/>
      <c r="V52" s="34"/>
      <c r="W52" s="34"/>
      <c r="X52" s="34"/>
    </row>
    <row r="53" spans="1:24" s="13" customFormat="1" ht="17.25" customHeight="1" x14ac:dyDescent="0.25">
      <c r="A53" s="34"/>
      <c r="B53" s="13" t="str">
        <f t="shared" si="2"/>
        <v>U</v>
      </c>
      <c r="C53" s="493" t="s">
        <v>34</v>
      </c>
      <c r="D53" s="44">
        <f t="shared" ca="1" si="3"/>
        <v>0</v>
      </c>
      <c r="E53" s="34">
        <f t="shared" ca="1" si="4"/>
        <v>0</v>
      </c>
      <c r="F53" s="35">
        <f t="shared" ca="1" si="5"/>
        <v>0</v>
      </c>
      <c r="G53" s="35">
        <f t="shared" ca="1" si="6"/>
        <v>0</v>
      </c>
      <c r="H53" s="35">
        <f t="shared" ca="1" si="7"/>
        <v>0</v>
      </c>
      <c r="I53" s="34" t="str">
        <f t="shared" si="8"/>
        <v>Romulan Patriots</v>
      </c>
      <c r="J53" s="33" t="str">
        <f t="shared" ca="1" si="9"/>
        <v/>
      </c>
      <c r="K53" s="33" t="str">
        <f t="shared" ca="1" si="15"/>
        <v/>
      </c>
      <c r="L53" s="33" t="str">
        <f t="shared" ca="1" si="11"/>
        <v xml:space="preserve"> | Y</v>
      </c>
      <c r="M53" s="33" t="str">
        <f t="shared" ca="1" si="12"/>
        <v xml:space="preserve"> | </v>
      </c>
      <c r="N53" s="33" t="str">
        <f t="shared" ca="1" si="13"/>
        <v xml:space="preserve"> | </v>
      </c>
      <c r="O53" s="84" t="str">
        <f t="shared" ca="1" si="14"/>
        <v>CM: Increase Officers Health for 1 minute after winning a battle OA: Increases Mitigation by % of Officer Health whilst opponent is burning (Tooltip incorrect)</v>
      </c>
      <c r="Q53" s="34"/>
      <c r="R53" s="34"/>
      <c r="S53" s="34"/>
      <c r="T53" s="34"/>
      <c r="U53" s="34"/>
      <c r="V53" s="34"/>
      <c r="W53" s="34"/>
      <c r="X53" s="34"/>
    </row>
    <row r="54" spans="1:24" s="13" customFormat="1" ht="17.25" customHeight="1" x14ac:dyDescent="0.25">
      <c r="A54" s="34"/>
      <c r="B54" s="13" t="str">
        <f t="shared" ref="B54:B85" si="16">VLOOKUP(C54,OfficerScores,2,FALSE)</f>
        <v>C</v>
      </c>
      <c r="C54" s="493" t="s">
        <v>19</v>
      </c>
      <c r="D54" s="44">
        <f t="shared" ca="1" si="3"/>
        <v>0</v>
      </c>
      <c r="E54" s="34">
        <f t="shared" ca="1" si="4"/>
        <v>0</v>
      </c>
      <c r="F54" s="35">
        <f t="shared" ref="F54:F85" ca="1" si="17">IF(D54&gt;0,VLOOKUP(C54,OfficerStats,IF(MaxLevel=TRUE,30,D54)*3-1,FALSE)*OfficerBonusA,IF(MaxLevel = TRUE,VLOOKUP(C54,OfficerStats,30*3-1,FALSE)*OfficerBonusA,0))</f>
        <v>0</v>
      </c>
      <c r="G54" s="35">
        <f t="shared" ref="G54:G85" ca="1" si="18">IF(D54&gt;0,VLOOKUP(C54,OfficerStats,IF(MaxLevel=TRUE,30,D54)*3,FALSE)*OfficerBonusD,IF(MaxLevel = TRUE,VLOOKUP(C54,OfficerStats,30*3,FALSE)*OfficerBonusD,0))</f>
        <v>0</v>
      </c>
      <c r="H54" s="35">
        <f t="shared" ref="H54:H85" ca="1" si="19">IF(D54&gt;0,VLOOKUP(C54,OfficerStats,IF(MaxLevel=TRUE,30,D54)*3+1,FALSE)*OfficerBonusH,IF(MaxLevel = TRUE,VLOOKUP(C54,OfficerStats,30*3+1,FALSE)*OfficerBonusH,0))</f>
        <v>0</v>
      </c>
      <c r="I54" s="34" t="str">
        <f t="shared" ref="I54:I85" si="20">IFERROR(INDEX(OfficerSkillsFull,MATCH(C54,OfficerSkillsOfficers,0),11),0)</f>
        <v>Surveyors &amp; Miners</v>
      </c>
      <c r="J54" s="33" t="str">
        <f t="shared" ref="J54:J85" ca="1" si="21">IFERROR(IF($O$20="Abilities",VLOOKUP(C54,INDIRECT($O$20),6,FALSE)*100 &amp; "%",""),"")</f>
        <v/>
      </c>
      <c r="K54" s="33" t="str">
        <f t="shared" ca="1" si="15"/>
        <v/>
      </c>
      <c r="L54" s="33" t="str">
        <f t="shared" ref="L54:L85" ca="1" si="22">VLOOKUP(C54,INDIRECT($O$20),2,FALSE)</f>
        <v xml:space="preserve"> | </v>
      </c>
      <c r="M54" s="33" t="str">
        <f t="shared" ref="M54:M85" ca="1" si="23">VLOOKUP(C54,INDIRECT($O$20),3,FALSE)</f>
        <v xml:space="preserve"> | </v>
      </c>
      <c r="N54" s="33" t="str">
        <f t="shared" ref="N54:N85" ca="1" si="24">VLOOKUP(C54,INDIRECT($O$20),4,FALSE)</f>
        <v xml:space="preserve"> | </v>
      </c>
      <c r="O54" s="84" t="str">
        <f t="shared" ref="O54:O85" ca="1" si="25">VLOOKUP(C54,INDIRECT($O$20),5,FALSE)</f>
        <v>CM: Increase Dilithium mining rate OA: Increase Warp Speed when Cargo is full</v>
      </c>
      <c r="Q54" s="34"/>
      <c r="R54" s="34"/>
      <c r="S54" s="34"/>
      <c r="T54" s="34"/>
      <c r="U54" s="34"/>
      <c r="V54" s="34"/>
      <c r="W54" s="34"/>
      <c r="X54" s="34"/>
    </row>
    <row r="55" spans="1:24" s="13" customFormat="1" ht="17.25" customHeight="1" x14ac:dyDescent="0.25">
      <c r="A55" s="34"/>
      <c r="B55" s="13" t="str">
        <f t="shared" si="16"/>
        <v>R</v>
      </c>
      <c r="C55" s="493" t="s">
        <v>254</v>
      </c>
      <c r="D55" s="44">
        <f t="shared" ca="1" si="3"/>
        <v>0</v>
      </c>
      <c r="E55" s="34">
        <f t="shared" ca="1" si="4"/>
        <v>0</v>
      </c>
      <c r="F55" s="35">
        <f t="shared" ca="1" si="17"/>
        <v>0</v>
      </c>
      <c r="G55" s="35">
        <f t="shared" ca="1" si="18"/>
        <v>0</v>
      </c>
      <c r="H55" s="35">
        <f t="shared" ca="1" si="19"/>
        <v>0</v>
      </c>
      <c r="I55" s="34" t="str">
        <f t="shared" si="20"/>
        <v>Surveyors &amp; Miners</v>
      </c>
      <c r="J55" s="33" t="str">
        <f t="shared" ca="1" si="21"/>
        <v/>
      </c>
      <c r="K55" s="33" t="str">
        <f t="shared" ca="1" si="15"/>
        <v/>
      </c>
      <c r="L55" s="33" t="str">
        <f t="shared" ca="1" si="22"/>
        <v xml:space="preserve"> | </v>
      </c>
      <c r="M55" s="33" t="str">
        <f t="shared" ca="1" si="23"/>
        <v xml:space="preserve"> | </v>
      </c>
      <c r="N55" s="33" t="str">
        <f t="shared" ca="1" si="24"/>
        <v xml:space="preserve"> | </v>
      </c>
      <c r="O55" s="84" t="str">
        <f t="shared" ca="1" si="25"/>
        <v>CM: Increase G3 Crystal, Gas and Mining Speed OA: Increase Protected Cargo</v>
      </c>
      <c r="Q55" s="34"/>
      <c r="R55" s="34"/>
      <c r="S55" s="34"/>
      <c r="T55" s="34"/>
      <c r="U55" s="34"/>
      <c r="V55" s="34"/>
      <c r="W55" s="34"/>
      <c r="X55" s="34"/>
    </row>
    <row r="56" spans="1:24" s="13" customFormat="1" ht="17.25" customHeight="1" x14ac:dyDescent="0.25">
      <c r="A56" s="34"/>
      <c r="B56" s="13" t="str">
        <f t="shared" si="16"/>
        <v>U</v>
      </c>
      <c r="C56" s="493" t="s">
        <v>1644</v>
      </c>
      <c r="D56" s="44">
        <f ca="1">IFERROR(INDEX(ImportLevel,MATCH(C56,ImportOfficerList,0)),IFERROR(INDEX(ImportLevel,MATCH("8 of 10",ImportOfficerList,0)),0))</f>
        <v>0</v>
      </c>
      <c r="E56" s="34">
        <f ca="1">IFERROR(INDEX(ImportRank,MATCH(C56,ImportOfficerList,0)),IFERROR(INDEX(ImportRank,MATCH("8 of 10",ImportOfficerList,0)),0))</f>
        <v>0</v>
      </c>
      <c r="F56" s="35">
        <f t="shared" ca="1" si="17"/>
        <v>0</v>
      </c>
      <c r="G56" s="35">
        <f t="shared" ca="1" si="18"/>
        <v>0</v>
      </c>
      <c r="H56" s="35">
        <f t="shared" ca="1" si="19"/>
        <v>0</v>
      </c>
      <c r="I56" s="34" t="str">
        <f t="shared" si="20"/>
        <v>Unimatrix Twelve</v>
      </c>
      <c r="J56" s="33" t="str">
        <f t="shared" ca="1" si="21"/>
        <v/>
      </c>
      <c r="K56" s="33" t="str">
        <f t="shared" ca="1" si="15"/>
        <v/>
      </c>
      <c r="L56" s="33" t="str">
        <f t="shared" ca="1" si="22"/>
        <v xml:space="preserve"> | </v>
      </c>
      <c r="M56" s="33" t="str">
        <f t="shared" ca="1" si="23"/>
        <v xml:space="preserve"> | </v>
      </c>
      <c r="N56" s="33" t="str">
        <f t="shared" ca="1" si="24"/>
        <v xml:space="preserve"> | </v>
      </c>
      <c r="O56" s="84" t="str">
        <f t="shared" ca="1" si="25"/>
        <v>CM: Increase Critical Hit chance against Borg OA: Increase Attack of all Officers on the ship</v>
      </c>
      <c r="Q56" s="34"/>
      <c r="R56" s="34"/>
      <c r="S56" s="34"/>
      <c r="T56" s="34"/>
      <c r="U56" s="34"/>
      <c r="V56" s="34"/>
      <c r="W56" s="34"/>
      <c r="X56" s="34"/>
    </row>
    <row r="57" spans="1:24" s="13" customFormat="1" ht="17.25" customHeight="1" x14ac:dyDescent="0.25">
      <c r="A57" s="34"/>
      <c r="B57" s="13" t="str">
        <f t="shared" si="16"/>
        <v>E</v>
      </c>
      <c r="C57" s="493" t="s">
        <v>1651</v>
      </c>
      <c r="D57" s="44">
        <f ca="1">IFERROR(INDEX(ImportLevel,MATCH(C57,ImportOfficerList,0)),0)</f>
        <v>0</v>
      </c>
      <c r="E57" s="34">
        <f ca="1">IFERROR(INDEX(ImportRank,MATCH(C57,ImportOfficerList,0)),0)</f>
        <v>0</v>
      </c>
      <c r="F57" s="35">
        <f t="shared" ca="1" si="17"/>
        <v>0</v>
      </c>
      <c r="G57" s="35">
        <f t="shared" ca="1" si="18"/>
        <v>0</v>
      </c>
      <c r="H57" s="35">
        <f t="shared" ca="1" si="19"/>
        <v>0</v>
      </c>
      <c r="I57" s="34" t="str">
        <f t="shared" si="20"/>
        <v>Unimatrix Twelve</v>
      </c>
      <c r="J57" s="33" t="str">
        <f t="shared" ca="1" si="21"/>
        <v/>
      </c>
      <c r="K57" s="33" t="str">
        <f t="shared" ca="1" si="15"/>
        <v/>
      </c>
      <c r="L57" s="33" t="str">
        <f t="shared" ca="1" si="22"/>
        <v xml:space="preserve"> | </v>
      </c>
      <c r="M57" s="33" t="str">
        <f t="shared" ca="1" si="23"/>
        <v xml:space="preserve"> | </v>
      </c>
      <c r="N57" s="33" t="str">
        <f t="shared" ca="1" si="24"/>
        <v xml:space="preserve"> | </v>
      </c>
      <c r="O57" s="84" t="str">
        <f t="shared" ca="1" si="25"/>
        <v>CM: Increase Mining Speed (Crystal) OA: Increase Warp Speed</v>
      </c>
      <c r="Q57" s="34"/>
      <c r="R57" s="34"/>
      <c r="S57" s="34"/>
      <c r="T57" s="34"/>
      <c r="U57" s="34"/>
      <c r="V57" s="34"/>
      <c r="W57" s="34"/>
      <c r="X57" s="34"/>
    </row>
    <row r="58" spans="1:24" s="13" customFormat="1" ht="17.25" customHeight="1" x14ac:dyDescent="0.25">
      <c r="A58" s="34"/>
      <c r="B58" s="13" t="str">
        <f t="shared" si="16"/>
        <v>R</v>
      </c>
      <c r="C58" s="493" t="s">
        <v>96</v>
      </c>
      <c r="D58" s="44">
        <f ca="1">IFERROR(INDEX(ImportLevel,MATCH(C58,ImportOfficerList,0)),0)</f>
        <v>0</v>
      </c>
      <c r="E58" s="34">
        <f ca="1">IFERROR(INDEX(ImportRank,MATCH(C58,ImportOfficerList,0)),0)</f>
        <v>0</v>
      </c>
      <c r="F58" s="35">
        <f t="shared" ca="1" si="17"/>
        <v>0</v>
      </c>
      <c r="G58" s="35">
        <f t="shared" ca="1" si="18"/>
        <v>0</v>
      </c>
      <c r="H58" s="35">
        <f t="shared" ca="1" si="19"/>
        <v>0</v>
      </c>
      <c r="I58" s="34" t="str">
        <f t="shared" si="20"/>
        <v>Terran Empire</v>
      </c>
      <c r="J58" s="33" t="str">
        <f t="shared" ca="1" si="21"/>
        <v/>
      </c>
      <c r="K58" s="33" t="str">
        <f ca="1">IFERROR(IF($O$20="Abilities",VLOOKUP(C58,INDIRECT($O$20),7,FALSE),""),"")</f>
        <v/>
      </c>
      <c r="L58" s="33" t="str">
        <f t="shared" ca="1" si="22"/>
        <v xml:space="preserve"> | </v>
      </c>
      <c r="M58" s="33" t="str">
        <f t="shared" ca="1" si="23"/>
        <v xml:space="preserve"> | </v>
      </c>
      <c r="N58" s="33" t="str">
        <f t="shared" ca="1" si="24"/>
        <v xml:space="preserve"> | </v>
      </c>
      <c r="O58" s="84" t="str">
        <f t="shared" ca="1" si="25"/>
        <v>CM: When attacking a player during takeover. Decrease opponent's Officer Defence OA: When attacking a player on a capture node, Increase number of shots at start of each round.</v>
      </c>
      <c r="Q58" s="34"/>
      <c r="R58" s="34"/>
      <c r="S58" s="34"/>
      <c r="T58" s="34"/>
      <c r="U58" s="34"/>
      <c r="V58" s="34"/>
      <c r="W58" s="34"/>
      <c r="X58" s="34"/>
    </row>
    <row r="59" spans="1:24" s="13" customFormat="1" ht="17.25" customHeight="1" x14ac:dyDescent="0.25">
      <c r="A59" s="34"/>
      <c r="B59" s="13" t="str">
        <f t="shared" si="16"/>
        <v>E</v>
      </c>
      <c r="C59" s="493" t="s">
        <v>107</v>
      </c>
      <c r="D59" s="44">
        <f ca="1">IFERROR(INDEX(ImportLevel,MATCH(C59,ImportOfficerList,0)),0)</f>
        <v>0</v>
      </c>
      <c r="E59" s="34">
        <f ca="1">IFERROR(INDEX(ImportRank,MATCH(C59,ImportOfficerList,0)),0)</f>
        <v>0</v>
      </c>
      <c r="F59" s="35">
        <f t="shared" ca="1" si="17"/>
        <v>0</v>
      </c>
      <c r="G59" s="35">
        <f t="shared" ca="1" si="18"/>
        <v>0</v>
      </c>
      <c r="H59" s="35">
        <f t="shared" ca="1" si="19"/>
        <v>0</v>
      </c>
      <c r="I59" s="34" t="str">
        <f t="shared" si="20"/>
        <v>Mudd's Crew</v>
      </c>
      <c r="J59" s="33" t="str">
        <f t="shared" ca="1" si="21"/>
        <v/>
      </c>
      <c r="K59" s="33" t="str">
        <f t="shared" ref="K59:K78" ca="1" si="26">IFERROR(IF($O$20="Abilities",VLOOKUP(C59,INDIRECT($O$20),7,FALSE)*100 &amp; "%",""),"")</f>
        <v/>
      </c>
      <c r="L59" s="33" t="str">
        <f t="shared" ca="1" si="22"/>
        <v xml:space="preserve"> | </v>
      </c>
      <c r="M59" s="33" t="str">
        <f t="shared" ca="1" si="23"/>
        <v xml:space="preserve"> | </v>
      </c>
      <c r="N59" s="33" t="str">
        <f t="shared" ca="1" si="24"/>
        <v xml:space="preserve"> | </v>
      </c>
      <c r="O59" s="84" t="str">
        <f t="shared" ca="1" si="25"/>
        <v>CM: Increase Damage when taking SHP damage OA: Chance to heal 5% shields when they are depleted</v>
      </c>
      <c r="Q59" s="34"/>
      <c r="R59" s="34"/>
      <c r="S59" s="34"/>
      <c r="T59" s="34"/>
      <c r="U59" s="34"/>
      <c r="V59" s="34"/>
      <c r="W59" s="34"/>
      <c r="X59" s="34"/>
    </row>
    <row r="60" spans="1:24" s="13" customFormat="1" ht="17.25" customHeight="1" x14ac:dyDescent="0.25">
      <c r="A60" s="34"/>
      <c r="B60" s="13" t="str">
        <f t="shared" si="16"/>
        <v>R</v>
      </c>
      <c r="C60" s="493" t="s">
        <v>1975</v>
      </c>
      <c r="D60" s="44">
        <f ca="1">IFERROR(INDEX(ImportLevel,MATCH(C60,ImportOfficerList,0)),0)</f>
        <v>0</v>
      </c>
      <c r="E60" s="34">
        <f ca="1">IFERROR(INDEX(ImportRank,MATCH(C60,ImportOfficerList,0)),0)</f>
        <v>0</v>
      </c>
      <c r="F60" s="35">
        <f t="shared" ca="1" si="17"/>
        <v>0</v>
      </c>
      <c r="G60" s="35">
        <f t="shared" ca="1" si="18"/>
        <v>0</v>
      </c>
      <c r="H60" s="35">
        <f t="shared" ca="1" si="19"/>
        <v>0</v>
      </c>
      <c r="I60" s="34" t="str">
        <f t="shared" si="20"/>
        <v>Ferengi Conglomerate</v>
      </c>
      <c r="J60" s="33" t="str">
        <f t="shared" ca="1" si="21"/>
        <v/>
      </c>
      <c r="K60" s="33" t="str">
        <f t="shared" ca="1" si="26"/>
        <v/>
      </c>
      <c r="L60" s="33" t="str">
        <f t="shared" ca="1" si="22"/>
        <v xml:space="preserve"> | </v>
      </c>
      <c r="M60" s="33" t="str">
        <f t="shared" ca="1" si="23"/>
        <v xml:space="preserve"> | </v>
      </c>
      <c r="N60" s="33" t="str">
        <f t="shared" ca="1" si="24"/>
        <v xml:space="preserve"> | </v>
      </c>
      <c r="O60" s="84" t="str">
        <f t="shared" ca="1" si="25"/>
        <v>CM: Increase base mining speed OA: Reduce Protected Cargo</v>
      </c>
      <c r="Q60" s="34"/>
      <c r="R60" s="34"/>
      <c r="S60" s="34"/>
      <c r="T60" s="34"/>
      <c r="U60" s="34"/>
      <c r="V60" s="34"/>
      <c r="W60" s="34"/>
      <c r="X60" s="34"/>
    </row>
    <row r="61" spans="1:24" s="13" customFormat="1" ht="17.25" customHeight="1" x14ac:dyDescent="0.25">
      <c r="A61" s="34"/>
      <c r="B61" s="13" t="str">
        <f t="shared" si="16"/>
        <v>E</v>
      </c>
      <c r="C61" s="493" t="s">
        <v>1640</v>
      </c>
      <c r="D61" s="44">
        <f ca="1">IFERROR(INDEX(ImportLevel,MATCH(C61,ImportOfficerList,0)),IFERROR(INDEX(ImportLevel,MATCH("5 of 10",ImportOfficerList,0)),0))</f>
        <v>0</v>
      </c>
      <c r="E61" s="34">
        <f ca="1">IFERROR(INDEX(ImportRank,MATCH(C61,ImportOfficerList,0)),IFERROR(INDEX(ImportRank,MATCH("5 of 10",ImportOfficerList,0)),0))</f>
        <v>0</v>
      </c>
      <c r="F61" s="35">
        <f t="shared" ca="1" si="17"/>
        <v>0</v>
      </c>
      <c r="G61" s="35">
        <f t="shared" ca="1" si="18"/>
        <v>0</v>
      </c>
      <c r="H61" s="35">
        <f t="shared" ca="1" si="19"/>
        <v>0</v>
      </c>
      <c r="I61" s="34" t="str">
        <f t="shared" si="20"/>
        <v>Unimatrix Twelve</v>
      </c>
      <c r="J61" s="33" t="str">
        <f t="shared" ca="1" si="21"/>
        <v/>
      </c>
      <c r="K61" s="33" t="str">
        <f t="shared" ca="1" si="26"/>
        <v/>
      </c>
      <c r="L61" s="33" t="str">
        <f t="shared" ca="1" si="22"/>
        <v xml:space="preserve"> | </v>
      </c>
      <c r="M61" s="33" t="str">
        <f t="shared" ca="1" si="23"/>
        <v xml:space="preserve"> | </v>
      </c>
      <c r="N61" s="33" t="str">
        <f t="shared" ca="1" si="24"/>
        <v xml:space="preserve"> | </v>
      </c>
      <c r="O61" s="84" t="str">
        <f t="shared" ca="1" si="25"/>
        <v>CM: Increase Mitigation by Officer Health OA: Increase Resources dropped</v>
      </c>
      <c r="R61" s="34"/>
      <c r="S61" s="34"/>
      <c r="T61" s="34"/>
      <c r="U61" s="34"/>
      <c r="V61" s="34"/>
      <c r="W61" s="34"/>
      <c r="X61" s="34"/>
    </row>
    <row r="62" spans="1:24" s="13" customFormat="1" ht="17.25" customHeight="1" x14ac:dyDescent="0.25">
      <c r="A62" s="34"/>
      <c r="B62" s="13" t="str">
        <f t="shared" si="16"/>
        <v>E</v>
      </c>
      <c r="C62" s="493" t="s">
        <v>1638</v>
      </c>
      <c r="D62" s="44">
        <f ca="1">IFERROR(INDEX(ImportLevel,MATCH(C62,ImportOfficerList,0)),IFERROR(INDEX(ImportLevel,MATCH("4 of 10",ImportOfficerList,0)),0))</f>
        <v>0</v>
      </c>
      <c r="E62" s="34">
        <f ca="1">IFERROR(INDEX(ImportRank,MATCH(C62,ImportOfficerList,0)),IFERROR(INDEX(ImportRank,MATCH("4 of 10",ImportOfficerList,0)),0))</f>
        <v>0</v>
      </c>
      <c r="F62" s="35">
        <f t="shared" ca="1" si="17"/>
        <v>0</v>
      </c>
      <c r="G62" s="35">
        <f t="shared" ca="1" si="18"/>
        <v>0</v>
      </c>
      <c r="H62" s="35">
        <f t="shared" ca="1" si="19"/>
        <v>0</v>
      </c>
      <c r="I62" s="34" t="str">
        <f t="shared" si="20"/>
        <v>Unimatrix Twelve</v>
      </c>
      <c r="J62" s="33" t="str">
        <f t="shared" ca="1" si="21"/>
        <v/>
      </c>
      <c r="K62" s="33" t="str">
        <f t="shared" ca="1" si="26"/>
        <v/>
      </c>
      <c r="L62" s="33" t="str">
        <f t="shared" ca="1" si="22"/>
        <v xml:space="preserve"> | </v>
      </c>
      <c r="M62" s="33" t="str">
        <f t="shared" ca="1" si="23"/>
        <v xml:space="preserve"> | </v>
      </c>
      <c r="N62" s="33" t="str">
        <f t="shared" ca="1" si="24"/>
        <v xml:space="preserve"> | </v>
      </c>
      <c r="O62" s="84" t="str">
        <f t="shared" ca="1" si="25"/>
        <v>CM: Increase Ore mining speed OA: Increase Cargo Size</v>
      </c>
      <c r="Q62" s="34"/>
      <c r="R62" s="34"/>
      <c r="S62" s="34"/>
      <c r="T62" s="34"/>
      <c r="U62" s="34"/>
      <c r="V62" s="34"/>
      <c r="W62" s="34"/>
      <c r="X62" s="34"/>
    </row>
    <row r="63" spans="1:24" s="13" customFormat="1" ht="17.25" customHeight="1" x14ac:dyDescent="0.25">
      <c r="A63" s="34"/>
      <c r="B63" s="13" t="str">
        <f t="shared" si="16"/>
        <v>C</v>
      </c>
      <c r="C63" s="493" t="s">
        <v>5</v>
      </c>
      <c r="D63" s="44">
        <f t="shared" ref="D63:D94" ca="1" si="27">IFERROR(INDEX(ImportLevel,MATCH(C63,ImportOfficerList,0)),0)</f>
        <v>0</v>
      </c>
      <c r="E63" s="34">
        <f t="shared" ref="E63:E94" ca="1" si="28">IFERROR(INDEX(ImportRank,MATCH(C63,ImportOfficerList,0)),0)</f>
        <v>0</v>
      </c>
      <c r="F63" s="35">
        <f t="shared" ca="1" si="17"/>
        <v>0</v>
      </c>
      <c r="G63" s="35">
        <f t="shared" ca="1" si="18"/>
        <v>0</v>
      </c>
      <c r="H63" s="35">
        <f t="shared" ca="1" si="19"/>
        <v>0</v>
      </c>
      <c r="I63" s="34" t="str">
        <f t="shared" si="20"/>
        <v>Starfleet Academy</v>
      </c>
      <c r="J63" s="33" t="str">
        <f t="shared" ca="1" si="21"/>
        <v/>
      </c>
      <c r="K63" s="33" t="str">
        <f t="shared" ca="1" si="26"/>
        <v/>
      </c>
      <c r="L63" s="33" t="str">
        <f t="shared" ca="1" si="22"/>
        <v xml:space="preserve"> | </v>
      </c>
      <c r="M63" s="33" t="str">
        <f t="shared" ca="1" si="23"/>
        <v xml:space="preserve"> | </v>
      </c>
      <c r="N63" s="33" t="str">
        <f t="shared" ca="1" si="24"/>
        <v xml:space="preserve"> | </v>
      </c>
      <c r="O63" s="84" t="str">
        <f t="shared" ca="1" si="25"/>
        <v>CM: Increase Parsteel rewards from Hostiles OA: Decrease Critical Damage from Hostiles</v>
      </c>
      <c r="Q63" s="34"/>
      <c r="R63" s="34"/>
      <c r="S63" s="34"/>
      <c r="T63" s="34"/>
      <c r="U63" s="34"/>
      <c r="V63" s="34"/>
      <c r="W63" s="34"/>
      <c r="X63" s="34"/>
    </row>
    <row r="64" spans="1:24" s="13" customFormat="1" ht="17.25" customHeight="1" x14ac:dyDescent="0.25">
      <c r="A64" s="34"/>
      <c r="B64" s="13" t="str">
        <f t="shared" si="16"/>
        <v>E</v>
      </c>
      <c r="C64" s="493" t="s">
        <v>733</v>
      </c>
      <c r="D64" s="44">
        <f t="shared" ca="1" si="27"/>
        <v>0</v>
      </c>
      <c r="E64" s="34">
        <f t="shared" ca="1" si="28"/>
        <v>0</v>
      </c>
      <c r="F64" s="35">
        <f t="shared" ca="1" si="17"/>
        <v>0</v>
      </c>
      <c r="G64" s="35">
        <f t="shared" ca="1" si="18"/>
        <v>0</v>
      </c>
      <c r="H64" s="35">
        <f t="shared" ca="1" si="19"/>
        <v>0</v>
      </c>
      <c r="I64" s="34" t="str">
        <f t="shared" si="20"/>
        <v>TNG Crew</v>
      </c>
      <c r="J64" s="33" t="str">
        <f t="shared" ca="1" si="21"/>
        <v/>
      </c>
      <c r="K64" s="33" t="str">
        <f t="shared" ca="1" si="26"/>
        <v/>
      </c>
      <c r="L64" s="33" t="str">
        <f t="shared" ca="1" si="22"/>
        <v xml:space="preserve"> | </v>
      </c>
      <c r="M64" s="33" t="str">
        <f t="shared" ca="1" si="23"/>
        <v xml:space="preserve"> | </v>
      </c>
      <c r="N64" s="33" t="str">
        <f t="shared" ca="1" si="24"/>
        <v xml:space="preserve"> | </v>
      </c>
      <c r="O64" s="84" t="str">
        <f t="shared" ca="1" si="25"/>
        <v>CM: Increase Rewards from Armadas OA: Increase Weapon Damage against Klingon Hostiles and Armadas</v>
      </c>
      <c r="Q64" s="34"/>
      <c r="R64" s="34"/>
      <c r="S64" s="34"/>
      <c r="T64" s="34"/>
      <c r="U64" s="34"/>
      <c r="V64" s="34"/>
      <c r="W64" s="34"/>
      <c r="X64" s="34"/>
    </row>
    <row r="65" spans="1:24" s="13" customFormat="1" ht="17.25" customHeight="1" x14ac:dyDescent="0.25">
      <c r="A65" s="34"/>
      <c r="B65" s="13" t="str">
        <f t="shared" si="16"/>
        <v>E</v>
      </c>
      <c r="C65" s="493" t="s">
        <v>108</v>
      </c>
      <c r="D65" s="44">
        <f t="shared" ca="1" si="27"/>
        <v>0</v>
      </c>
      <c r="E65" s="34">
        <f t="shared" ca="1" si="28"/>
        <v>0</v>
      </c>
      <c r="F65" s="35">
        <f t="shared" ca="1" si="17"/>
        <v>0</v>
      </c>
      <c r="G65" s="35">
        <f t="shared" ca="1" si="18"/>
        <v>0</v>
      </c>
      <c r="H65" s="35">
        <f t="shared" ca="1" si="19"/>
        <v>0</v>
      </c>
      <c r="I65" s="34" t="str">
        <f t="shared" si="20"/>
        <v>Discovery Crew</v>
      </c>
      <c r="J65" s="33" t="str">
        <f t="shared" ca="1" si="21"/>
        <v/>
      </c>
      <c r="K65" s="33" t="str">
        <f t="shared" ca="1" si="26"/>
        <v/>
      </c>
      <c r="L65" s="33" t="str">
        <f t="shared" ca="1" si="22"/>
        <v>Y | Y</v>
      </c>
      <c r="M65" s="33" t="str">
        <f t="shared" ca="1" si="23"/>
        <v xml:space="preserve"> | </v>
      </c>
      <c r="N65" s="33" t="str">
        <f t="shared" ca="1" si="24"/>
        <v xml:space="preserve"> | </v>
      </c>
      <c r="O65" s="84" t="str">
        <f t="shared" ca="1" si="25"/>
        <v>CM: Decrease opponents officers attack when opponent is burning OA: Chance to deal Burning for two rounds at the start of each round</v>
      </c>
      <c r="Q65" s="34"/>
      <c r="R65" s="34"/>
      <c r="S65" s="34"/>
      <c r="T65" s="34"/>
      <c r="U65" s="34"/>
      <c r="V65" s="34"/>
      <c r="W65" s="34"/>
      <c r="X65" s="34"/>
    </row>
    <row r="66" spans="1:24" s="13" customFormat="1" ht="17.25" customHeight="1" x14ac:dyDescent="0.25">
      <c r="A66" s="34"/>
      <c r="B66" s="13" t="str">
        <f t="shared" si="16"/>
        <v>E</v>
      </c>
      <c r="C66" s="493" t="s">
        <v>1846</v>
      </c>
      <c r="D66" s="44">
        <f t="shared" ca="1" si="27"/>
        <v>0</v>
      </c>
      <c r="E66" s="34">
        <f t="shared" ca="1" si="28"/>
        <v>0</v>
      </c>
      <c r="F66" s="35">
        <f t="shared" ca="1" si="17"/>
        <v>0</v>
      </c>
      <c r="G66" s="35">
        <f t="shared" ca="1" si="18"/>
        <v>0</v>
      </c>
      <c r="H66" s="35">
        <f t="shared" ca="1" si="19"/>
        <v>0</v>
      </c>
      <c r="I66" s="34" t="str">
        <f t="shared" si="20"/>
        <v>Syndicate</v>
      </c>
      <c r="J66" s="33" t="str">
        <f t="shared" ca="1" si="21"/>
        <v/>
      </c>
      <c r="K66" s="33" t="str">
        <f t="shared" ca="1" si="26"/>
        <v/>
      </c>
      <c r="L66" s="33" t="str">
        <f t="shared" ca="1" si="22"/>
        <v xml:space="preserve"> | </v>
      </c>
      <c r="M66" s="33" t="str">
        <f t="shared" ca="1" si="23"/>
        <v xml:space="preserve"> | </v>
      </c>
      <c r="N66" s="33" t="str">
        <f t="shared" ca="1" si="24"/>
        <v xml:space="preserve"> | </v>
      </c>
      <c r="O66" s="84" t="str">
        <f t="shared" ca="1" si="25"/>
        <v>CM: Increase Protected Cargo OA: Increase Warp Range</v>
      </c>
      <c r="Q66" s="34"/>
      <c r="R66" s="34"/>
      <c r="S66" s="34"/>
      <c r="T66" s="34"/>
      <c r="U66" s="34"/>
      <c r="V66" s="34"/>
      <c r="W66" s="34"/>
      <c r="X66" s="34"/>
    </row>
    <row r="67" spans="1:24" s="13" customFormat="1" ht="17.25" customHeight="1" x14ac:dyDescent="0.25">
      <c r="A67" s="34"/>
      <c r="B67" s="13" t="str">
        <f t="shared" si="16"/>
        <v>U</v>
      </c>
      <c r="C67" s="493" t="s">
        <v>28</v>
      </c>
      <c r="D67" s="44">
        <f t="shared" ca="1" si="27"/>
        <v>0</v>
      </c>
      <c r="E67" s="34">
        <f t="shared" ca="1" si="28"/>
        <v>0</v>
      </c>
      <c r="F67" s="35">
        <f t="shared" ca="1" si="17"/>
        <v>0</v>
      </c>
      <c r="G67" s="35">
        <f t="shared" ca="1" si="18"/>
        <v>0</v>
      </c>
      <c r="H67" s="35">
        <f t="shared" ca="1" si="19"/>
        <v>0</v>
      </c>
      <c r="I67" s="34" t="str">
        <f t="shared" si="20"/>
        <v>Starfleet Academy</v>
      </c>
      <c r="J67" s="33" t="str">
        <f t="shared" ca="1" si="21"/>
        <v/>
      </c>
      <c r="K67" s="33" t="str">
        <f t="shared" ca="1" si="26"/>
        <v/>
      </c>
      <c r="L67" s="33" t="str">
        <f t="shared" ca="1" si="22"/>
        <v xml:space="preserve"> | </v>
      </c>
      <c r="M67" s="33" t="str">
        <f t="shared" ca="1" si="23"/>
        <v xml:space="preserve"> | </v>
      </c>
      <c r="N67" s="33" t="str">
        <f t="shared" ca="1" si="24"/>
        <v xml:space="preserve"> | </v>
      </c>
      <c r="O67" s="84" t="str">
        <f t="shared" ca="1" si="25"/>
        <v>CM: Increase Critical Hit Chance against Hostiles OA: Increase Cristical Hit Damage against Hostiles</v>
      </c>
      <c r="Q67" s="34"/>
      <c r="R67" s="34"/>
      <c r="S67" s="34"/>
      <c r="T67" s="34"/>
      <c r="U67" s="34"/>
      <c r="V67" s="34"/>
      <c r="W67" s="34"/>
      <c r="X67" s="34"/>
    </row>
    <row r="68" spans="1:24" s="13" customFormat="1" ht="17.25" customHeight="1" x14ac:dyDescent="0.25">
      <c r="A68" s="34"/>
      <c r="B68" s="13" t="str">
        <f t="shared" si="16"/>
        <v>U</v>
      </c>
      <c r="C68" s="493" t="s">
        <v>95</v>
      </c>
      <c r="D68" s="44">
        <f t="shared" ca="1" si="27"/>
        <v>0</v>
      </c>
      <c r="E68" s="34">
        <f t="shared" ca="1" si="28"/>
        <v>0</v>
      </c>
      <c r="F68" s="35">
        <f t="shared" ca="1" si="17"/>
        <v>0</v>
      </c>
      <c r="G68" s="35">
        <f t="shared" ca="1" si="18"/>
        <v>0</v>
      </c>
      <c r="H68" s="35">
        <f t="shared" ca="1" si="19"/>
        <v>0</v>
      </c>
      <c r="I68" s="34" t="str">
        <f t="shared" si="20"/>
        <v>Mudd's Crew</v>
      </c>
      <c r="J68" s="33" t="str">
        <f t="shared" ca="1" si="21"/>
        <v/>
      </c>
      <c r="K68" s="33" t="str">
        <f t="shared" ca="1" si="26"/>
        <v/>
      </c>
      <c r="L68" s="33" t="str">
        <f t="shared" ca="1" si="22"/>
        <v xml:space="preserve"> | </v>
      </c>
      <c r="M68" s="33" t="str">
        <f t="shared" ca="1" si="23"/>
        <v xml:space="preserve"> | </v>
      </c>
      <c r="N68" s="33" t="str">
        <f t="shared" ca="1" si="24"/>
        <v xml:space="preserve"> | </v>
      </c>
      <c r="O68" s="84" t="str">
        <f t="shared" ca="1" si="25"/>
        <v>CM: Inctease Critical Hit Chance against Hostiles for first round OA: Increase Ship XP gained while fighting</v>
      </c>
      <c r="Q68" s="34"/>
      <c r="R68" s="34"/>
      <c r="S68" s="34"/>
      <c r="T68" s="34"/>
      <c r="U68" s="34"/>
      <c r="V68" s="34"/>
      <c r="W68" s="34"/>
      <c r="X68" s="34"/>
    </row>
    <row r="69" spans="1:24" s="13" customFormat="1" ht="17.25" customHeight="1" x14ac:dyDescent="0.25">
      <c r="A69" s="34"/>
      <c r="B69" s="13" t="str">
        <f t="shared" si="16"/>
        <v>E</v>
      </c>
      <c r="C69" s="493" t="s">
        <v>67</v>
      </c>
      <c r="D69" s="44">
        <f t="shared" ca="1" si="27"/>
        <v>0</v>
      </c>
      <c r="E69" s="34">
        <f t="shared" ca="1" si="28"/>
        <v>0</v>
      </c>
      <c r="F69" s="35">
        <f t="shared" ca="1" si="17"/>
        <v>0</v>
      </c>
      <c r="G69" s="35">
        <f t="shared" ca="1" si="18"/>
        <v>0</v>
      </c>
      <c r="H69" s="35">
        <f t="shared" ca="1" si="19"/>
        <v>0</v>
      </c>
      <c r="I69" s="34" t="str">
        <f t="shared" si="20"/>
        <v>Klingon Patriots</v>
      </c>
      <c r="J69" s="33" t="str">
        <f t="shared" ca="1" si="21"/>
        <v/>
      </c>
      <c r="K69" s="33" t="str">
        <f t="shared" ca="1" si="26"/>
        <v/>
      </c>
      <c r="L69" s="33" t="str">
        <f t="shared" ca="1" si="22"/>
        <v xml:space="preserve"> | </v>
      </c>
      <c r="M69" s="33" t="str">
        <f t="shared" ca="1" si="23"/>
        <v xml:space="preserve">Y | </v>
      </c>
      <c r="N69" s="33" t="str">
        <f t="shared" ca="1" si="24"/>
        <v xml:space="preserve"> | </v>
      </c>
      <c r="O69" s="84" t="str">
        <f t="shared" ca="1" si="25"/>
        <v>CM: Increase Critical Hit Chances for first 2 rounds OA: Chance to cause Hull Breach for 3 rounds when hitting with Critical Hit</v>
      </c>
      <c r="Q69" s="34"/>
      <c r="R69" s="34"/>
      <c r="S69" s="34"/>
      <c r="T69" s="34"/>
      <c r="U69" s="34"/>
      <c r="V69" s="34"/>
      <c r="W69" s="34"/>
      <c r="X69" s="34"/>
    </row>
    <row r="70" spans="1:24" s="13" customFormat="1" ht="17.25" customHeight="1" x14ac:dyDescent="0.25">
      <c r="A70" s="34"/>
      <c r="B70" s="13" t="str">
        <f t="shared" si="16"/>
        <v>R</v>
      </c>
      <c r="C70" s="493" t="s">
        <v>1848</v>
      </c>
      <c r="D70" s="44">
        <f t="shared" ca="1" si="27"/>
        <v>0</v>
      </c>
      <c r="E70" s="34">
        <f t="shared" ca="1" si="28"/>
        <v>0</v>
      </c>
      <c r="F70" s="35">
        <f t="shared" ca="1" si="17"/>
        <v>0</v>
      </c>
      <c r="G70" s="35">
        <f t="shared" ca="1" si="18"/>
        <v>0</v>
      </c>
      <c r="H70" s="35">
        <f t="shared" ca="1" si="19"/>
        <v>0</v>
      </c>
      <c r="I70" s="34" t="str">
        <f t="shared" si="20"/>
        <v>Khitomer's Revenge</v>
      </c>
      <c r="J70" s="33" t="str">
        <f t="shared" ca="1" si="21"/>
        <v/>
      </c>
      <c r="K70" s="33" t="str">
        <f t="shared" ca="1" si="26"/>
        <v/>
      </c>
      <c r="L70" s="33" t="str">
        <f t="shared" ca="1" si="22"/>
        <v xml:space="preserve"> | </v>
      </c>
      <c r="M70" s="33" t="str">
        <f t="shared" ca="1" si="23"/>
        <v xml:space="preserve"> | </v>
      </c>
      <c r="N70" s="33" t="str">
        <f t="shared" ca="1" si="24"/>
        <v xml:space="preserve"> | </v>
      </c>
      <c r="O70" s="84" t="str">
        <f t="shared" ca="1" si="25"/>
        <v>CM: Increase Energy Weapon Damage OA: Increase ship's Shield Deflection by Health of crew</v>
      </c>
      <c r="Q70" s="34"/>
      <c r="R70" s="34"/>
      <c r="S70" s="34"/>
      <c r="T70" s="34"/>
      <c r="U70" s="34"/>
      <c r="V70" s="34"/>
      <c r="W70" s="34"/>
      <c r="X70" s="34"/>
    </row>
    <row r="71" spans="1:24" s="13" customFormat="1" ht="17.25" customHeight="1" x14ac:dyDescent="0.25">
      <c r="A71" s="34"/>
      <c r="B71" s="13" t="str">
        <f t="shared" si="16"/>
        <v>C</v>
      </c>
      <c r="C71" s="493" t="s">
        <v>73</v>
      </c>
      <c r="D71" s="44">
        <f t="shared" ca="1" si="27"/>
        <v>0</v>
      </c>
      <c r="E71" s="34">
        <f t="shared" ca="1" si="28"/>
        <v>0</v>
      </c>
      <c r="F71" s="35">
        <f t="shared" ca="1" si="17"/>
        <v>0</v>
      </c>
      <c r="G71" s="35">
        <f t="shared" ca="1" si="18"/>
        <v>0</v>
      </c>
      <c r="H71" s="35">
        <f t="shared" ca="1" si="19"/>
        <v>0</v>
      </c>
      <c r="I71" s="34" t="str">
        <f t="shared" si="20"/>
        <v>Shakedown Cruise</v>
      </c>
      <c r="J71" s="33" t="str">
        <f t="shared" ca="1" si="21"/>
        <v/>
      </c>
      <c r="K71" s="33" t="str">
        <f t="shared" ca="1" si="26"/>
        <v/>
      </c>
      <c r="L71" s="33" t="str">
        <f t="shared" ca="1" si="22"/>
        <v xml:space="preserve"> | </v>
      </c>
      <c r="M71" s="33" t="str">
        <f t="shared" ca="1" si="23"/>
        <v xml:space="preserve"> | </v>
      </c>
      <c r="N71" s="33" t="str">
        <f t="shared" ca="1" si="24"/>
        <v xml:space="preserve"> | </v>
      </c>
      <c r="O71" s="84" t="str">
        <f t="shared" ca="1" si="25"/>
        <v>CM: Increase Warp Speed of ship OA: Increase Exoerience gained on Survey Ships</v>
      </c>
      <c r="Q71" s="34"/>
      <c r="R71" s="34"/>
      <c r="S71" s="34"/>
      <c r="T71" s="34"/>
      <c r="U71" s="34"/>
      <c r="V71" s="34"/>
      <c r="W71" s="34"/>
      <c r="X71" s="34"/>
    </row>
    <row r="72" spans="1:24" s="13" customFormat="1" ht="17.25" customHeight="1" x14ac:dyDescent="0.25">
      <c r="A72" s="34"/>
      <c r="B72" s="13" t="str">
        <f t="shared" si="16"/>
        <v>R</v>
      </c>
      <c r="C72" s="493" t="s">
        <v>98</v>
      </c>
      <c r="D72" s="44">
        <f t="shared" ca="1" si="27"/>
        <v>0</v>
      </c>
      <c r="E72" s="34">
        <f t="shared" ca="1" si="28"/>
        <v>0</v>
      </c>
      <c r="F72" s="35">
        <f t="shared" ca="1" si="17"/>
        <v>0</v>
      </c>
      <c r="G72" s="35">
        <f t="shared" ca="1" si="18"/>
        <v>0</v>
      </c>
      <c r="H72" s="35">
        <f t="shared" ca="1" si="19"/>
        <v>0</v>
      </c>
      <c r="I72" s="34" t="str">
        <f t="shared" si="20"/>
        <v>Section 31</v>
      </c>
      <c r="J72" s="33" t="str">
        <f t="shared" ca="1" si="21"/>
        <v/>
      </c>
      <c r="K72" s="33" t="str">
        <f t="shared" ca="1" si="26"/>
        <v/>
      </c>
      <c r="L72" s="33" t="str">
        <f t="shared" ca="1" si="22"/>
        <v xml:space="preserve"> | </v>
      </c>
      <c r="M72" s="33" t="str">
        <f t="shared" ca="1" si="23"/>
        <v xml:space="preserve"> | </v>
      </c>
      <c r="N72" s="33" t="str">
        <f t="shared" ca="1" si="24"/>
        <v xml:space="preserve"> | </v>
      </c>
      <c r="O72" s="84" t="str">
        <f t="shared" ca="1" si="25"/>
        <v>CM: Increase Damage against Explorers OA: Ignore % of opponents shield for the first round of combat</v>
      </c>
      <c r="Q72" s="34"/>
      <c r="R72" s="34"/>
      <c r="S72" s="34"/>
      <c r="T72" s="34"/>
      <c r="U72" s="34"/>
      <c r="V72" s="34"/>
      <c r="W72" s="34"/>
      <c r="X72" s="34"/>
    </row>
    <row r="73" spans="1:24" s="13" customFormat="1" ht="17.25" customHeight="1" x14ac:dyDescent="0.25">
      <c r="A73" s="34"/>
      <c r="B73" s="13" t="str">
        <f t="shared" si="16"/>
        <v>E</v>
      </c>
      <c r="C73" s="493" t="s">
        <v>109</v>
      </c>
      <c r="D73" s="44">
        <f t="shared" ca="1" si="27"/>
        <v>0</v>
      </c>
      <c r="E73" s="34">
        <f t="shared" ca="1" si="28"/>
        <v>0</v>
      </c>
      <c r="F73" s="35">
        <f t="shared" ca="1" si="17"/>
        <v>0</v>
      </c>
      <c r="G73" s="35">
        <f t="shared" ca="1" si="18"/>
        <v>0</v>
      </c>
      <c r="H73" s="35">
        <f t="shared" ca="1" si="19"/>
        <v>0</v>
      </c>
      <c r="I73" s="34" t="str">
        <f t="shared" si="20"/>
        <v>Mudd's Crew</v>
      </c>
      <c r="J73" s="33" t="str">
        <f t="shared" ca="1" si="21"/>
        <v/>
      </c>
      <c r="K73" s="33" t="str">
        <f t="shared" ca="1" si="26"/>
        <v/>
      </c>
      <c r="L73" s="33" t="str">
        <f t="shared" ca="1" si="22"/>
        <v xml:space="preserve"> | </v>
      </c>
      <c r="M73" s="33" t="str">
        <f t="shared" ca="1" si="23"/>
        <v xml:space="preserve"> | </v>
      </c>
      <c r="N73" s="33" t="str">
        <f t="shared" ca="1" si="24"/>
        <v xml:space="preserve"> | </v>
      </c>
      <c r="O73" s="84" t="str">
        <f t="shared" ca="1" si="25"/>
        <v>CM: Chance to have 98% Shield Mitigation for the first two combat rounds OA: Chance of Double Shots in the first round</v>
      </c>
      <c r="Q73" s="34"/>
      <c r="R73" s="34"/>
      <c r="S73" s="34"/>
      <c r="T73" s="34"/>
      <c r="U73" s="34"/>
      <c r="V73" s="34"/>
      <c r="W73" s="34"/>
      <c r="X73" s="34"/>
    </row>
    <row r="74" spans="1:24" s="13" customFormat="1" ht="17.25" customHeight="1" x14ac:dyDescent="0.25">
      <c r="A74" s="34"/>
      <c r="B74" s="13" t="str">
        <f t="shared" si="16"/>
        <v>C</v>
      </c>
      <c r="C74" s="493" t="s">
        <v>4</v>
      </c>
      <c r="D74" s="44">
        <f t="shared" ca="1" si="27"/>
        <v>0</v>
      </c>
      <c r="E74" s="34">
        <f t="shared" ca="1" si="28"/>
        <v>0</v>
      </c>
      <c r="F74" s="35">
        <f t="shared" ca="1" si="17"/>
        <v>0</v>
      </c>
      <c r="G74" s="35">
        <f t="shared" ca="1" si="18"/>
        <v>0</v>
      </c>
      <c r="H74" s="35">
        <f t="shared" ca="1" si="19"/>
        <v>0</v>
      </c>
      <c r="I74" s="34" t="str">
        <f t="shared" si="20"/>
        <v>Surveyors &amp; Miners</v>
      </c>
      <c r="J74" s="33" t="str">
        <f t="shared" ca="1" si="21"/>
        <v/>
      </c>
      <c r="K74" s="33" t="str">
        <f t="shared" ca="1" si="26"/>
        <v/>
      </c>
      <c r="L74" s="33" t="str">
        <f t="shared" ca="1" si="22"/>
        <v xml:space="preserve"> | </v>
      </c>
      <c r="M74" s="33" t="str">
        <f t="shared" ca="1" si="23"/>
        <v xml:space="preserve"> | </v>
      </c>
      <c r="N74" s="33" t="str">
        <f t="shared" ca="1" si="24"/>
        <v xml:space="preserve"> | </v>
      </c>
      <c r="O74" s="84" t="str">
        <f t="shared" ca="1" si="25"/>
        <v>CM: Increase Parsteel mining OA: Increase Warp Speed when Cargo is empty</v>
      </c>
      <c r="Q74" s="34"/>
      <c r="R74" s="34"/>
      <c r="S74" s="34"/>
      <c r="T74" s="34"/>
      <c r="U74" s="34"/>
      <c r="V74" s="34"/>
      <c r="W74" s="34"/>
      <c r="X74" s="34"/>
    </row>
    <row r="75" spans="1:24" s="13" customFormat="1" ht="17.25" customHeight="1" x14ac:dyDescent="0.25">
      <c r="A75" s="34"/>
      <c r="B75" s="13" t="str">
        <f t="shared" si="16"/>
        <v>U</v>
      </c>
      <c r="C75" s="493" t="s">
        <v>93</v>
      </c>
      <c r="D75" s="44">
        <f t="shared" ca="1" si="27"/>
        <v>0</v>
      </c>
      <c r="E75" s="34">
        <f t="shared" ca="1" si="28"/>
        <v>0</v>
      </c>
      <c r="F75" s="35">
        <f t="shared" ca="1" si="17"/>
        <v>0</v>
      </c>
      <c r="G75" s="35">
        <f t="shared" ca="1" si="18"/>
        <v>0</v>
      </c>
      <c r="H75" s="35">
        <f t="shared" ca="1" si="19"/>
        <v>0</v>
      </c>
      <c r="I75" s="34" t="str">
        <f t="shared" si="20"/>
        <v>Shakedown Cruise</v>
      </c>
      <c r="J75" s="33" t="str">
        <f t="shared" ca="1" si="21"/>
        <v/>
      </c>
      <c r="K75" s="33" t="str">
        <f t="shared" ca="1" si="26"/>
        <v/>
      </c>
      <c r="L75" s="33" t="str">
        <f t="shared" ca="1" si="22"/>
        <v xml:space="preserve"> | </v>
      </c>
      <c r="M75" s="33" t="str">
        <f t="shared" ca="1" si="23"/>
        <v xml:space="preserve"> | </v>
      </c>
      <c r="N75" s="33" t="str">
        <f t="shared" ca="1" si="24"/>
        <v xml:space="preserve"> | </v>
      </c>
      <c r="O75" s="84" t="str">
        <f t="shared" ca="1" si="25"/>
        <v>CM: Increase mitigation when Hull Health is below 60% of Health at start of battle OA: Increase Ship XP on Explorers</v>
      </c>
      <c r="Q75" s="34"/>
      <c r="R75" s="34"/>
      <c r="S75" s="34"/>
      <c r="T75" s="34"/>
      <c r="U75" s="34"/>
      <c r="V75" s="34"/>
      <c r="W75" s="34"/>
      <c r="X75" s="34"/>
    </row>
    <row r="76" spans="1:24" s="13" customFormat="1" ht="17.25" customHeight="1" x14ac:dyDescent="0.25">
      <c r="A76" s="34"/>
      <c r="B76" s="13" t="str">
        <f t="shared" si="16"/>
        <v>E</v>
      </c>
      <c r="C76" s="493" t="s">
        <v>1564</v>
      </c>
      <c r="D76" s="44">
        <f t="shared" ca="1" si="27"/>
        <v>0</v>
      </c>
      <c r="E76" s="34">
        <f t="shared" ca="1" si="28"/>
        <v>0</v>
      </c>
      <c r="F76" s="35">
        <f t="shared" ca="1" si="17"/>
        <v>0</v>
      </c>
      <c r="G76" s="35">
        <f t="shared" ca="1" si="18"/>
        <v>0</v>
      </c>
      <c r="H76" s="35">
        <f t="shared" ca="1" si="19"/>
        <v>0</v>
      </c>
      <c r="I76" s="34" t="str">
        <f t="shared" si="20"/>
        <v>Khitomer's Revenge</v>
      </c>
      <c r="J76" s="33" t="str">
        <f t="shared" ca="1" si="21"/>
        <v/>
      </c>
      <c r="K76" s="33" t="str">
        <f t="shared" ca="1" si="26"/>
        <v/>
      </c>
      <c r="L76" s="33" t="str">
        <f t="shared" ca="1" si="22"/>
        <v xml:space="preserve"> | </v>
      </c>
      <c r="M76" s="33" t="str">
        <f t="shared" ca="1" si="23"/>
        <v xml:space="preserve"> | </v>
      </c>
      <c r="N76" s="33" t="str">
        <f t="shared" ca="1" si="24"/>
        <v xml:space="preserve"> | </v>
      </c>
      <c r="O76" s="84" t="str">
        <f t="shared" ca="1" si="25"/>
        <v>CM: When fighting other players, increases Armor Piercing by % of Crew Attack whenever ship scores a critical hit OA: For the first 8 rounds of combat against other players, increases the Critical Hit Chance of the ship</v>
      </c>
      <c r="Q76" s="34"/>
      <c r="R76" s="34"/>
      <c r="S76" s="34"/>
      <c r="T76" s="34"/>
      <c r="U76" s="34"/>
      <c r="V76" s="34"/>
      <c r="W76" s="34"/>
      <c r="X76" s="34"/>
    </row>
    <row r="77" spans="1:24" s="13" customFormat="1" ht="17.25" customHeight="1" x14ac:dyDescent="0.25">
      <c r="A77" s="34"/>
      <c r="B77" s="13" t="str">
        <f t="shared" si="16"/>
        <v>C</v>
      </c>
      <c r="C77" s="493" t="s">
        <v>16</v>
      </c>
      <c r="D77" s="44">
        <f t="shared" ca="1" si="27"/>
        <v>0</v>
      </c>
      <c r="E77" s="34">
        <f t="shared" ca="1" si="28"/>
        <v>0</v>
      </c>
      <c r="F77" s="35">
        <f t="shared" ca="1" si="17"/>
        <v>0</v>
      </c>
      <c r="G77" s="35">
        <f t="shared" ca="1" si="18"/>
        <v>0</v>
      </c>
      <c r="H77" s="35">
        <f t="shared" ca="1" si="19"/>
        <v>0</v>
      </c>
      <c r="I77" s="34" t="str">
        <f t="shared" si="20"/>
        <v>Another Time</v>
      </c>
      <c r="J77" s="33" t="str">
        <f t="shared" ca="1" si="21"/>
        <v/>
      </c>
      <c r="K77" s="33" t="str">
        <f t="shared" ca="1" si="26"/>
        <v/>
      </c>
      <c r="L77" s="33" t="str">
        <f t="shared" ca="1" si="22"/>
        <v xml:space="preserve"> | </v>
      </c>
      <c r="M77" s="33" t="str">
        <f t="shared" ca="1" si="23"/>
        <v xml:space="preserve"> | </v>
      </c>
      <c r="N77" s="33" t="str">
        <f t="shared" ca="1" si="24"/>
        <v xml:space="preserve"> | </v>
      </c>
      <c r="O77" s="84" t="str">
        <f t="shared" ca="1" si="25"/>
        <v>CM: Increase Damage OA: Increase Mitigation</v>
      </c>
      <c r="Q77" s="34"/>
      <c r="R77" s="34"/>
      <c r="S77" s="34"/>
      <c r="T77" s="34"/>
      <c r="U77" s="34"/>
      <c r="V77" s="34"/>
      <c r="W77" s="34"/>
      <c r="X77" s="34"/>
    </row>
    <row r="78" spans="1:24" s="13" customFormat="1" ht="17.25" customHeight="1" x14ac:dyDescent="0.25">
      <c r="A78" s="34"/>
      <c r="B78" s="13" t="str">
        <f t="shared" si="16"/>
        <v>U</v>
      </c>
      <c r="C78" s="493" t="s">
        <v>122</v>
      </c>
      <c r="D78" s="44">
        <f t="shared" ca="1" si="27"/>
        <v>0</v>
      </c>
      <c r="E78" s="34">
        <f t="shared" ca="1" si="28"/>
        <v>0</v>
      </c>
      <c r="F78" s="35">
        <f t="shared" ca="1" si="17"/>
        <v>0</v>
      </c>
      <c r="G78" s="35">
        <f t="shared" ca="1" si="18"/>
        <v>0</v>
      </c>
      <c r="H78" s="35">
        <f t="shared" ca="1" si="19"/>
        <v>0</v>
      </c>
      <c r="I78" s="34" t="str">
        <f t="shared" si="20"/>
        <v>Nero's Crew</v>
      </c>
      <c r="J78" s="33" t="str">
        <f t="shared" ca="1" si="21"/>
        <v/>
      </c>
      <c r="K78" s="33" t="str">
        <f t="shared" ca="1" si="26"/>
        <v/>
      </c>
      <c r="L78" s="33" t="str">
        <f t="shared" ca="1" si="22"/>
        <v xml:space="preserve"> | </v>
      </c>
      <c r="M78" s="33" t="str">
        <f t="shared" ca="1" si="23"/>
        <v xml:space="preserve"> | </v>
      </c>
      <c r="N78" s="33" t="str">
        <f t="shared" ca="1" si="24"/>
        <v xml:space="preserve"> | </v>
      </c>
      <c r="O78" s="84" t="str">
        <f t="shared" ca="1" si="25"/>
        <v>CM: Increase Shield Piercing OA: Increase Armor on a battleship</v>
      </c>
      <c r="Q78" s="34"/>
      <c r="R78" s="34"/>
      <c r="S78" s="34"/>
      <c r="T78" s="34"/>
      <c r="U78" s="34"/>
      <c r="V78" s="34"/>
      <c r="W78" s="34"/>
      <c r="X78" s="34"/>
    </row>
    <row r="79" spans="1:24" s="13" customFormat="1" ht="17.25" customHeight="1" x14ac:dyDescent="0.25">
      <c r="A79" s="34"/>
      <c r="B79" s="13" t="str">
        <f t="shared" si="16"/>
        <v>E</v>
      </c>
      <c r="C79" s="493" t="s">
        <v>104</v>
      </c>
      <c r="D79" s="44">
        <f t="shared" ca="1" si="27"/>
        <v>0</v>
      </c>
      <c r="E79" s="34">
        <f t="shared" ca="1" si="28"/>
        <v>0</v>
      </c>
      <c r="F79" s="35">
        <f t="shared" ca="1" si="17"/>
        <v>0</v>
      </c>
      <c r="G79" s="35">
        <f t="shared" ca="1" si="18"/>
        <v>0</v>
      </c>
      <c r="H79" s="35">
        <f t="shared" ca="1" si="19"/>
        <v>0</v>
      </c>
      <c r="I79" s="34" t="str">
        <f t="shared" si="20"/>
        <v>Jaylah</v>
      </c>
      <c r="J79" s="33" t="str">
        <f t="shared" ca="1" si="21"/>
        <v/>
      </c>
      <c r="K79" s="33" t="str">
        <f ca="1">IFERROR(IF($O$20="Abilities",VLOOKUP(C79,INDIRECT($O$20),7,FALSE),""),"")</f>
        <v/>
      </c>
      <c r="L79" s="33" t="str">
        <f t="shared" ca="1" si="22"/>
        <v xml:space="preserve"> | </v>
      </c>
      <c r="M79" s="33" t="str">
        <f t="shared" ca="1" si="23"/>
        <v xml:space="preserve"> | </v>
      </c>
      <c r="N79" s="33" t="str">
        <f t="shared" ca="1" si="24"/>
        <v xml:space="preserve"> | </v>
      </c>
      <c r="O79" s="84" t="str">
        <f t="shared" ca="1" si="25"/>
        <v>CM: Increase Resources from hostiles when in any Franklin OA: Increase number of shots against Swarms in any Franklin</v>
      </c>
      <c r="Q79" s="34"/>
      <c r="R79" s="34"/>
      <c r="S79" s="34"/>
      <c r="T79" s="34"/>
      <c r="U79" s="34"/>
      <c r="V79" s="34"/>
      <c r="W79" s="34"/>
      <c r="X79" s="34"/>
    </row>
    <row r="80" spans="1:24" s="13" customFormat="1" ht="17.25" customHeight="1" x14ac:dyDescent="0.25">
      <c r="A80" s="34"/>
      <c r="B80" s="13" t="str">
        <f t="shared" si="16"/>
        <v>E</v>
      </c>
      <c r="C80" s="493" t="s">
        <v>869</v>
      </c>
      <c r="D80" s="44">
        <f t="shared" ca="1" si="27"/>
        <v>0</v>
      </c>
      <c r="E80" s="34">
        <f t="shared" ca="1" si="28"/>
        <v>0</v>
      </c>
      <c r="F80" s="35">
        <f t="shared" ca="1" si="17"/>
        <v>0</v>
      </c>
      <c r="G80" s="35">
        <f t="shared" ca="1" si="18"/>
        <v>0</v>
      </c>
      <c r="H80" s="35">
        <f t="shared" ca="1" si="19"/>
        <v>0</v>
      </c>
      <c r="I80" s="34" t="str">
        <f t="shared" si="20"/>
        <v>TNG Crew</v>
      </c>
      <c r="J80" s="33" t="str">
        <f t="shared" ca="1" si="21"/>
        <v/>
      </c>
      <c r="K80" s="33" t="str">
        <f t="shared" ref="K80:K111" ca="1" si="29">IFERROR(IF($O$20="Abilities",VLOOKUP(C80,INDIRECT($O$20),7,FALSE)*100 &amp; "%",""),"")</f>
        <v/>
      </c>
      <c r="L80" s="33" t="str">
        <f t="shared" ca="1" si="22"/>
        <v xml:space="preserve"> | </v>
      </c>
      <c r="M80" s="33" t="str">
        <f t="shared" ca="1" si="23"/>
        <v xml:space="preserve"> | </v>
      </c>
      <c r="N80" s="33" t="str">
        <f t="shared" ca="1" si="24"/>
        <v xml:space="preserve"> | </v>
      </c>
      <c r="O80" s="84" t="str">
        <f t="shared" ca="1" si="25"/>
        <v>CM: Increase Officer Abilities that trigger in combat by 2 x % OA: Increase Critical Damage against Hostiles and Armadas</v>
      </c>
      <c r="Q80" s="34"/>
      <c r="R80" s="34"/>
      <c r="S80" s="34"/>
      <c r="T80" s="34"/>
      <c r="U80" s="34"/>
      <c r="V80" s="34"/>
      <c r="W80" s="34"/>
      <c r="X80" s="34"/>
    </row>
    <row r="81" spans="1:24" s="13" customFormat="1" ht="17.25" customHeight="1" x14ac:dyDescent="0.25">
      <c r="A81" s="34"/>
      <c r="B81" s="13" t="str">
        <f t="shared" si="16"/>
        <v>R</v>
      </c>
      <c r="C81" s="493" t="s">
        <v>59</v>
      </c>
      <c r="D81" s="44">
        <f t="shared" ca="1" si="27"/>
        <v>0</v>
      </c>
      <c r="E81" s="34">
        <f t="shared" ca="1" si="28"/>
        <v>0</v>
      </c>
      <c r="F81" s="35">
        <f t="shared" ca="1" si="17"/>
        <v>0</v>
      </c>
      <c r="G81" s="35">
        <f t="shared" ca="1" si="18"/>
        <v>0</v>
      </c>
      <c r="H81" s="35">
        <f t="shared" ca="1" si="19"/>
        <v>0</v>
      </c>
      <c r="I81" s="34" t="str">
        <f t="shared" si="20"/>
        <v>Khan's Crew</v>
      </c>
      <c r="J81" s="33" t="str">
        <f t="shared" ca="1" si="21"/>
        <v/>
      </c>
      <c r="K81" s="33" t="str">
        <f t="shared" ca="1" si="29"/>
        <v/>
      </c>
      <c r="L81" s="33" t="str">
        <f t="shared" ca="1" si="22"/>
        <v xml:space="preserve"> | </v>
      </c>
      <c r="M81" s="33" t="str">
        <f t="shared" ca="1" si="23"/>
        <v xml:space="preserve"> | </v>
      </c>
      <c r="N81" s="33" t="str">
        <f t="shared" ca="1" si="24"/>
        <v xml:space="preserve"> | </v>
      </c>
      <c r="O81" s="84" t="str">
        <f t="shared" ca="1" si="25"/>
        <v>CM: Chance to drastically increase ship mitigation against Stations for first round OA: Decrease all opponents ships and defence platform damage in Station Combat</v>
      </c>
      <c r="Q81" s="34"/>
      <c r="R81" s="34"/>
      <c r="S81" s="34"/>
      <c r="T81" s="34"/>
      <c r="U81" s="34"/>
      <c r="V81" s="34"/>
      <c r="W81" s="34"/>
      <c r="X81" s="34"/>
    </row>
    <row r="82" spans="1:24" s="13" customFormat="1" ht="17.25" customHeight="1" x14ac:dyDescent="0.25">
      <c r="A82" s="34"/>
      <c r="B82" s="13" t="str">
        <f t="shared" si="16"/>
        <v>U</v>
      </c>
      <c r="C82" s="493" t="s">
        <v>32</v>
      </c>
      <c r="D82" s="44">
        <f t="shared" ca="1" si="27"/>
        <v>0</v>
      </c>
      <c r="E82" s="34">
        <f t="shared" ca="1" si="28"/>
        <v>0</v>
      </c>
      <c r="F82" s="35">
        <f t="shared" ca="1" si="17"/>
        <v>0</v>
      </c>
      <c r="G82" s="35">
        <f t="shared" ca="1" si="18"/>
        <v>0</v>
      </c>
      <c r="H82" s="35">
        <f t="shared" ca="1" si="19"/>
        <v>0</v>
      </c>
      <c r="I82" s="34" t="str">
        <f t="shared" si="20"/>
        <v>Khan's Crew</v>
      </c>
      <c r="J82" s="33" t="str">
        <f t="shared" ca="1" si="21"/>
        <v/>
      </c>
      <c r="K82" s="33" t="str">
        <f t="shared" ca="1" si="29"/>
        <v/>
      </c>
      <c r="L82" s="33" t="str">
        <f t="shared" ca="1" si="22"/>
        <v xml:space="preserve"> | </v>
      </c>
      <c r="M82" s="33" t="str">
        <f t="shared" ca="1" si="23"/>
        <v xml:space="preserve"> | </v>
      </c>
      <c r="N82" s="33" t="str">
        <f t="shared" ca="1" si="24"/>
        <v xml:space="preserve"> | </v>
      </c>
      <c r="O82" s="84" t="str">
        <f t="shared" ca="1" si="25"/>
        <v>CM: Increase Protected Cargo OA: Increase Data Mining Speed</v>
      </c>
      <c r="Q82" s="34"/>
      <c r="R82" s="34"/>
      <c r="S82" s="34"/>
      <c r="T82" s="34"/>
      <c r="U82" s="34"/>
      <c r="V82" s="34"/>
      <c r="W82" s="34"/>
      <c r="X82" s="34"/>
    </row>
    <row r="83" spans="1:24" s="13" customFormat="1" ht="17.25" customHeight="1" x14ac:dyDescent="0.25">
      <c r="A83" s="34"/>
      <c r="B83" s="13" t="str">
        <f t="shared" si="16"/>
        <v>E</v>
      </c>
      <c r="C83" s="493" t="s">
        <v>70</v>
      </c>
      <c r="D83" s="44">
        <f t="shared" ca="1" si="27"/>
        <v>0</v>
      </c>
      <c r="E83" s="34">
        <f t="shared" ca="1" si="28"/>
        <v>0</v>
      </c>
      <c r="F83" s="35">
        <f t="shared" ca="1" si="17"/>
        <v>0</v>
      </c>
      <c r="G83" s="35">
        <f t="shared" ca="1" si="18"/>
        <v>0</v>
      </c>
      <c r="H83" s="35">
        <f t="shared" ca="1" si="19"/>
        <v>0</v>
      </c>
      <c r="I83" s="34" t="str">
        <f t="shared" si="20"/>
        <v>Blood &amp; Honor</v>
      </c>
      <c r="J83" s="33" t="str">
        <f t="shared" ca="1" si="21"/>
        <v/>
      </c>
      <c r="K83" s="33" t="str">
        <f t="shared" ca="1" si="29"/>
        <v/>
      </c>
      <c r="L83" s="33" t="str">
        <f t="shared" ca="1" si="22"/>
        <v xml:space="preserve"> | </v>
      </c>
      <c r="M83" s="33" t="str">
        <f t="shared" ca="1" si="23"/>
        <v xml:space="preserve">Y | </v>
      </c>
      <c r="N83" s="33" t="str">
        <f t="shared" ca="1" si="24"/>
        <v xml:space="preserve"> | </v>
      </c>
      <c r="O83" s="84" t="str">
        <f t="shared" ca="1" si="25"/>
        <v>CM: Chance to cause Hull Breach at the start of combat OA: Increase Accuracy by Crews Attack</v>
      </c>
      <c r="Q83" s="34"/>
      <c r="R83" s="34"/>
      <c r="S83" s="34"/>
      <c r="T83" s="34"/>
      <c r="U83" s="34"/>
      <c r="V83" s="34"/>
      <c r="W83" s="34"/>
      <c r="X83" s="34"/>
    </row>
    <row r="84" spans="1:24" s="13" customFormat="1" ht="17.25" customHeight="1" x14ac:dyDescent="0.25">
      <c r="A84" s="34"/>
      <c r="B84" s="13" t="str">
        <f t="shared" si="16"/>
        <v>U</v>
      </c>
      <c r="C84" s="493" t="s">
        <v>56</v>
      </c>
      <c r="D84" s="44">
        <f t="shared" ca="1" si="27"/>
        <v>0</v>
      </c>
      <c r="E84" s="34">
        <f t="shared" ca="1" si="28"/>
        <v>0</v>
      </c>
      <c r="F84" s="35">
        <f t="shared" ca="1" si="17"/>
        <v>0</v>
      </c>
      <c r="G84" s="35">
        <f t="shared" ca="1" si="18"/>
        <v>0</v>
      </c>
      <c r="H84" s="35">
        <f t="shared" ca="1" si="19"/>
        <v>0</v>
      </c>
      <c r="I84" s="34" t="str">
        <f t="shared" si="20"/>
        <v>Khan's Crew</v>
      </c>
      <c r="J84" s="33" t="str">
        <f t="shared" ca="1" si="21"/>
        <v/>
      </c>
      <c r="K84" s="33" t="str">
        <f t="shared" ca="1" si="29"/>
        <v/>
      </c>
      <c r="L84" s="33" t="str">
        <f t="shared" ca="1" si="22"/>
        <v xml:space="preserve"> | </v>
      </c>
      <c r="M84" s="33" t="str">
        <f t="shared" ca="1" si="23"/>
        <v xml:space="preserve"> | </v>
      </c>
      <c r="N84" s="33" t="str">
        <f t="shared" ca="1" si="24"/>
        <v xml:space="preserve"> | </v>
      </c>
      <c r="O84" s="84" t="str">
        <f t="shared" ca="1" si="25"/>
        <v>CM: Increase Critical Hit Chances against Defence Platforms OA: Increase Critical Hit Damage in Station Combat</v>
      </c>
      <c r="Q84" s="34"/>
      <c r="R84" s="34"/>
      <c r="S84" s="34"/>
      <c r="T84" s="34"/>
      <c r="U84" s="34"/>
      <c r="V84" s="34"/>
      <c r="W84" s="34"/>
      <c r="X84" s="34"/>
    </row>
    <row r="85" spans="1:24" s="13" customFormat="1" ht="17.25" customHeight="1" x14ac:dyDescent="0.25">
      <c r="A85" s="34"/>
      <c r="B85" s="13" t="str">
        <f t="shared" si="16"/>
        <v>C</v>
      </c>
      <c r="C85" s="493" t="s">
        <v>6</v>
      </c>
      <c r="D85" s="44">
        <f t="shared" ca="1" si="27"/>
        <v>0</v>
      </c>
      <c r="E85" s="34">
        <f t="shared" ca="1" si="28"/>
        <v>0</v>
      </c>
      <c r="F85" s="35">
        <f t="shared" ca="1" si="17"/>
        <v>0</v>
      </c>
      <c r="G85" s="35">
        <f t="shared" ca="1" si="18"/>
        <v>0</v>
      </c>
      <c r="H85" s="35">
        <f t="shared" ca="1" si="19"/>
        <v>0</v>
      </c>
      <c r="I85" s="34" t="str">
        <f t="shared" si="20"/>
        <v>Surveyors &amp; Miners</v>
      </c>
      <c r="J85" s="33" t="str">
        <f t="shared" ca="1" si="21"/>
        <v/>
      </c>
      <c r="K85" s="33" t="str">
        <f t="shared" ca="1" si="29"/>
        <v/>
      </c>
      <c r="L85" s="33" t="str">
        <f t="shared" ca="1" si="22"/>
        <v xml:space="preserve"> | </v>
      </c>
      <c r="M85" s="33" t="str">
        <f t="shared" ca="1" si="23"/>
        <v xml:space="preserve"> | </v>
      </c>
      <c r="N85" s="33" t="str">
        <f t="shared" ca="1" si="24"/>
        <v xml:space="preserve"> | </v>
      </c>
      <c r="O85" s="84" t="str">
        <f t="shared" ca="1" si="25"/>
        <v>CM: Increase Tritanium mining rate OA: Decrease Damage taken when mining (*Bugged*)</v>
      </c>
      <c r="Q85" s="34"/>
      <c r="R85" s="34"/>
      <c r="S85" s="34"/>
      <c r="T85" s="34"/>
      <c r="U85" s="34"/>
      <c r="V85" s="34"/>
      <c r="W85" s="34"/>
      <c r="X85" s="34"/>
    </row>
    <row r="86" spans="1:24" s="13" customFormat="1" ht="17.25" customHeight="1" x14ac:dyDescent="0.25">
      <c r="A86" s="34"/>
      <c r="B86" s="13" t="str">
        <f t="shared" ref="B86:B117" si="30">VLOOKUP(C86,OfficerScores,2,FALSE)</f>
        <v>R</v>
      </c>
      <c r="C86" s="493" t="s">
        <v>99</v>
      </c>
      <c r="D86" s="44">
        <f t="shared" ca="1" si="27"/>
        <v>0</v>
      </c>
      <c r="E86" s="34">
        <f t="shared" ca="1" si="28"/>
        <v>0</v>
      </c>
      <c r="F86" s="35">
        <f t="shared" ref="F86:F117" ca="1" si="31">IF(D86&gt;0,VLOOKUP(C86,OfficerStats,IF(MaxLevel=TRUE,30,D86)*3-1,FALSE)*OfficerBonusA,IF(MaxLevel = TRUE,VLOOKUP(C86,OfficerStats,30*3-1,FALSE)*OfficerBonusA,0))</f>
        <v>0</v>
      </c>
      <c r="G86" s="35">
        <f t="shared" ref="G86:G117" ca="1" si="32">IF(D86&gt;0,VLOOKUP(C86,OfficerStats,IF(MaxLevel=TRUE,30,D86)*3,FALSE)*OfficerBonusD,IF(MaxLevel = TRUE,VLOOKUP(C86,OfficerStats,30*3,FALSE)*OfficerBonusD,0))</f>
        <v>0</v>
      </c>
      <c r="H86" s="35">
        <f t="shared" ref="H86:H117" ca="1" si="33">IF(D86&gt;0,VLOOKUP(C86,OfficerStats,IF(MaxLevel=TRUE,30,D86)*3+1,FALSE)*OfficerBonusH,IF(MaxLevel = TRUE,VLOOKUP(C86,OfficerStats,30*3+1,FALSE)*OfficerBonusH,0))</f>
        <v>0</v>
      </c>
      <c r="I86" s="34" t="str">
        <f t="shared" ref="I86:I117" si="34">IFERROR(INDEX(OfficerSkillsFull,MATCH(C86,OfficerSkillsOfficers,0),11),0)</f>
        <v>Auxiliary Controls</v>
      </c>
      <c r="J86" s="33" t="str">
        <f t="shared" ref="J86:J117" ca="1" si="35">IFERROR(IF($O$20="Abilities",VLOOKUP(C86,INDIRECT($O$20),6,FALSE)*100 &amp; "%",""),"")</f>
        <v/>
      </c>
      <c r="K86" s="33" t="str">
        <f t="shared" ca="1" si="29"/>
        <v/>
      </c>
      <c r="L86" s="33" t="str">
        <f t="shared" ref="L86:L117" ca="1" si="36">VLOOKUP(C86,INDIRECT($O$20),2,FALSE)</f>
        <v xml:space="preserve"> | </v>
      </c>
      <c r="M86" s="33" t="str">
        <f t="shared" ref="M86:M117" ca="1" si="37">VLOOKUP(C86,INDIRECT($O$20),3,FALSE)</f>
        <v xml:space="preserve"> | </v>
      </c>
      <c r="N86" s="33" t="str">
        <f t="shared" ref="N86:N117" ca="1" si="38">VLOOKUP(C86,INDIRECT($O$20),4,FALSE)</f>
        <v xml:space="preserve"> | </v>
      </c>
      <c r="O86" s="84" t="str">
        <f t="shared" ref="O86:O117" ca="1" si="39">VLOOKUP(C86,INDIRECT($O$20),5,FALSE)</f>
        <v>CM: Increase Hull Health as long as ship is in the station OA: Increase Shield Health as long as ship is in the station</v>
      </c>
      <c r="Q86" s="34"/>
      <c r="R86" s="34"/>
      <c r="S86" s="34"/>
      <c r="T86" s="34"/>
      <c r="U86" s="34"/>
      <c r="V86" s="34"/>
      <c r="W86" s="34"/>
      <c r="X86" s="34"/>
    </row>
    <row r="87" spans="1:24" s="13" customFormat="1" ht="17.25" customHeight="1" x14ac:dyDescent="0.25">
      <c r="A87" s="34"/>
      <c r="B87" s="13" t="str">
        <f t="shared" si="30"/>
        <v>R</v>
      </c>
      <c r="C87" s="493" t="s">
        <v>49</v>
      </c>
      <c r="D87" s="44">
        <f t="shared" ca="1" si="27"/>
        <v>0</v>
      </c>
      <c r="E87" s="34">
        <f t="shared" ca="1" si="28"/>
        <v>0</v>
      </c>
      <c r="F87" s="35">
        <f t="shared" ca="1" si="31"/>
        <v>0</v>
      </c>
      <c r="G87" s="35">
        <f t="shared" ca="1" si="32"/>
        <v>0</v>
      </c>
      <c r="H87" s="35">
        <f t="shared" ca="1" si="33"/>
        <v>0</v>
      </c>
      <c r="I87" s="34" t="str">
        <f t="shared" si="34"/>
        <v>Klingon Patriots</v>
      </c>
      <c r="J87" s="33" t="str">
        <f t="shared" ca="1" si="35"/>
        <v/>
      </c>
      <c r="K87" s="33" t="str">
        <f t="shared" ca="1" si="29"/>
        <v/>
      </c>
      <c r="L87" s="33" t="str">
        <f t="shared" ca="1" si="36"/>
        <v xml:space="preserve"> | </v>
      </c>
      <c r="M87" s="33" t="str">
        <f t="shared" ca="1" si="37"/>
        <v xml:space="preserve"> | </v>
      </c>
      <c r="N87" s="33" t="str">
        <f t="shared" ca="1" si="38"/>
        <v xml:space="preserve"> | </v>
      </c>
      <c r="O87" s="84" t="str">
        <f t="shared" ca="1" si="39"/>
        <v>CM: Increase Dodge when the Shields are deleted OA: Increase Critical Damage with Kinetic Weapons</v>
      </c>
      <c r="Q87" s="34"/>
      <c r="R87" s="34"/>
      <c r="S87" s="34"/>
      <c r="T87" s="34"/>
      <c r="U87" s="34"/>
      <c r="V87" s="34"/>
      <c r="W87" s="34"/>
      <c r="X87" s="34"/>
    </row>
    <row r="88" spans="1:24" s="13" customFormat="1" ht="17.25" customHeight="1" x14ac:dyDescent="0.25">
      <c r="A88" s="34"/>
      <c r="B88" s="13" t="str">
        <f t="shared" si="30"/>
        <v>E</v>
      </c>
      <c r="C88" s="493" t="s">
        <v>66</v>
      </c>
      <c r="D88" s="44">
        <f t="shared" ca="1" si="27"/>
        <v>0</v>
      </c>
      <c r="E88" s="34">
        <f t="shared" ca="1" si="28"/>
        <v>0</v>
      </c>
      <c r="F88" s="35">
        <f t="shared" ca="1" si="31"/>
        <v>0</v>
      </c>
      <c r="G88" s="35">
        <f t="shared" ca="1" si="32"/>
        <v>0</v>
      </c>
      <c r="H88" s="35">
        <f t="shared" ca="1" si="33"/>
        <v>0</v>
      </c>
      <c r="I88" s="34" t="str">
        <f t="shared" si="34"/>
        <v>Khan's Crew</v>
      </c>
      <c r="J88" s="33" t="str">
        <f t="shared" ca="1" si="35"/>
        <v/>
      </c>
      <c r="K88" s="33" t="str">
        <f t="shared" ca="1" si="29"/>
        <v/>
      </c>
      <c r="L88" s="33" t="str">
        <f t="shared" ca="1" si="36"/>
        <v xml:space="preserve"> | </v>
      </c>
      <c r="M88" s="33" t="str">
        <f t="shared" ca="1" si="37"/>
        <v xml:space="preserve"> | </v>
      </c>
      <c r="N88" s="33" t="str">
        <f t="shared" ca="1" si="38"/>
        <v xml:space="preserve"> | </v>
      </c>
      <c r="O88" s="84" t="str">
        <f t="shared" ca="1" si="39"/>
        <v>CM: Chance to dramatically Decrease opponent's station and ship mitigation for 2 rounds OA: Increase Critical Chances every time the ship gets hit</v>
      </c>
      <c r="Q88" s="34"/>
      <c r="R88" s="34"/>
      <c r="S88" s="34"/>
      <c r="T88" s="34"/>
      <c r="U88" s="34"/>
      <c r="V88" s="34"/>
      <c r="W88" s="34"/>
      <c r="X88" s="34"/>
    </row>
    <row r="89" spans="1:24" s="13" customFormat="1" ht="17.25" customHeight="1" x14ac:dyDescent="0.25">
      <c r="A89" s="34"/>
      <c r="B89" s="13" t="str">
        <f t="shared" si="30"/>
        <v>E</v>
      </c>
      <c r="C89" s="493" t="s">
        <v>68</v>
      </c>
      <c r="D89" s="44">
        <f t="shared" ca="1" si="27"/>
        <v>0</v>
      </c>
      <c r="E89" s="34">
        <f t="shared" ca="1" si="28"/>
        <v>0</v>
      </c>
      <c r="F89" s="35">
        <f t="shared" ca="1" si="31"/>
        <v>0</v>
      </c>
      <c r="G89" s="35">
        <f t="shared" ca="1" si="32"/>
        <v>0</v>
      </c>
      <c r="H89" s="35">
        <f t="shared" ca="1" si="33"/>
        <v>0</v>
      </c>
      <c r="I89" s="34" t="str">
        <f t="shared" si="34"/>
        <v>Enterprise Crew</v>
      </c>
      <c r="J89" s="33" t="str">
        <f t="shared" ca="1" si="35"/>
        <v/>
      </c>
      <c r="K89" s="33" t="str">
        <f t="shared" ca="1" si="29"/>
        <v/>
      </c>
      <c r="L89" s="33" t="str">
        <f t="shared" ca="1" si="36"/>
        <v xml:space="preserve"> | </v>
      </c>
      <c r="M89" s="33" t="str">
        <f t="shared" ca="1" si="37"/>
        <v xml:space="preserve"> | </v>
      </c>
      <c r="N89" s="33" t="str">
        <f t="shared" ca="1" si="38"/>
        <v>Y | Y</v>
      </c>
      <c r="O89" s="84" t="str">
        <f t="shared" ca="1" si="39"/>
        <v>CM: Increase all officer stats when the ship has Morale OA: Chance to inspire Morale to his ship for 2 rounds</v>
      </c>
      <c r="Q89" s="34"/>
      <c r="R89" s="34"/>
      <c r="S89" s="34"/>
      <c r="T89" s="34"/>
      <c r="U89" s="34"/>
      <c r="V89" s="34"/>
      <c r="W89" s="34"/>
      <c r="X89" s="34"/>
    </row>
    <row r="90" spans="1:24" s="13" customFormat="1" ht="17.25" customHeight="1" x14ac:dyDescent="0.25">
      <c r="A90" s="34"/>
      <c r="B90" s="13" t="str">
        <f t="shared" si="30"/>
        <v>U</v>
      </c>
      <c r="C90" s="493" t="s">
        <v>35</v>
      </c>
      <c r="D90" s="44">
        <f t="shared" ca="1" si="27"/>
        <v>0</v>
      </c>
      <c r="E90" s="34">
        <f t="shared" ca="1" si="28"/>
        <v>0</v>
      </c>
      <c r="F90" s="35">
        <f t="shared" ca="1" si="31"/>
        <v>0</v>
      </c>
      <c r="G90" s="35">
        <f t="shared" ca="1" si="32"/>
        <v>0</v>
      </c>
      <c r="H90" s="35">
        <f t="shared" ca="1" si="33"/>
        <v>0</v>
      </c>
      <c r="I90" s="34" t="str">
        <f t="shared" si="34"/>
        <v>Glory in the Kill</v>
      </c>
      <c r="J90" s="33" t="str">
        <f t="shared" ca="1" si="35"/>
        <v/>
      </c>
      <c r="K90" s="33" t="str">
        <f t="shared" ca="1" si="29"/>
        <v/>
      </c>
      <c r="L90" s="33" t="str">
        <f t="shared" ca="1" si="36"/>
        <v xml:space="preserve"> | </v>
      </c>
      <c r="M90" s="33" t="str">
        <f t="shared" ca="1" si="37"/>
        <v xml:space="preserve"> | </v>
      </c>
      <c r="N90" s="33" t="str">
        <f t="shared" ca="1" si="38"/>
        <v xml:space="preserve"> | </v>
      </c>
      <c r="O90" s="84" t="str">
        <f t="shared" ca="1" si="39"/>
        <v>CM: Increase Impulse Speed OA: Increase Critical Hit Damage</v>
      </c>
      <c r="Q90" s="34"/>
      <c r="R90" s="34"/>
      <c r="S90" s="34"/>
      <c r="T90" s="34"/>
      <c r="U90" s="34"/>
      <c r="V90" s="34"/>
      <c r="W90" s="34"/>
      <c r="X90" s="34"/>
    </row>
    <row r="91" spans="1:24" s="13" customFormat="1" ht="17.25" customHeight="1" x14ac:dyDescent="0.25">
      <c r="A91" s="34"/>
      <c r="B91" s="13" t="str">
        <f t="shared" si="30"/>
        <v>C</v>
      </c>
      <c r="C91" s="493" t="s">
        <v>11</v>
      </c>
      <c r="D91" s="44">
        <f t="shared" ca="1" si="27"/>
        <v>0</v>
      </c>
      <c r="E91" s="34">
        <f t="shared" ca="1" si="28"/>
        <v>0</v>
      </c>
      <c r="F91" s="35">
        <f t="shared" ca="1" si="31"/>
        <v>0</v>
      </c>
      <c r="G91" s="35">
        <f t="shared" ca="1" si="32"/>
        <v>0</v>
      </c>
      <c r="H91" s="35">
        <f t="shared" ca="1" si="33"/>
        <v>0</v>
      </c>
      <c r="I91" s="34" t="str">
        <f t="shared" si="34"/>
        <v>Glory in the Kill</v>
      </c>
      <c r="J91" s="33" t="str">
        <f t="shared" ca="1" si="35"/>
        <v/>
      </c>
      <c r="K91" s="33" t="str">
        <f t="shared" ca="1" si="29"/>
        <v/>
      </c>
      <c r="L91" s="33" t="str">
        <f t="shared" ca="1" si="36"/>
        <v xml:space="preserve"> | </v>
      </c>
      <c r="M91" s="33" t="str">
        <f t="shared" ca="1" si="37"/>
        <v xml:space="preserve"> | </v>
      </c>
      <c r="N91" s="33" t="str">
        <f t="shared" ca="1" si="38"/>
        <v xml:space="preserve"> | </v>
      </c>
      <c r="O91" s="84" t="str">
        <f t="shared" ca="1" si="39"/>
        <v>CM: Increase Weapon Damage  of Battleships against players OA: Decrease Kinetic Weapon Damage from enemy players</v>
      </c>
      <c r="Q91" s="34"/>
      <c r="R91" s="34"/>
      <c r="S91" s="34"/>
      <c r="T91" s="34"/>
      <c r="U91" s="34"/>
      <c r="V91" s="34"/>
      <c r="W91" s="34"/>
      <c r="X91" s="34"/>
    </row>
    <row r="92" spans="1:24" s="13" customFormat="1" ht="17.25" customHeight="1" x14ac:dyDescent="0.25">
      <c r="A92" s="34"/>
      <c r="B92" s="13" t="str">
        <f t="shared" si="30"/>
        <v>U</v>
      </c>
      <c r="C92" s="493" t="s">
        <v>36</v>
      </c>
      <c r="D92" s="44">
        <f t="shared" ca="1" si="27"/>
        <v>0</v>
      </c>
      <c r="E92" s="34">
        <f t="shared" ca="1" si="28"/>
        <v>0</v>
      </c>
      <c r="F92" s="35">
        <f t="shared" ca="1" si="31"/>
        <v>0</v>
      </c>
      <c r="G92" s="35">
        <f t="shared" ca="1" si="32"/>
        <v>0</v>
      </c>
      <c r="H92" s="35">
        <f t="shared" ca="1" si="33"/>
        <v>0</v>
      </c>
      <c r="I92" s="34" t="str">
        <f t="shared" si="34"/>
        <v>Klingon Patriots</v>
      </c>
      <c r="J92" s="33" t="str">
        <f t="shared" ca="1" si="35"/>
        <v/>
      </c>
      <c r="K92" s="33" t="str">
        <f t="shared" ca="1" si="29"/>
        <v/>
      </c>
      <c r="L92" s="33" t="str">
        <f t="shared" ca="1" si="36"/>
        <v xml:space="preserve"> | </v>
      </c>
      <c r="M92" s="33" t="str">
        <f t="shared" ca="1" si="37"/>
        <v xml:space="preserve"> | Y</v>
      </c>
      <c r="N92" s="33" t="str">
        <f t="shared" ca="1" si="38"/>
        <v xml:space="preserve"> | </v>
      </c>
      <c r="O92" s="84" t="str">
        <f t="shared" ca="1" si="39"/>
        <v>CM: Increase Repair speed on this ship if it is an Interceptor OA: Increase Kinetic damage while opponent has Hull Breach</v>
      </c>
      <c r="Q92" s="34"/>
      <c r="R92" s="34"/>
      <c r="S92" s="34"/>
      <c r="T92" s="34"/>
      <c r="U92" s="34"/>
      <c r="V92" s="34"/>
      <c r="W92" s="34"/>
      <c r="X92" s="34"/>
    </row>
    <row r="93" spans="1:24" s="13" customFormat="1" ht="17.25" customHeight="1" x14ac:dyDescent="0.25">
      <c r="A93" s="34"/>
      <c r="B93" s="13" t="str">
        <f t="shared" si="30"/>
        <v>E</v>
      </c>
      <c r="C93" s="493" t="s">
        <v>69</v>
      </c>
      <c r="D93" s="44">
        <f t="shared" ca="1" si="27"/>
        <v>0</v>
      </c>
      <c r="E93" s="34">
        <f t="shared" ca="1" si="28"/>
        <v>0</v>
      </c>
      <c r="F93" s="35">
        <f t="shared" ca="1" si="31"/>
        <v>0</v>
      </c>
      <c r="G93" s="35">
        <f t="shared" ca="1" si="32"/>
        <v>0</v>
      </c>
      <c r="H93" s="35">
        <f t="shared" ca="1" si="33"/>
        <v>0</v>
      </c>
      <c r="I93" s="34" t="str">
        <f t="shared" si="34"/>
        <v>Glory in the Kill</v>
      </c>
      <c r="J93" s="33" t="str">
        <f t="shared" ca="1" si="35"/>
        <v/>
      </c>
      <c r="K93" s="33" t="str">
        <f t="shared" ca="1" si="29"/>
        <v/>
      </c>
      <c r="L93" s="33" t="str">
        <f t="shared" ca="1" si="36"/>
        <v xml:space="preserve"> | </v>
      </c>
      <c r="M93" s="33" t="str">
        <f t="shared" ca="1" si="37"/>
        <v xml:space="preserve"> | </v>
      </c>
      <c r="N93" s="33" t="str">
        <f t="shared" ca="1" si="38"/>
        <v xml:space="preserve"> | </v>
      </c>
      <c r="O93" s="84" t="str">
        <f t="shared" ca="1" si="39"/>
        <v>CM: Decrease opponents Captain's Maneuver effectiveness OA: Decrease all the stats of the opponents Bridge Officers</v>
      </c>
      <c r="Q93" s="34"/>
      <c r="R93" s="34"/>
      <c r="S93" s="34"/>
      <c r="T93" s="34"/>
      <c r="U93" s="34"/>
      <c r="V93" s="34"/>
      <c r="W93" s="34"/>
      <c r="X93" s="34"/>
    </row>
    <row r="94" spans="1:24" s="13" customFormat="1" ht="17.25" customHeight="1" x14ac:dyDescent="0.25">
      <c r="A94" s="34"/>
      <c r="B94" s="13" t="str">
        <f t="shared" si="30"/>
        <v>R</v>
      </c>
      <c r="C94" s="493" t="s">
        <v>60</v>
      </c>
      <c r="D94" s="44">
        <f t="shared" ca="1" si="27"/>
        <v>0</v>
      </c>
      <c r="E94" s="34">
        <f t="shared" ca="1" si="28"/>
        <v>0</v>
      </c>
      <c r="F94" s="35">
        <f t="shared" ca="1" si="31"/>
        <v>0</v>
      </c>
      <c r="G94" s="35">
        <f t="shared" ca="1" si="32"/>
        <v>0</v>
      </c>
      <c r="H94" s="35">
        <f t="shared" ca="1" si="33"/>
        <v>0</v>
      </c>
      <c r="I94" s="34" t="str">
        <f t="shared" si="34"/>
        <v>Blood &amp; Honor</v>
      </c>
      <c r="J94" s="33" t="str">
        <f t="shared" ca="1" si="35"/>
        <v/>
      </c>
      <c r="K94" s="33" t="str">
        <f t="shared" ca="1" si="29"/>
        <v/>
      </c>
      <c r="L94" s="33" t="str">
        <f t="shared" ca="1" si="36"/>
        <v xml:space="preserve"> | </v>
      </c>
      <c r="M94" s="33" t="str">
        <f t="shared" ca="1" si="37"/>
        <v xml:space="preserve"> | </v>
      </c>
      <c r="N94" s="33" t="str">
        <f t="shared" ca="1" si="38"/>
        <v xml:space="preserve"> | </v>
      </c>
      <c r="O94" s="84" t="str">
        <f t="shared" ca="1" si="39"/>
        <v>CM: Chance to causing Hull Breach for 1 round when receiving Shield Damage OA: Increase Damage to Federation ships by % of crew's Defence</v>
      </c>
      <c r="Q94" s="34"/>
      <c r="R94" s="34"/>
      <c r="S94" s="34"/>
      <c r="T94" s="34"/>
      <c r="U94" s="34"/>
      <c r="V94" s="34"/>
      <c r="W94" s="34"/>
      <c r="X94" s="34"/>
    </row>
    <row r="95" spans="1:24" s="13" customFormat="1" ht="17.25" customHeight="1" x14ac:dyDescent="0.25">
      <c r="A95" s="34"/>
      <c r="B95" s="13" t="str">
        <f t="shared" si="30"/>
        <v>R</v>
      </c>
      <c r="C95" s="493" t="s">
        <v>61</v>
      </c>
      <c r="D95" s="44">
        <f t="shared" ref="D95:D121" ca="1" si="40">IFERROR(INDEX(ImportLevel,MATCH(C95,ImportOfficerList,0)),0)</f>
        <v>0</v>
      </c>
      <c r="E95" s="34">
        <f t="shared" ref="E95:E121" ca="1" si="41">IFERROR(INDEX(ImportRank,MATCH(C95,ImportOfficerList,0)),0)</f>
        <v>0</v>
      </c>
      <c r="F95" s="35">
        <f t="shared" ca="1" si="31"/>
        <v>0</v>
      </c>
      <c r="G95" s="35">
        <f t="shared" ca="1" si="32"/>
        <v>0</v>
      </c>
      <c r="H95" s="35">
        <f t="shared" ca="1" si="33"/>
        <v>0</v>
      </c>
      <c r="I95" s="34" t="str">
        <f t="shared" si="34"/>
        <v>Nero's Crew</v>
      </c>
      <c r="J95" s="33" t="str">
        <f t="shared" ca="1" si="35"/>
        <v/>
      </c>
      <c r="K95" s="33" t="str">
        <f t="shared" ca="1" si="29"/>
        <v/>
      </c>
      <c r="L95" s="33" t="str">
        <f t="shared" ca="1" si="36"/>
        <v xml:space="preserve"> | Y</v>
      </c>
      <c r="M95" s="33" t="str">
        <f t="shared" ca="1" si="37"/>
        <v xml:space="preserve"> | </v>
      </c>
      <c r="N95" s="33" t="str">
        <f t="shared" ca="1" si="38"/>
        <v xml:space="preserve"> | </v>
      </c>
      <c r="O95" s="84" t="str">
        <f t="shared" ca="1" si="39"/>
        <v>CM: Increase Officer Stats each round OA: Increase mitigation when opponent is burning</v>
      </c>
      <c r="Q95" s="34"/>
      <c r="R95" s="34"/>
      <c r="S95" s="34"/>
      <c r="T95" s="34"/>
      <c r="U95" s="34"/>
      <c r="V95" s="34"/>
      <c r="W95" s="34"/>
      <c r="X95" s="34"/>
    </row>
    <row r="96" spans="1:24" s="13" customFormat="1" ht="17.25" customHeight="1" x14ac:dyDescent="0.25">
      <c r="A96" s="34"/>
      <c r="B96" s="13" t="str">
        <f t="shared" si="30"/>
        <v>R</v>
      </c>
      <c r="C96" s="493" t="s">
        <v>100</v>
      </c>
      <c r="D96" s="44">
        <f t="shared" ca="1" si="40"/>
        <v>0</v>
      </c>
      <c r="E96" s="34">
        <f t="shared" ca="1" si="41"/>
        <v>0</v>
      </c>
      <c r="F96" s="35">
        <f t="shared" ca="1" si="31"/>
        <v>0</v>
      </c>
      <c r="G96" s="35">
        <f t="shared" ca="1" si="32"/>
        <v>0</v>
      </c>
      <c r="H96" s="35">
        <f t="shared" ca="1" si="33"/>
        <v>0</v>
      </c>
      <c r="I96" s="34" t="str">
        <f t="shared" si="34"/>
        <v>Blood &amp; Honor</v>
      </c>
      <c r="J96" s="33" t="str">
        <f t="shared" ca="1" si="35"/>
        <v/>
      </c>
      <c r="K96" s="33" t="str">
        <f t="shared" ca="1" si="29"/>
        <v/>
      </c>
      <c r="L96" s="33" t="str">
        <f t="shared" ca="1" si="36"/>
        <v xml:space="preserve"> | </v>
      </c>
      <c r="M96" s="33" t="str">
        <f t="shared" ca="1" si="37"/>
        <v xml:space="preserve"> | </v>
      </c>
      <c r="N96" s="33" t="str">
        <f t="shared" ca="1" si="38"/>
        <v xml:space="preserve"> | </v>
      </c>
      <c r="O96" s="84" t="str">
        <f t="shared" ca="1" si="39"/>
        <v>CM: Chance to automatically recharge first kinetic hit OA: Increase Impulse speed after destroying a ship</v>
      </c>
      <c r="Q96" s="34"/>
      <c r="R96" s="34"/>
      <c r="S96" s="34"/>
      <c r="T96" s="34"/>
      <c r="U96" s="34"/>
      <c r="V96" s="34"/>
      <c r="W96" s="34"/>
      <c r="X96" s="34"/>
    </row>
    <row r="97" spans="1:24" s="13" customFormat="1" ht="17.25" customHeight="1" x14ac:dyDescent="0.25">
      <c r="A97" s="34"/>
      <c r="B97" s="13" t="str">
        <f t="shared" si="30"/>
        <v>U</v>
      </c>
      <c r="C97" s="493" t="s">
        <v>94</v>
      </c>
      <c r="D97" s="44">
        <f t="shared" ca="1" si="40"/>
        <v>0</v>
      </c>
      <c r="E97" s="34">
        <f t="shared" ca="1" si="41"/>
        <v>0</v>
      </c>
      <c r="F97" s="35">
        <f t="shared" ca="1" si="31"/>
        <v>0</v>
      </c>
      <c r="G97" s="35">
        <f t="shared" ca="1" si="32"/>
        <v>0</v>
      </c>
      <c r="H97" s="35">
        <f t="shared" ca="1" si="33"/>
        <v>0</v>
      </c>
      <c r="I97" s="34" t="str">
        <f t="shared" si="34"/>
        <v>Shakedown Cruise</v>
      </c>
      <c r="J97" s="33" t="str">
        <f t="shared" ca="1" si="35"/>
        <v/>
      </c>
      <c r="K97" s="33" t="str">
        <f t="shared" ca="1" si="29"/>
        <v/>
      </c>
      <c r="L97" s="33" t="str">
        <f t="shared" ca="1" si="36"/>
        <v xml:space="preserve"> | </v>
      </c>
      <c r="M97" s="33" t="str">
        <f t="shared" ca="1" si="37"/>
        <v xml:space="preserve"> | </v>
      </c>
      <c r="N97" s="33" t="str">
        <f t="shared" ca="1" si="38"/>
        <v xml:space="preserve"> | </v>
      </c>
      <c r="O97" s="84" t="str">
        <f t="shared" ca="1" si="39"/>
        <v>CM: Restore Hull Health when under 35% of starting value OA: Increase Ship XP on Battleships</v>
      </c>
      <c r="Q97" s="34"/>
      <c r="R97" s="34"/>
      <c r="S97" s="34"/>
      <c r="T97" s="34"/>
      <c r="U97" s="34"/>
      <c r="V97" s="34"/>
      <c r="W97" s="34"/>
      <c r="X97" s="34"/>
    </row>
    <row r="98" spans="1:24" s="13" customFormat="1" ht="17.25" customHeight="1" x14ac:dyDescent="0.25">
      <c r="A98" s="34"/>
      <c r="B98" s="13" t="str">
        <f t="shared" si="30"/>
        <v>U</v>
      </c>
      <c r="C98" s="493" t="s">
        <v>86</v>
      </c>
      <c r="D98" s="44">
        <f t="shared" ca="1" si="40"/>
        <v>0</v>
      </c>
      <c r="E98" s="34">
        <f t="shared" ca="1" si="41"/>
        <v>0</v>
      </c>
      <c r="F98" s="35">
        <f t="shared" ca="1" si="31"/>
        <v>0</v>
      </c>
      <c r="G98" s="35">
        <f t="shared" ca="1" si="32"/>
        <v>0</v>
      </c>
      <c r="H98" s="35">
        <f t="shared" ca="1" si="33"/>
        <v>0</v>
      </c>
      <c r="I98" s="34" t="str">
        <f t="shared" si="34"/>
        <v>Blood &amp; Honor</v>
      </c>
      <c r="J98" s="33" t="str">
        <f t="shared" ca="1" si="35"/>
        <v/>
      </c>
      <c r="K98" s="33" t="str">
        <f t="shared" ca="1" si="29"/>
        <v/>
      </c>
      <c r="L98" s="33" t="str">
        <f t="shared" ca="1" si="36"/>
        <v xml:space="preserve"> | </v>
      </c>
      <c r="M98" s="33" t="str">
        <f t="shared" ca="1" si="37"/>
        <v xml:space="preserve"> | </v>
      </c>
      <c r="N98" s="33" t="str">
        <f t="shared" ca="1" si="38"/>
        <v xml:space="preserve"> | </v>
      </c>
      <c r="O98" s="84" t="str">
        <f t="shared" ca="1" si="39"/>
        <v>CM: Increase Officers Defence for 1 min after winning OA: Increase Armor by % of total Attack at the start of combat</v>
      </c>
      <c r="Q98" s="34"/>
      <c r="R98" s="34"/>
      <c r="S98" s="34"/>
      <c r="T98" s="34"/>
      <c r="U98" s="34"/>
      <c r="V98" s="34"/>
      <c r="W98" s="34"/>
      <c r="X98" s="34"/>
    </row>
    <row r="99" spans="1:24" s="13" customFormat="1" ht="17.25" customHeight="1" x14ac:dyDescent="0.25">
      <c r="A99" s="34"/>
      <c r="B99" s="13" t="str">
        <f t="shared" si="30"/>
        <v>R</v>
      </c>
      <c r="C99" s="493" t="s">
        <v>58</v>
      </c>
      <c r="D99" s="44">
        <f t="shared" ca="1" si="40"/>
        <v>0</v>
      </c>
      <c r="E99" s="34">
        <f t="shared" ca="1" si="41"/>
        <v>0</v>
      </c>
      <c r="F99" s="35">
        <f t="shared" ca="1" si="31"/>
        <v>0</v>
      </c>
      <c r="G99" s="35">
        <f t="shared" ca="1" si="32"/>
        <v>0</v>
      </c>
      <c r="H99" s="35">
        <f t="shared" ca="1" si="33"/>
        <v>0</v>
      </c>
      <c r="I99" s="34" t="str">
        <f t="shared" si="34"/>
        <v>Nero's Crew</v>
      </c>
      <c r="J99" s="33" t="str">
        <f t="shared" ca="1" si="35"/>
        <v/>
      </c>
      <c r="K99" s="33" t="str">
        <f t="shared" ca="1" si="29"/>
        <v/>
      </c>
      <c r="L99" s="33" t="str">
        <f t="shared" ca="1" si="36"/>
        <v xml:space="preserve"> | </v>
      </c>
      <c r="M99" s="33" t="str">
        <f t="shared" ca="1" si="37"/>
        <v xml:space="preserve"> | </v>
      </c>
      <c r="N99" s="33" t="str">
        <f t="shared" ca="1" si="38"/>
        <v xml:space="preserve"> | </v>
      </c>
      <c r="O99" s="84" t="str">
        <f t="shared" ca="1" si="39"/>
        <v>CM: Increase repair speed on this ship if it is a Battleship OA: Increase ship's max Hull Health if it is a Battleship</v>
      </c>
      <c r="Q99" s="34"/>
      <c r="R99" s="34"/>
      <c r="S99" s="34"/>
      <c r="T99" s="34"/>
      <c r="U99" s="34"/>
      <c r="V99" s="34"/>
      <c r="W99" s="34"/>
      <c r="X99" s="34"/>
    </row>
    <row r="100" spans="1:24" s="13" customFormat="1" ht="17.25" customHeight="1" x14ac:dyDescent="0.25">
      <c r="A100" s="34"/>
      <c r="B100" s="13" t="str">
        <f t="shared" si="30"/>
        <v>U</v>
      </c>
      <c r="C100" s="493" t="s">
        <v>37</v>
      </c>
      <c r="D100" s="44">
        <f t="shared" ca="1" si="40"/>
        <v>0</v>
      </c>
      <c r="E100" s="34">
        <f t="shared" ca="1" si="41"/>
        <v>0</v>
      </c>
      <c r="F100" s="35">
        <f t="shared" ca="1" si="31"/>
        <v>0</v>
      </c>
      <c r="G100" s="35">
        <f t="shared" ca="1" si="32"/>
        <v>0</v>
      </c>
      <c r="H100" s="35">
        <f t="shared" ca="1" si="33"/>
        <v>0</v>
      </c>
      <c r="I100" s="34" t="str">
        <f t="shared" si="34"/>
        <v>Romulan Patriots</v>
      </c>
      <c r="J100" s="33" t="str">
        <f t="shared" ca="1" si="35"/>
        <v/>
      </c>
      <c r="K100" s="33" t="str">
        <f t="shared" ca="1" si="29"/>
        <v/>
      </c>
      <c r="L100" s="33" t="str">
        <f t="shared" ca="1" si="36"/>
        <v xml:space="preserve"> | </v>
      </c>
      <c r="M100" s="33" t="str">
        <f t="shared" ca="1" si="37"/>
        <v xml:space="preserve"> | </v>
      </c>
      <c r="N100" s="33" t="str">
        <f t="shared" ca="1" si="38"/>
        <v xml:space="preserve"> | </v>
      </c>
      <c r="O100" s="84" t="str">
        <f t="shared" ca="1" si="39"/>
        <v>CM: Increase Health of Bridge Officers OA: Increase Damage Against Klingon ships by % of crew's Attack</v>
      </c>
      <c r="Q100" s="34"/>
      <c r="R100" s="34"/>
      <c r="S100" s="34"/>
      <c r="T100" s="34"/>
      <c r="U100" s="34"/>
      <c r="V100" s="34"/>
      <c r="W100" s="34"/>
      <c r="X100" s="34"/>
    </row>
    <row r="101" spans="1:24" s="13" customFormat="1" ht="17.25" customHeight="1" x14ac:dyDescent="0.25">
      <c r="A101" s="34"/>
      <c r="B101" s="13" t="str">
        <f t="shared" si="30"/>
        <v>E</v>
      </c>
      <c r="C101" s="493" t="s">
        <v>103</v>
      </c>
      <c r="D101" s="44">
        <f t="shared" ca="1" si="40"/>
        <v>0</v>
      </c>
      <c r="E101" s="34">
        <f t="shared" ca="1" si="41"/>
        <v>0</v>
      </c>
      <c r="F101" s="35">
        <f t="shared" ca="1" si="31"/>
        <v>0</v>
      </c>
      <c r="G101" s="35">
        <f t="shared" ca="1" si="32"/>
        <v>0</v>
      </c>
      <c r="H101" s="35">
        <f t="shared" ca="1" si="33"/>
        <v>0</v>
      </c>
      <c r="I101" s="34" t="str">
        <f t="shared" si="34"/>
        <v>Terran Empire</v>
      </c>
      <c r="J101" s="33" t="str">
        <f t="shared" ca="1" si="35"/>
        <v/>
      </c>
      <c r="K101" s="33" t="str">
        <f t="shared" ca="1" si="29"/>
        <v/>
      </c>
      <c r="L101" s="33" t="str">
        <f t="shared" ca="1" si="36"/>
        <v xml:space="preserve"> | </v>
      </c>
      <c r="M101" s="33" t="str">
        <f t="shared" ca="1" si="37"/>
        <v>Y | Y</v>
      </c>
      <c r="N101" s="33" t="str">
        <f t="shared" ca="1" si="38"/>
        <v xml:space="preserve"> | </v>
      </c>
      <c r="O101" s="84" t="str">
        <f t="shared" ca="1" si="39"/>
        <v>CM: Decrease opponents damge if they have Hull Breach OA: Chance to inflict Hull Breach</v>
      </c>
      <c r="Q101" s="34"/>
      <c r="R101" s="34"/>
      <c r="S101" s="34"/>
      <c r="T101" s="34"/>
      <c r="U101" s="34"/>
      <c r="V101" s="34"/>
      <c r="W101" s="34"/>
      <c r="X101" s="34"/>
    </row>
    <row r="102" spans="1:24" s="13" customFormat="1" ht="17.25" customHeight="1" x14ac:dyDescent="0.25">
      <c r="A102" s="34"/>
      <c r="B102" s="13" t="str">
        <f t="shared" si="30"/>
        <v>U</v>
      </c>
      <c r="C102" s="493" t="s">
        <v>1934</v>
      </c>
      <c r="D102" s="44">
        <f t="shared" ca="1" si="40"/>
        <v>0</v>
      </c>
      <c r="E102" s="34">
        <f t="shared" ca="1" si="41"/>
        <v>0</v>
      </c>
      <c r="F102" s="35">
        <f t="shared" ca="1" si="31"/>
        <v>0</v>
      </c>
      <c r="G102" s="35">
        <f t="shared" ca="1" si="32"/>
        <v>0</v>
      </c>
      <c r="H102" s="35">
        <f t="shared" ca="1" si="33"/>
        <v>0</v>
      </c>
      <c r="I102" s="34" t="str">
        <f t="shared" si="34"/>
        <v>Pride Of Romulus</v>
      </c>
      <c r="J102" s="33" t="str">
        <f t="shared" ca="1" si="35"/>
        <v/>
      </c>
      <c r="K102" s="33" t="str">
        <f t="shared" ca="1" si="29"/>
        <v/>
      </c>
      <c r="L102" s="33" t="str">
        <f t="shared" ca="1" si="36"/>
        <v xml:space="preserve"> | </v>
      </c>
      <c r="M102" s="33" t="str">
        <f t="shared" ca="1" si="37"/>
        <v xml:space="preserve"> | </v>
      </c>
      <c r="N102" s="33" t="str">
        <f t="shared" ca="1" si="38"/>
        <v xml:space="preserve"> | </v>
      </c>
      <c r="O102" s="84" t="str">
        <f t="shared" ca="1" si="39"/>
        <v>CM: When on a ship that can use cloaking, Lursa decreases the cloaking cooldown OA: When attacking other players, Lursa decreases the opponent's Weapon Damage</v>
      </c>
      <c r="Q102" s="34"/>
      <c r="R102" s="34"/>
      <c r="S102" s="34"/>
      <c r="T102" s="34"/>
      <c r="U102" s="34"/>
      <c r="V102" s="34"/>
      <c r="W102" s="34"/>
      <c r="X102" s="34"/>
    </row>
    <row r="103" spans="1:24" s="13" customFormat="1" ht="17.25" customHeight="1" x14ac:dyDescent="0.25">
      <c r="A103" s="34"/>
      <c r="B103" s="13" t="str">
        <f t="shared" si="30"/>
        <v>U</v>
      </c>
      <c r="C103" s="493" t="s">
        <v>251</v>
      </c>
      <c r="D103" s="44">
        <f t="shared" ca="1" si="40"/>
        <v>0</v>
      </c>
      <c r="E103" s="34">
        <f t="shared" ca="1" si="41"/>
        <v>0</v>
      </c>
      <c r="F103" s="35">
        <f t="shared" ca="1" si="31"/>
        <v>0</v>
      </c>
      <c r="G103" s="35">
        <f t="shared" ca="1" si="32"/>
        <v>0</v>
      </c>
      <c r="H103" s="35">
        <f t="shared" ca="1" si="33"/>
        <v>0</v>
      </c>
      <c r="I103" s="34" t="str">
        <f t="shared" si="34"/>
        <v>Surveyors &amp; Miners</v>
      </c>
      <c r="J103" s="33" t="str">
        <f t="shared" ca="1" si="35"/>
        <v/>
      </c>
      <c r="K103" s="33" t="str">
        <f t="shared" ca="1" si="29"/>
        <v/>
      </c>
      <c r="L103" s="33" t="str">
        <f t="shared" ca="1" si="36"/>
        <v xml:space="preserve"> | </v>
      </c>
      <c r="M103" s="33" t="str">
        <f t="shared" ca="1" si="37"/>
        <v xml:space="preserve"> | </v>
      </c>
      <c r="N103" s="33" t="str">
        <f t="shared" ca="1" si="38"/>
        <v xml:space="preserve"> | </v>
      </c>
      <c r="O103" s="84" t="str">
        <f t="shared" ca="1" si="39"/>
        <v>CM: Increase Mining Speed (All) OA: Increase Mining Speed (Isogen)</v>
      </c>
      <c r="Q103" s="34"/>
      <c r="R103" s="34"/>
      <c r="S103" s="34"/>
      <c r="T103" s="34"/>
      <c r="U103" s="34"/>
      <c r="V103" s="34"/>
      <c r="W103" s="34"/>
      <c r="X103" s="34"/>
    </row>
    <row r="104" spans="1:24" s="13" customFormat="1" ht="17.25" customHeight="1" x14ac:dyDescent="0.25">
      <c r="A104" s="34"/>
      <c r="B104" s="13" t="str">
        <f t="shared" si="30"/>
        <v>R</v>
      </c>
      <c r="C104" s="493" t="s">
        <v>51</v>
      </c>
      <c r="D104" s="44">
        <f t="shared" ca="1" si="40"/>
        <v>0</v>
      </c>
      <c r="E104" s="34">
        <f t="shared" ca="1" si="41"/>
        <v>0</v>
      </c>
      <c r="F104" s="35">
        <f t="shared" ca="1" si="31"/>
        <v>0</v>
      </c>
      <c r="G104" s="35">
        <f t="shared" ca="1" si="32"/>
        <v>0</v>
      </c>
      <c r="H104" s="35">
        <f t="shared" ca="1" si="33"/>
        <v>0</v>
      </c>
      <c r="I104" s="34" t="str">
        <f t="shared" si="34"/>
        <v>Blood &amp; Honor</v>
      </c>
      <c r="J104" s="33" t="str">
        <f t="shared" ca="1" si="35"/>
        <v/>
      </c>
      <c r="K104" s="33" t="str">
        <f t="shared" ca="1" si="29"/>
        <v/>
      </c>
      <c r="L104" s="33" t="str">
        <f t="shared" ca="1" si="36"/>
        <v xml:space="preserve"> | </v>
      </c>
      <c r="M104" s="33" t="str">
        <f t="shared" ca="1" si="37"/>
        <v xml:space="preserve"> | Y</v>
      </c>
      <c r="N104" s="33" t="str">
        <f t="shared" ca="1" si="38"/>
        <v xml:space="preserve"> | </v>
      </c>
      <c r="O104" s="84" t="str">
        <f t="shared" ca="1" si="39"/>
        <v>CM: Increase Damage against Interceptors OA: Decrease opponent's dodge every round when it has Hull Breach</v>
      </c>
      <c r="Q104" s="34"/>
      <c r="R104" s="34"/>
      <c r="S104" s="34"/>
      <c r="T104" s="34"/>
      <c r="U104" s="34"/>
      <c r="V104" s="34"/>
      <c r="W104" s="34"/>
      <c r="X104" s="34"/>
    </row>
    <row r="105" spans="1:24" s="13" customFormat="1" ht="17.25" customHeight="1" x14ac:dyDescent="0.25">
      <c r="A105" s="34"/>
      <c r="B105" s="13" t="str">
        <f t="shared" si="30"/>
        <v>E</v>
      </c>
      <c r="C105" s="493" t="s">
        <v>83</v>
      </c>
      <c r="D105" s="44">
        <f t="shared" ca="1" si="40"/>
        <v>0</v>
      </c>
      <c r="E105" s="34">
        <f t="shared" ca="1" si="41"/>
        <v>0</v>
      </c>
      <c r="F105" s="35">
        <f t="shared" ca="1" si="31"/>
        <v>0</v>
      </c>
      <c r="G105" s="35">
        <f t="shared" ca="1" si="32"/>
        <v>0</v>
      </c>
      <c r="H105" s="35">
        <f t="shared" ca="1" si="33"/>
        <v>0</v>
      </c>
      <c r="I105" s="34" t="str">
        <f t="shared" si="34"/>
        <v>Section 31</v>
      </c>
      <c r="J105" s="33" t="str">
        <f t="shared" ca="1" si="35"/>
        <v/>
      </c>
      <c r="K105" s="33" t="str">
        <f t="shared" ca="1" si="29"/>
        <v/>
      </c>
      <c r="L105" s="33" t="str">
        <f t="shared" ca="1" si="36"/>
        <v xml:space="preserve"> | </v>
      </c>
      <c r="M105" s="33" t="str">
        <f t="shared" ca="1" si="37"/>
        <v xml:space="preserve"> | </v>
      </c>
      <c r="N105" s="33" t="str">
        <f t="shared" ca="1" si="38"/>
        <v xml:space="preserve">Y | </v>
      </c>
      <c r="O105" s="84" t="str">
        <f t="shared" ca="1" si="39"/>
        <v>CM: Chance to inspire morale when opponent's HHP is under 80% OA: Increase Shield piercing by crew's Defence</v>
      </c>
      <c r="Q105" s="34"/>
      <c r="R105" s="34"/>
      <c r="S105" s="34"/>
      <c r="T105" s="34"/>
      <c r="U105" s="34"/>
      <c r="V105" s="34"/>
      <c r="W105" s="34"/>
      <c r="X105" s="34"/>
    </row>
    <row r="106" spans="1:24" s="13" customFormat="1" ht="17.25" customHeight="1" x14ac:dyDescent="0.25">
      <c r="A106" s="34"/>
      <c r="B106" s="13" t="str">
        <f t="shared" si="30"/>
        <v>R</v>
      </c>
      <c r="C106" s="493" t="s">
        <v>62</v>
      </c>
      <c r="D106" s="44">
        <f t="shared" ca="1" si="40"/>
        <v>0</v>
      </c>
      <c r="E106" s="34">
        <f t="shared" ca="1" si="41"/>
        <v>0</v>
      </c>
      <c r="F106" s="35">
        <f t="shared" ca="1" si="31"/>
        <v>0</v>
      </c>
      <c r="G106" s="35">
        <f t="shared" ca="1" si="32"/>
        <v>0</v>
      </c>
      <c r="H106" s="35">
        <f t="shared" ca="1" si="33"/>
        <v>0</v>
      </c>
      <c r="I106" s="34" t="str">
        <f t="shared" si="34"/>
        <v>Khan's Crew</v>
      </c>
      <c r="J106" s="33" t="str">
        <f t="shared" ca="1" si="35"/>
        <v/>
      </c>
      <c r="K106" s="33" t="str">
        <f t="shared" ca="1" si="29"/>
        <v/>
      </c>
      <c r="L106" s="33" t="str">
        <f t="shared" ca="1" si="36"/>
        <v xml:space="preserve"> | </v>
      </c>
      <c r="M106" s="33" t="str">
        <f t="shared" ca="1" si="37"/>
        <v xml:space="preserve"> | </v>
      </c>
      <c r="N106" s="33" t="str">
        <f t="shared" ca="1" si="38"/>
        <v xml:space="preserve"> | </v>
      </c>
      <c r="O106" s="84" t="str">
        <f t="shared" ca="1" si="39"/>
        <v>CM: Increase Ships repair speed OA: Increase ships Captain's stats</v>
      </c>
      <c r="Q106" s="34"/>
      <c r="R106" s="34"/>
      <c r="S106" s="34"/>
      <c r="T106" s="34"/>
      <c r="U106" s="34"/>
      <c r="V106" s="34"/>
      <c r="W106" s="34"/>
      <c r="X106" s="34"/>
    </row>
    <row r="107" spans="1:24" s="13" customFormat="1" ht="17.25" customHeight="1" x14ac:dyDescent="0.25">
      <c r="A107" s="34"/>
      <c r="B107" s="13" t="str">
        <f t="shared" si="30"/>
        <v>R</v>
      </c>
      <c r="C107" s="493" t="s">
        <v>1849</v>
      </c>
      <c r="D107" s="44">
        <f t="shared" ca="1" si="40"/>
        <v>0</v>
      </c>
      <c r="E107" s="34">
        <f t="shared" ca="1" si="41"/>
        <v>0</v>
      </c>
      <c r="F107" s="35">
        <f t="shared" ca="1" si="31"/>
        <v>0</v>
      </c>
      <c r="G107" s="35">
        <f t="shared" ca="1" si="32"/>
        <v>0</v>
      </c>
      <c r="H107" s="35">
        <f t="shared" ca="1" si="33"/>
        <v>0</v>
      </c>
      <c r="I107" s="34" t="str">
        <f t="shared" si="34"/>
        <v>Khitomer's Revenge</v>
      </c>
      <c r="J107" s="33" t="str">
        <f t="shared" ca="1" si="35"/>
        <v/>
      </c>
      <c r="K107" s="33" t="str">
        <f t="shared" ca="1" si="29"/>
        <v/>
      </c>
      <c r="L107" s="33" t="str">
        <f t="shared" ca="1" si="36"/>
        <v xml:space="preserve"> | </v>
      </c>
      <c r="M107" s="33" t="str">
        <f t="shared" ca="1" si="37"/>
        <v xml:space="preserve"> | </v>
      </c>
      <c r="N107" s="33" t="str">
        <f t="shared" ca="1" si="38"/>
        <v xml:space="preserve"> | </v>
      </c>
      <c r="O107" s="84" t="str">
        <f t="shared" ca="1" si="39"/>
        <v>CM: Increase Kinetic Weapon Damage OA: Increase ship's Dodge by Defence of crew</v>
      </c>
      <c r="Q107" s="34"/>
      <c r="R107" s="34"/>
      <c r="S107" s="34"/>
      <c r="T107" s="34"/>
      <c r="U107" s="34"/>
      <c r="V107" s="34"/>
      <c r="W107" s="34"/>
      <c r="X107" s="34"/>
    </row>
    <row r="108" spans="1:24" s="13" customFormat="1" ht="17.25" customHeight="1" x14ac:dyDescent="0.25">
      <c r="A108" s="34"/>
      <c r="B108" s="13" t="str">
        <f t="shared" si="30"/>
        <v>C</v>
      </c>
      <c r="C108" s="493" t="s">
        <v>52</v>
      </c>
      <c r="D108" s="44">
        <f t="shared" ca="1" si="40"/>
        <v>0</v>
      </c>
      <c r="E108" s="34">
        <f t="shared" ca="1" si="41"/>
        <v>0</v>
      </c>
      <c r="F108" s="35">
        <f t="shared" ca="1" si="31"/>
        <v>0</v>
      </c>
      <c r="G108" s="35">
        <f t="shared" ca="1" si="32"/>
        <v>0</v>
      </c>
      <c r="H108" s="35">
        <f t="shared" ca="1" si="33"/>
        <v>0</v>
      </c>
      <c r="I108" s="34" t="str">
        <f t="shared" si="34"/>
        <v>Auxiliary Controls</v>
      </c>
      <c r="J108" s="33" t="str">
        <f t="shared" ca="1" si="35"/>
        <v/>
      </c>
      <c r="K108" s="33" t="str">
        <f t="shared" ca="1" si="29"/>
        <v/>
      </c>
      <c r="L108" s="33" t="str">
        <f t="shared" ca="1" si="36"/>
        <v xml:space="preserve"> | </v>
      </c>
      <c r="M108" s="33" t="str">
        <f t="shared" ca="1" si="37"/>
        <v xml:space="preserve"> | </v>
      </c>
      <c r="N108" s="33" t="str">
        <f t="shared" ca="1" si="38"/>
        <v xml:space="preserve"> | </v>
      </c>
      <c r="O108" s="84" t="str">
        <f t="shared" ca="1" si="39"/>
        <v>CM: Increase Armor Piercing, Shield Piercing and Accuracy when defending the Station OA: Increase Mitigation when defending the Station</v>
      </c>
      <c r="Q108" s="34"/>
      <c r="R108" s="34"/>
      <c r="S108" s="34"/>
      <c r="T108" s="34"/>
      <c r="U108" s="34"/>
      <c r="V108" s="34"/>
      <c r="W108" s="34"/>
      <c r="X108" s="34"/>
    </row>
    <row r="109" spans="1:24" s="13" customFormat="1" ht="17.25" customHeight="1" x14ac:dyDescent="0.25">
      <c r="A109" s="34"/>
      <c r="B109" s="13" t="str">
        <f t="shared" si="30"/>
        <v>E</v>
      </c>
      <c r="C109" s="493" t="s">
        <v>105</v>
      </c>
      <c r="D109" s="44">
        <f t="shared" ca="1" si="40"/>
        <v>0</v>
      </c>
      <c r="E109" s="34">
        <f t="shared" ca="1" si="41"/>
        <v>0</v>
      </c>
      <c r="F109" s="35">
        <f t="shared" ca="1" si="31"/>
        <v>0</v>
      </c>
      <c r="G109" s="35">
        <f t="shared" ca="1" si="32"/>
        <v>0</v>
      </c>
      <c r="H109" s="35">
        <f t="shared" ca="1" si="33"/>
        <v>0</v>
      </c>
      <c r="I109" s="34" t="str">
        <f t="shared" si="34"/>
        <v>Discovery Crew</v>
      </c>
      <c r="J109" s="33" t="str">
        <f t="shared" ca="1" si="35"/>
        <v/>
      </c>
      <c r="K109" s="33" t="str">
        <f t="shared" ca="1" si="29"/>
        <v/>
      </c>
      <c r="L109" s="33" t="str">
        <f t="shared" ca="1" si="36"/>
        <v xml:space="preserve"> | </v>
      </c>
      <c r="M109" s="33" t="str">
        <f t="shared" ca="1" si="37"/>
        <v xml:space="preserve"> | </v>
      </c>
      <c r="N109" s="33" t="str">
        <f t="shared" ca="1" si="38"/>
        <v xml:space="preserve"> | </v>
      </c>
      <c r="O109" s="84" t="str">
        <f t="shared" ca="1" si="39"/>
        <v xml:space="preserve">CM: Increase Impulse Speed OA: Decrease opponent's SHP by % Crew's Attack </v>
      </c>
      <c r="Q109" s="34"/>
      <c r="R109" s="34"/>
      <c r="S109" s="34"/>
      <c r="T109" s="34"/>
      <c r="U109" s="34"/>
      <c r="V109" s="34"/>
      <c r="W109" s="34"/>
      <c r="X109" s="34"/>
    </row>
    <row r="110" spans="1:24" s="13" customFormat="1" ht="17.25" customHeight="1" x14ac:dyDescent="0.25">
      <c r="A110" s="34"/>
      <c r="B110" s="13" t="str">
        <f t="shared" si="30"/>
        <v>R</v>
      </c>
      <c r="C110" s="493" t="s">
        <v>63</v>
      </c>
      <c r="D110" s="44">
        <f t="shared" ca="1" si="40"/>
        <v>0</v>
      </c>
      <c r="E110" s="34">
        <f t="shared" ca="1" si="41"/>
        <v>0</v>
      </c>
      <c r="F110" s="35">
        <f t="shared" ca="1" si="31"/>
        <v>0</v>
      </c>
      <c r="G110" s="35">
        <f t="shared" ca="1" si="32"/>
        <v>0</v>
      </c>
      <c r="H110" s="35">
        <f t="shared" ca="1" si="33"/>
        <v>0</v>
      </c>
      <c r="I110" s="34" t="str">
        <f t="shared" si="34"/>
        <v>Romulan Patriots</v>
      </c>
      <c r="J110" s="33" t="str">
        <f t="shared" ca="1" si="35"/>
        <v/>
      </c>
      <c r="K110" s="33" t="str">
        <f t="shared" ca="1" si="29"/>
        <v/>
      </c>
      <c r="L110" s="33" t="str">
        <f t="shared" ca="1" si="36"/>
        <v xml:space="preserve">Y | </v>
      </c>
      <c r="M110" s="33" t="str">
        <f t="shared" ca="1" si="37"/>
        <v xml:space="preserve"> | </v>
      </c>
      <c r="N110" s="33" t="str">
        <f t="shared" ca="1" si="38"/>
        <v xml:space="preserve"> | </v>
      </c>
      <c r="O110" s="84" t="str">
        <f t="shared" ca="1" si="39"/>
        <v>CM: Chance to cause burning for 1 round when ship is hit OA: Increase Damage against Federation by % of crew's Defence</v>
      </c>
      <c r="Q110" s="34"/>
      <c r="R110" s="34"/>
      <c r="S110" s="34"/>
      <c r="T110" s="34"/>
      <c r="U110" s="34"/>
      <c r="V110" s="34"/>
      <c r="W110" s="34"/>
      <c r="X110" s="34"/>
    </row>
    <row r="111" spans="1:24" s="13" customFormat="1" ht="17.25" customHeight="1" x14ac:dyDescent="0.25">
      <c r="A111" s="34"/>
      <c r="B111" s="13" t="str">
        <f t="shared" si="30"/>
        <v>E</v>
      </c>
      <c r="C111" s="493" t="s">
        <v>81</v>
      </c>
      <c r="D111" s="44">
        <f t="shared" ca="1" si="40"/>
        <v>0</v>
      </c>
      <c r="E111" s="34">
        <f t="shared" ca="1" si="41"/>
        <v>0</v>
      </c>
      <c r="F111" s="35">
        <f t="shared" ca="1" si="31"/>
        <v>0</v>
      </c>
      <c r="G111" s="35">
        <f t="shared" ca="1" si="32"/>
        <v>0</v>
      </c>
      <c r="H111" s="35">
        <f t="shared" ca="1" si="33"/>
        <v>0</v>
      </c>
      <c r="I111" s="34" t="str">
        <f t="shared" si="34"/>
        <v>Auxiliary Controls</v>
      </c>
      <c r="J111" s="33" t="str">
        <f t="shared" ca="1" si="35"/>
        <v/>
      </c>
      <c r="K111" s="33" t="str">
        <f t="shared" ca="1" si="29"/>
        <v/>
      </c>
      <c r="L111" s="33" t="str">
        <f t="shared" ca="1" si="36"/>
        <v xml:space="preserve"> | </v>
      </c>
      <c r="M111" s="33" t="str">
        <f t="shared" ca="1" si="37"/>
        <v xml:space="preserve"> | </v>
      </c>
      <c r="N111" s="33" t="str">
        <f t="shared" ca="1" si="38"/>
        <v xml:space="preserve"> | </v>
      </c>
      <c r="O111" s="84" t="str">
        <f t="shared" ca="1" si="39"/>
        <v>CM: Increasae all officer stats on board when defending a station OA: Increase Damage for 1 round when hit by a critical</v>
      </c>
      <c r="Q111" s="34"/>
      <c r="R111" s="34"/>
      <c r="S111" s="34"/>
      <c r="T111" s="34"/>
      <c r="U111" s="34"/>
      <c r="V111" s="34"/>
      <c r="W111" s="34"/>
      <c r="X111" s="34"/>
    </row>
    <row r="112" spans="1:24" s="13" customFormat="1" ht="17.25" customHeight="1" x14ac:dyDescent="0.25">
      <c r="A112" s="34"/>
      <c r="B112" s="13" t="str">
        <f t="shared" si="30"/>
        <v>R</v>
      </c>
      <c r="C112" s="493" t="s">
        <v>64</v>
      </c>
      <c r="D112" s="44">
        <f t="shared" ca="1" si="40"/>
        <v>0</v>
      </c>
      <c r="E112" s="34">
        <f t="shared" ca="1" si="41"/>
        <v>0</v>
      </c>
      <c r="F112" s="35">
        <f t="shared" ca="1" si="31"/>
        <v>0</v>
      </c>
      <c r="G112" s="35">
        <f t="shared" ca="1" si="32"/>
        <v>0</v>
      </c>
      <c r="H112" s="35">
        <f t="shared" ca="1" si="33"/>
        <v>0</v>
      </c>
      <c r="I112" s="34" t="str">
        <f t="shared" si="34"/>
        <v>Shakedown Cruise</v>
      </c>
      <c r="J112" s="33" t="str">
        <f t="shared" ca="1" si="35"/>
        <v/>
      </c>
      <c r="K112" s="33" t="str">
        <f t="shared" ref="K112:K143" ca="1" si="42">IFERROR(IF($O$20="Abilities",VLOOKUP(C112,INDIRECT($O$20),7,FALSE)*100 &amp; "%",""),"")</f>
        <v/>
      </c>
      <c r="L112" s="33" t="str">
        <f t="shared" ca="1" si="36"/>
        <v xml:space="preserve"> | </v>
      </c>
      <c r="M112" s="33" t="str">
        <f t="shared" ca="1" si="37"/>
        <v xml:space="preserve"> | </v>
      </c>
      <c r="N112" s="33" t="str">
        <f t="shared" ca="1" si="38"/>
        <v xml:space="preserve"> | </v>
      </c>
      <c r="O112" s="84" t="str">
        <f t="shared" ca="1" si="39"/>
        <v>CM: % Shield healed after winning OA: Decrease hostile penetration</v>
      </c>
      <c r="Q112" s="34"/>
      <c r="R112" s="34"/>
      <c r="S112" s="34"/>
      <c r="T112" s="34"/>
      <c r="U112" s="34"/>
      <c r="V112" s="34"/>
      <c r="W112" s="34"/>
      <c r="X112" s="34"/>
    </row>
    <row r="113" spans="1:24" s="13" customFormat="1" ht="17.25" customHeight="1" x14ac:dyDescent="0.25">
      <c r="A113" s="34"/>
      <c r="B113" s="13" t="str">
        <f t="shared" si="30"/>
        <v>U</v>
      </c>
      <c r="C113" s="493" t="s">
        <v>38</v>
      </c>
      <c r="D113" s="44">
        <f t="shared" ca="1" si="40"/>
        <v>0</v>
      </c>
      <c r="E113" s="34">
        <f t="shared" ca="1" si="41"/>
        <v>0</v>
      </c>
      <c r="F113" s="35">
        <f t="shared" ca="1" si="31"/>
        <v>0</v>
      </c>
      <c r="G113" s="35">
        <f t="shared" ca="1" si="32"/>
        <v>0</v>
      </c>
      <c r="H113" s="35">
        <f t="shared" ca="1" si="33"/>
        <v>0</v>
      </c>
      <c r="I113" s="34" t="str">
        <f t="shared" si="34"/>
        <v>Klingon Patriots</v>
      </c>
      <c r="J113" s="33" t="str">
        <f t="shared" ca="1" si="35"/>
        <v/>
      </c>
      <c r="K113" s="33" t="str">
        <f t="shared" ca="1" si="42"/>
        <v/>
      </c>
      <c r="L113" s="33" t="str">
        <f t="shared" ca="1" si="36"/>
        <v xml:space="preserve"> | </v>
      </c>
      <c r="M113" s="33" t="str">
        <f t="shared" ca="1" si="37"/>
        <v xml:space="preserve"> | </v>
      </c>
      <c r="N113" s="33" t="str">
        <f t="shared" ca="1" si="38"/>
        <v xml:space="preserve"> | </v>
      </c>
      <c r="O113" s="84" t="str">
        <f t="shared" ca="1" si="39"/>
        <v>CM: Increase Armor Piercing OA: Increase Attack of crew (**Broken Bridge Only**)</v>
      </c>
      <c r="Q113" s="34"/>
      <c r="R113" s="34"/>
      <c r="S113" s="34"/>
      <c r="T113" s="34"/>
      <c r="U113" s="34"/>
      <c r="V113" s="34"/>
      <c r="W113" s="34"/>
      <c r="X113" s="34"/>
    </row>
    <row r="114" spans="1:24" s="13" customFormat="1" ht="17.25" customHeight="1" x14ac:dyDescent="0.25">
      <c r="A114" s="34"/>
      <c r="B114" s="13" t="str">
        <f t="shared" si="30"/>
        <v>E</v>
      </c>
      <c r="C114" s="493" t="s">
        <v>106</v>
      </c>
      <c r="D114" s="44">
        <f t="shared" ca="1" si="40"/>
        <v>0</v>
      </c>
      <c r="E114" s="34">
        <f t="shared" ca="1" si="41"/>
        <v>0</v>
      </c>
      <c r="F114" s="35">
        <f t="shared" ca="1" si="31"/>
        <v>0</v>
      </c>
      <c r="G114" s="35">
        <f t="shared" ca="1" si="32"/>
        <v>0</v>
      </c>
      <c r="H114" s="35">
        <f t="shared" ca="1" si="33"/>
        <v>0</v>
      </c>
      <c r="I114" s="34" t="str">
        <f t="shared" si="34"/>
        <v>Mudd's Crew</v>
      </c>
      <c r="J114" s="33" t="str">
        <f t="shared" ca="1" si="35"/>
        <v/>
      </c>
      <c r="K114" s="33" t="str">
        <f t="shared" ca="1" si="42"/>
        <v/>
      </c>
      <c r="L114" s="33" t="str">
        <f t="shared" ca="1" si="36"/>
        <v xml:space="preserve"> | </v>
      </c>
      <c r="M114" s="33" t="str">
        <f t="shared" ca="1" si="37"/>
        <v xml:space="preserve"> | </v>
      </c>
      <c r="N114" s="33" t="str">
        <f t="shared" ca="1" si="38"/>
        <v xml:space="preserve"> | </v>
      </c>
      <c r="O114" s="84" t="str">
        <f t="shared" ca="1" si="39"/>
        <v>CM: Decrease Armada Target Weapon Damage when taking damage OA: Increase damage when shields are depleted</v>
      </c>
      <c r="Q114" s="34"/>
      <c r="R114" s="34"/>
      <c r="S114" s="34"/>
      <c r="T114" s="34"/>
      <c r="U114" s="34"/>
      <c r="V114" s="34"/>
      <c r="W114" s="34"/>
      <c r="X114" s="34"/>
    </row>
    <row r="115" spans="1:24" s="13" customFormat="1" ht="17.25" customHeight="1" x14ac:dyDescent="0.25">
      <c r="A115" s="34"/>
      <c r="B115" s="13" t="str">
        <f t="shared" si="30"/>
        <v>R</v>
      </c>
      <c r="C115" s="493" t="s">
        <v>77</v>
      </c>
      <c r="D115" s="44">
        <f t="shared" ca="1" si="40"/>
        <v>0</v>
      </c>
      <c r="E115" s="34">
        <f t="shared" ca="1" si="41"/>
        <v>0</v>
      </c>
      <c r="F115" s="35">
        <f t="shared" ca="1" si="31"/>
        <v>0</v>
      </c>
      <c r="G115" s="35">
        <f t="shared" ca="1" si="32"/>
        <v>0</v>
      </c>
      <c r="H115" s="35">
        <f t="shared" ca="1" si="33"/>
        <v>0</v>
      </c>
      <c r="I115" s="34" t="str">
        <f t="shared" si="34"/>
        <v>Khan's Crew</v>
      </c>
      <c r="J115" s="33" t="str">
        <f t="shared" ca="1" si="35"/>
        <v/>
      </c>
      <c r="K115" s="33" t="str">
        <f t="shared" ca="1" si="42"/>
        <v/>
      </c>
      <c r="L115" s="33" t="str">
        <f t="shared" ca="1" si="36"/>
        <v xml:space="preserve"> | </v>
      </c>
      <c r="M115" s="33" t="str">
        <f t="shared" ca="1" si="37"/>
        <v xml:space="preserve"> | Y</v>
      </c>
      <c r="N115" s="33" t="str">
        <f t="shared" ca="1" si="38"/>
        <v xml:space="preserve"> | </v>
      </c>
      <c r="O115" s="84" t="str">
        <f t="shared" ca="1" si="39"/>
        <v>CM: Increase Critical Damage when own ship has Hull Breach OA: Increase mitigation when own ship has hull breach</v>
      </c>
      <c r="Q115" s="34"/>
      <c r="R115" s="34"/>
      <c r="S115" s="34"/>
      <c r="T115" s="34"/>
      <c r="U115" s="34"/>
      <c r="V115" s="34"/>
      <c r="W115" s="34"/>
      <c r="X115" s="34"/>
    </row>
    <row r="116" spans="1:24" s="13" customFormat="1" ht="17.25" customHeight="1" x14ac:dyDescent="0.25">
      <c r="A116" s="34"/>
      <c r="B116" s="13" t="str">
        <f t="shared" si="30"/>
        <v>E</v>
      </c>
      <c r="C116" s="493" t="s">
        <v>50</v>
      </c>
      <c r="D116" s="44">
        <f t="shared" ca="1" si="40"/>
        <v>0</v>
      </c>
      <c r="E116" s="34">
        <f t="shared" ca="1" si="41"/>
        <v>0</v>
      </c>
      <c r="F116" s="35">
        <f t="shared" ca="1" si="31"/>
        <v>0</v>
      </c>
      <c r="G116" s="35">
        <f t="shared" ca="1" si="32"/>
        <v>0</v>
      </c>
      <c r="H116" s="35">
        <f t="shared" ca="1" si="33"/>
        <v>0</v>
      </c>
      <c r="I116" s="34" t="str">
        <f t="shared" si="34"/>
        <v>Nero's Crew</v>
      </c>
      <c r="J116" s="33" t="str">
        <f t="shared" ca="1" si="35"/>
        <v/>
      </c>
      <c r="K116" s="33" t="str">
        <f t="shared" ca="1" si="42"/>
        <v/>
      </c>
      <c r="L116" s="33" t="str">
        <f t="shared" ca="1" si="36"/>
        <v>Y | Y</v>
      </c>
      <c r="M116" s="33" t="str">
        <f t="shared" ca="1" si="37"/>
        <v xml:space="preserve"> | </v>
      </c>
      <c r="N116" s="33" t="str">
        <f t="shared" ca="1" si="38"/>
        <v xml:space="preserve"> | </v>
      </c>
      <c r="O116" s="84" t="str">
        <f t="shared" ca="1" si="39"/>
        <v>CM: Increase Damage when opponent's ship is Burning OA: Chance to cause Burning when hitting enemy</v>
      </c>
      <c r="Q116" s="34"/>
      <c r="R116" s="34"/>
      <c r="S116" s="34"/>
      <c r="T116" s="34"/>
      <c r="U116" s="34"/>
      <c r="V116" s="34"/>
      <c r="W116" s="34"/>
      <c r="X116" s="34"/>
    </row>
    <row r="117" spans="1:24" s="13" customFormat="1" ht="17.25" customHeight="1" x14ac:dyDescent="0.25">
      <c r="A117" s="34"/>
      <c r="B117" s="13" t="str">
        <f t="shared" si="30"/>
        <v>C</v>
      </c>
      <c r="C117" s="493" t="s">
        <v>734</v>
      </c>
      <c r="D117" s="44">
        <f t="shared" ca="1" si="40"/>
        <v>0</v>
      </c>
      <c r="E117" s="34">
        <f t="shared" ca="1" si="41"/>
        <v>0</v>
      </c>
      <c r="F117" s="35">
        <f t="shared" ca="1" si="31"/>
        <v>0</v>
      </c>
      <c r="G117" s="35">
        <f t="shared" ca="1" si="32"/>
        <v>0</v>
      </c>
      <c r="H117" s="35">
        <f t="shared" ca="1" si="33"/>
        <v>0</v>
      </c>
      <c r="I117" s="34" t="str">
        <f t="shared" si="34"/>
        <v>Next Gen</v>
      </c>
      <c r="J117" s="33" t="str">
        <f t="shared" ca="1" si="35"/>
        <v/>
      </c>
      <c r="K117" s="33" t="str">
        <f t="shared" ca="1" si="42"/>
        <v/>
      </c>
      <c r="L117" s="33" t="str">
        <f t="shared" ca="1" si="36"/>
        <v xml:space="preserve"> | </v>
      </c>
      <c r="M117" s="33" t="str">
        <f t="shared" ca="1" si="37"/>
        <v xml:space="preserve"> | </v>
      </c>
      <c r="N117" s="33" t="str">
        <f t="shared" ca="1" si="38"/>
        <v xml:space="preserve"> | </v>
      </c>
      <c r="O117" s="84" t="str">
        <f t="shared" ca="1" si="39"/>
        <v>CM: Increase Health of all Officers on the ship OA: Increase Captains Maneuver</v>
      </c>
      <c r="Q117" s="34"/>
      <c r="R117" s="34"/>
      <c r="S117" s="34"/>
      <c r="T117" s="34"/>
      <c r="U117" s="34"/>
      <c r="V117" s="34"/>
      <c r="W117" s="34"/>
      <c r="X117" s="34"/>
    </row>
    <row r="118" spans="1:24" s="13" customFormat="1" ht="17.25" customHeight="1" x14ac:dyDescent="0.25">
      <c r="A118" s="34"/>
      <c r="B118" s="13" t="str">
        <f t="shared" ref="B118:B149" si="43">VLOOKUP(C118,OfficerScores,2,FALSE)</f>
        <v>C</v>
      </c>
      <c r="C118" s="493" t="s">
        <v>736</v>
      </c>
      <c r="D118" s="44">
        <f t="shared" ca="1" si="40"/>
        <v>0</v>
      </c>
      <c r="E118" s="34">
        <f t="shared" ca="1" si="41"/>
        <v>0</v>
      </c>
      <c r="F118" s="35">
        <f t="shared" ref="F118:F149" ca="1" si="44">IF(D118&gt;0,VLOOKUP(C118,OfficerStats,IF(MaxLevel=TRUE,30,D118)*3-1,FALSE)*OfficerBonusA,IF(MaxLevel = TRUE,VLOOKUP(C118,OfficerStats,30*3-1,FALSE)*OfficerBonusA,0))</f>
        <v>0</v>
      </c>
      <c r="G118" s="35">
        <f t="shared" ref="G118:G149" ca="1" si="45">IF(D118&gt;0,VLOOKUP(C118,OfficerStats,IF(MaxLevel=TRUE,30,D118)*3,FALSE)*OfficerBonusD,IF(MaxLevel = TRUE,VLOOKUP(C118,OfficerStats,30*3,FALSE)*OfficerBonusD,0))</f>
        <v>0</v>
      </c>
      <c r="H118" s="35">
        <f t="shared" ref="H118:H149" ca="1" si="46">IF(D118&gt;0,VLOOKUP(C118,OfficerStats,IF(MaxLevel=TRUE,30,D118)*3+1,FALSE)*OfficerBonusH,IF(MaxLevel = TRUE,VLOOKUP(C118,OfficerStats,30*3+1,FALSE)*OfficerBonusH,0))</f>
        <v>0</v>
      </c>
      <c r="I118" s="34" t="str">
        <f t="shared" ref="I118:I149" si="47">IFERROR(INDEX(OfficerSkillsFull,MATCH(C118,OfficerSkillsOfficers,0),11),0)</f>
        <v>Next Gen</v>
      </c>
      <c r="J118" s="33" t="str">
        <f t="shared" ref="J118:J134" ca="1" si="48">IFERROR(IF($O$20="Abilities",VLOOKUP(C118,INDIRECT($O$20),6,FALSE)*100 &amp; "%",""),"")</f>
        <v/>
      </c>
      <c r="K118" s="33" t="str">
        <f t="shared" ca="1" si="42"/>
        <v/>
      </c>
      <c r="L118" s="33" t="str">
        <f t="shared" ref="L118:L149" ca="1" si="49">VLOOKUP(C118,INDIRECT($O$20),2,FALSE)</f>
        <v xml:space="preserve"> | </v>
      </c>
      <c r="M118" s="33" t="str">
        <f t="shared" ref="M118:M149" ca="1" si="50">VLOOKUP(C118,INDIRECT($O$20),3,FALSE)</f>
        <v xml:space="preserve"> | </v>
      </c>
      <c r="N118" s="33" t="str">
        <f t="shared" ref="N118:N149" ca="1" si="51">VLOOKUP(C118,INDIRECT($O$20),4,FALSE)</f>
        <v xml:space="preserve"> | </v>
      </c>
      <c r="O118" s="84" t="str">
        <f t="shared" ref="O118:O149" ca="1" si="52">VLOOKUP(C118,INDIRECT($O$20),5,FALSE)</f>
        <v>CM: Increase all Officer stats on Bridge OA: Increase Weapon Damage</v>
      </c>
      <c r="Q118" s="34"/>
      <c r="R118" s="34"/>
      <c r="S118" s="34"/>
      <c r="T118" s="34"/>
      <c r="U118" s="34"/>
      <c r="V118" s="34"/>
      <c r="W118" s="34"/>
      <c r="X118" s="34"/>
    </row>
    <row r="119" spans="1:24" s="13" customFormat="1" ht="17.25" customHeight="1" x14ac:dyDescent="0.25">
      <c r="A119" s="34"/>
      <c r="B119" s="13" t="str">
        <f t="shared" si="43"/>
        <v>C</v>
      </c>
      <c r="C119" s="493" t="s">
        <v>738</v>
      </c>
      <c r="D119" s="44">
        <f t="shared" ca="1" si="40"/>
        <v>0</v>
      </c>
      <c r="E119" s="34">
        <f t="shared" ca="1" si="41"/>
        <v>0</v>
      </c>
      <c r="F119" s="35">
        <f t="shared" ca="1" si="44"/>
        <v>0</v>
      </c>
      <c r="G119" s="35">
        <f t="shared" ca="1" si="45"/>
        <v>0</v>
      </c>
      <c r="H119" s="35">
        <f t="shared" ca="1" si="46"/>
        <v>0</v>
      </c>
      <c r="I119" s="34" t="str">
        <f t="shared" si="47"/>
        <v>Next Gen</v>
      </c>
      <c r="J119" s="33" t="str">
        <f t="shared" ca="1" si="48"/>
        <v/>
      </c>
      <c r="K119" s="33" t="str">
        <f t="shared" ca="1" si="42"/>
        <v/>
      </c>
      <c r="L119" s="33" t="str">
        <f t="shared" ca="1" si="49"/>
        <v xml:space="preserve"> | </v>
      </c>
      <c r="M119" s="33" t="str">
        <f t="shared" ca="1" si="50"/>
        <v xml:space="preserve"> | </v>
      </c>
      <c r="N119" s="33" t="str">
        <f t="shared" ca="1" si="51"/>
        <v xml:space="preserve"> | </v>
      </c>
      <c r="O119" s="84" t="str">
        <f t="shared" ca="1" si="52"/>
        <v>CM: Decrease opponents Weapon Damage OA: Increase Shield Health</v>
      </c>
      <c r="Q119" s="34"/>
      <c r="R119" s="34"/>
      <c r="S119" s="34"/>
      <c r="T119" s="34"/>
      <c r="U119" s="34"/>
      <c r="V119" s="34"/>
      <c r="W119" s="34"/>
      <c r="X119" s="34"/>
    </row>
    <row r="120" spans="1:24" s="13" customFormat="1" ht="17.25" customHeight="1" x14ac:dyDescent="0.25">
      <c r="A120" s="34"/>
      <c r="B120" s="13" t="str">
        <f t="shared" si="43"/>
        <v>C</v>
      </c>
      <c r="C120" s="493" t="s">
        <v>740</v>
      </c>
      <c r="D120" s="44">
        <f t="shared" ca="1" si="40"/>
        <v>0</v>
      </c>
      <c r="E120" s="34">
        <f t="shared" ca="1" si="41"/>
        <v>0</v>
      </c>
      <c r="F120" s="35">
        <f t="shared" ca="1" si="44"/>
        <v>0</v>
      </c>
      <c r="G120" s="35">
        <f t="shared" ca="1" si="45"/>
        <v>0</v>
      </c>
      <c r="H120" s="35">
        <f t="shared" ca="1" si="46"/>
        <v>0</v>
      </c>
      <c r="I120" s="34" t="str">
        <f t="shared" si="47"/>
        <v>Next Gen</v>
      </c>
      <c r="J120" s="33" t="str">
        <f t="shared" ca="1" si="48"/>
        <v/>
      </c>
      <c r="K120" s="33" t="str">
        <f t="shared" ca="1" si="42"/>
        <v/>
      </c>
      <c r="L120" s="33" t="str">
        <f t="shared" ca="1" si="49"/>
        <v xml:space="preserve"> | </v>
      </c>
      <c r="M120" s="33" t="str">
        <f t="shared" ca="1" si="50"/>
        <v xml:space="preserve"> | </v>
      </c>
      <c r="N120" s="33" t="str">
        <f t="shared" ca="1" si="51"/>
        <v xml:space="preserve"> | </v>
      </c>
      <c r="O120" s="84" t="str">
        <f t="shared" ca="1" si="52"/>
        <v>CM: Increase Damage for first round OA: Increase Attack of all Officers on the ship (** Broken Bridge ONLY **)</v>
      </c>
      <c r="Q120" s="34"/>
      <c r="R120" s="34"/>
      <c r="S120" s="34"/>
      <c r="T120" s="34"/>
      <c r="U120" s="34"/>
      <c r="V120" s="34"/>
      <c r="W120" s="34"/>
      <c r="X120" s="34"/>
    </row>
    <row r="121" spans="1:24" s="13" customFormat="1" ht="17.25" customHeight="1" x14ac:dyDescent="0.25">
      <c r="A121" s="34"/>
      <c r="B121" s="13" t="str">
        <f t="shared" si="43"/>
        <v>C</v>
      </c>
      <c r="C121" s="493" t="s">
        <v>742</v>
      </c>
      <c r="D121" s="44">
        <f t="shared" ca="1" si="40"/>
        <v>0</v>
      </c>
      <c r="E121" s="34">
        <f t="shared" ca="1" si="41"/>
        <v>0</v>
      </c>
      <c r="F121" s="35">
        <f t="shared" ca="1" si="44"/>
        <v>0</v>
      </c>
      <c r="G121" s="35">
        <f t="shared" ca="1" si="45"/>
        <v>0</v>
      </c>
      <c r="H121" s="35">
        <f t="shared" ca="1" si="46"/>
        <v>0</v>
      </c>
      <c r="I121" s="34" t="str">
        <f t="shared" si="47"/>
        <v>Next Gen</v>
      </c>
      <c r="J121" s="33" t="str">
        <f t="shared" ca="1" si="48"/>
        <v/>
      </c>
      <c r="K121" s="33" t="str">
        <f t="shared" ca="1" si="42"/>
        <v/>
      </c>
      <c r="L121" s="33" t="str">
        <f t="shared" ca="1" si="49"/>
        <v xml:space="preserve"> | </v>
      </c>
      <c r="M121" s="33" t="str">
        <f t="shared" ca="1" si="50"/>
        <v xml:space="preserve"> | </v>
      </c>
      <c r="N121" s="33" t="str">
        <f t="shared" ca="1" si="51"/>
        <v xml:space="preserve"> | </v>
      </c>
      <c r="O121" s="84" t="str">
        <f t="shared" ca="1" si="52"/>
        <v>CM: Increase Damage OA: Increase Mitigation</v>
      </c>
      <c r="Q121" s="34"/>
      <c r="R121" s="34"/>
      <c r="S121" s="34"/>
      <c r="T121" s="34"/>
      <c r="U121" s="34"/>
      <c r="V121" s="34"/>
      <c r="W121" s="34"/>
      <c r="X121" s="34"/>
    </row>
    <row r="122" spans="1:24" s="13" customFormat="1" ht="17.25" customHeight="1" x14ac:dyDescent="0.25">
      <c r="A122" s="34"/>
      <c r="B122" s="13" t="str">
        <f t="shared" si="43"/>
        <v>U</v>
      </c>
      <c r="C122" s="493" t="s">
        <v>1645</v>
      </c>
      <c r="D122" s="44">
        <f ca="1">IFERROR(INDEX(ImportLevel,MATCH(C122,ImportOfficerList,0)),IFERROR(INDEX(ImportLevel,MATCH("9 of 10",ImportOfficerList,0)),0))</f>
        <v>0</v>
      </c>
      <c r="E122" s="34">
        <f ca="1">IFERROR(INDEX(ImportRank,MATCH(C122,ImportOfficerList,0)),IFERROR(INDEX(ImportRank,MATCH("9 of 10",ImportOfficerList,0)),0))</f>
        <v>0</v>
      </c>
      <c r="F122" s="35">
        <f t="shared" ca="1" si="44"/>
        <v>0</v>
      </c>
      <c r="G122" s="35">
        <f t="shared" ca="1" si="45"/>
        <v>0</v>
      </c>
      <c r="H122" s="35">
        <f t="shared" ca="1" si="46"/>
        <v>0</v>
      </c>
      <c r="I122" s="34" t="str">
        <f t="shared" si="47"/>
        <v>Unimatrix Twelve</v>
      </c>
      <c r="J122" s="33" t="str">
        <f t="shared" ca="1" si="48"/>
        <v/>
      </c>
      <c r="K122" s="33" t="str">
        <f t="shared" ca="1" si="42"/>
        <v/>
      </c>
      <c r="L122" s="33" t="str">
        <f t="shared" ca="1" si="49"/>
        <v xml:space="preserve"> | </v>
      </c>
      <c r="M122" s="33" t="str">
        <f t="shared" ca="1" si="50"/>
        <v xml:space="preserve"> | </v>
      </c>
      <c r="N122" s="33" t="str">
        <f t="shared" ca="1" si="51"/>
        <v xml:space="preserve"> | </v>
      </c>
      <c r="O122" s="84" t="str">
        <f t="shared" ca="1" si="52"/>
        <v>CM: Decrease Borg critical hit chance OA: Increase Defence of all Officers on the ship</v>
      </c>
      <c r="Q122" s="34"/>
      <c r="R122" s="34"/>
      <c r="S122" s="34"/>
      <c r="T122" s="34"/>
      <c r="U122" s="34"/>
      <c r="V122" s="34"/>
      <c r="W122" s="34"/>
      <c r="X122" s="34"/>
    </row>
    <row r="123" spans="1:24" s="13" customFormat="1" ht="17.25" customHeight="1" x14ac:dyDescent="0.25">
      <c r="A123" s="34"/>
      <c r="B123" s="13" t="str">
        <f t="shared" si="43"/>
        <v>R</v>
      </c>
      <c r="C123" s="493" t="s">
        <v>1630</v>
      </c>
      <c r="D123" s="44">
        <f ca="1">IFERROR(INDEX(ImportLevel,MATCH(C123,ImportOfficerList,0)),IFERROR(INDEX(ImportLevel,MATCH("1 of 10",ImportOfficerList,0)),0))</f>
        <v>0</v>
      </c>
      <c r="E123" s="34">
        <f ca="1">IFERROR(INDEX(ImportRank,MATCH(C123,ImportOfficerList,0)),IFERROR(INDEX(ImportRank,MATCH("1 of 10",ImportOfficerList,0)),0))</f>
        <v>0</v>
      </c>
      <c r="F123" s="35">
        <f t="shared" ca="1" si="44"/>
        <v>0</v>
      </c>
      <c r="G123" s="35">
        <f t="shared" ca="1" si="45"/>
        <v>0</v>
      </c>
      <c r="H123" s="35">
        <f t="shared" ca="1" si="46"/>
        <v>0</v>
      </c>
      <c r="I123" s="34" t="str">
        <f t="shared" si="47"/>
        <v>Unimatrix Twelve</v>
      </c>
      <c r="J123" s="33" t="str">
        <f t="shared" ca="1" si="48"/>
        <v/>
      </c>
      <c r="K123" s="33" t="str">
        <f t="shared" ca="1" si="42"/>
        <v/>
      </c>
      <c r="L123" s="33" t="str">
        <f t="shared" ca="1" si="49"/>
        <v xml:space="preserve"> | </v>
      </c>
      <c r="M123" s="33" t="str">
        <f t="shared" ca="1" si="50"/>
        <v xml:space="preserve"> | </v>
      </c>
      <c r="N123" s="33" t="str">
        <f t="shared" ca="1" si="51"/>
        <v xml:space="preserve"> | </v>
      </c>
      <c r="O123" s="84" t="str">
        <f t="shared" ca="1" si="52"/>
        <v>CM: Increate Shield Mitigation OA: Increase Protected Cargo</v>
      </c>
      <c r="Q123" s="34"/>
      <c r="R123" s="34"/>
      <c r="S123" s="34"/>
      <c r="T123" s="34"/>
      <c r="U123" s="34"/>
      <c r="V123" s="34"/>
      <c r="W123" s="34"/>
      <c r="X123" s="34"/>
    </row>
    <row r="124" spans="1:24" s="13" customFormat="1" ht="17.25" customHeight="1" x14ac:dyDescent="0.25">
      <c r="A124" s="34"/>
      <c r="B124" s="13" t="str">
        <f t="shared" si="43"/>
        <v>U</v>
      </c>
      <c r="C124" s="493" t="s">
        <v>57</v>
      </c>
      <c r="D124" s="44">
        <f t="shared" ref="D124:D140" ca="1" si="53">IFERROR(INDEX(ImportLevel,MATCH(C124,ImportOfficerList,0)),0)</f>
        <v>0</v>
      </c>
      <c r="E124" s="34">
        <f t="shared" ref="E124:E140" ca="1" si="54">IFERROR(INDEX(ImportRank,MATCH(C124,ImportOfficerList,0)),0)</f>
        <v>0</v>
      </c>
      <c r="F124" s="35">
        <f t="shared" ca="1" si="44"/>
        <v>0</v>
      </c>
      <c r="G124" s="35">
        <f t="shared" ca="1" si="45"/>
        <v>0</v>
      </c>
      <c r="H124" s="35">
        <f t="shared" ca="1" si="46"/>
        <v>0</v>
      </c>
      <c r="I124" s="34" t="str">
        <f t="shared" si="47"/>
        <v>Discovery Origins</v>
      </c>
      <c r="J124" s="33" t="str">
        <f t="shared" ca="1" si="48"/>
        <v/>
      </c>
      <c r="K124" s="33" t="str">
        <f t="shared" ca="1" si="42"/>
        <v/>
      </c>
      <c r="L124" s="33" t="str">
        <f t="shared" ca="1" si="49"/>
        <v xml:space="preserve"> | </v>
      </c>
      <c r="M124" s="33" t="str">
        <f t="shared" ca="1" si="50"/>
        <v xml:space="preserve"> | </v>
      </c>
      <c r="N124" s="33" t="str">
        <f t="shared" ca="1" si="51"/>
        <v xml:space="preserve"> | </v>
      </c>
      <c r="O124" s="84" t="str">
        <f t="shared" ca="1" si="52"/>
        <v>CM: Increase All Officers Attack OA: Increase Damage</v>
      </c>
      <c r="Q124" s="34"/>
      <c r="R124" s="34"/>
      <c r="S124" s="34"/>
      <c r="T124" s="34"/>
      <c r="U124" s="34"/>
      <c r="V124" s="34"/>
      <c r="W124" s="34"/>
      <c r="X124" s="34"/>
    </row>
    <row r="125" spans="1:24" s="13" customFormat="1" ht="17.25" customHeight="1" x14ac:dyDescent="0.25">
      <c r="A125" s="34"/>
      <c r="B125" s="13" t="str">
        <f t="shared" si="43"/>
        <v>C</v>
      </c>
      <c r="C125" s="493" t="s">
        <v>26</v>
      </c>
      <c r="D125" s="44">
        <f t="shared" ca="1" si="53"/>
        <v>0</v>
      </c>
      <c r="E125" s="34">
        <f t="shared" ca="1" si="54"/>
        <v>0</v>
      </c>
      <c r="F125" s="35">
        <f t="shared" ca="1" si="44"/>
        <v>0</v>
      </c>
      <c r="G125" s="35">
        <f t="shared" ca="1" si="45"/>
        <v>0</v>
      </c>
      <c r="H125" s="35">
        <f t="shared" ca="1" si="46"/>
        <v>0</v>
      </c>
      <c r="I125" s="34" t="str">
        <f t="shared" si="47"/>
        <v>Discovery Origins</v>
      </c>
      <c r="J125" s="33" t="str">
        <f t="shared" ca="1" si="48"/>
        <v/>
      </c>
      <c r="K125" s="33" t="str">
        <f t="shared" ca="1" si="42"/>
        <v/>
      </c>
      <c r="L125" s="33" t="str">
        <f t="shared" ca="1" si="49"/>
        <v xml:space="preserve"> | </v>
      </c>
      <c r="M125" s="33" t="str">
        <f t="shared" ca="1" si="50"/>
        <v xml:space="preserve"> | </v>
      </c>
      <c r="N125" s="33" t="str">
        <f t="shared" ca="1" si="51"/>
        <v xml:space="preserve"> | </v>
      </c>
      <c r="O125" s="84" t="str">
        <f t="shared" ca="1" si="52"/>
        <v>CM: Increase All Officers Base Defence OA: Increase Hull Health</v>
      </c>
      <c r="Q125" s="34"/>
      <c r="R125" s="34"/>
      <c r="S125" s="34"/>
      <c r="T125" s="34"/>
      <c r="U125" s="34"/>
      <c r="V125" s="34"/>
      <c r="W125" s="34"/>
      <c r="X125" s="34"/>
    </row>
    <row r="126" spans="1:24" s="13" customFormat="1" ht="17.25" customHeight="1" x14ac:dyDescent="0.25">
      <c r="A126" s="34"/>
      <c r="B126" s="13" t="str">
        <f t="shared" si="43"/>
        <v>C</v>
      </c>
      <c r="C126" s="493" t="s">
        <v>27</v>
      </c>
      <c r="D126" s="44">
        <f t="shared" ca="1" si="53"/>
        <v>0</v>
      </c>
      <c r="E126" s="34">
        <f t="shared" ca="1" si="54"/>
        <v>0</v>
      </c>
      <c r="F126" s="35">
        <f t="shared" ca="1" si="44"/>
        <v>0</v>
      </c>
      <c r="G126" s="35">
        <f t="shared" ca="1" si="45"/>
        <v>0</v>
      </c>
      <c r="H126" s="35">
        <f t="shared" ca="1" si="46"/>
        <v>0</v>
      </c>
      <c r="I126" s="34" t="str">
        <f t="shared" si="47"/>
        <v>Discovery Origins</v>
      </c>
      <c r="J126" s="33" t="str">
        <f t="shared" ca="1" si="48"/>
        <v/>
      </c>
      <c r="K126" s="33" t="str">
        <f t="shared" ca="1" si="42"/>
        <v/>
      </c>
      <c r="L126" s="33" t="str">
        <f t="shared" ca="1" si="49"/>
        <v xml:space="preserve"> | </v>
      </c>
      <c r="M126" s="33" t="str">
        <f t="shared" ca="1" si="50"/>
        <v xml:space="preserve"> | </v>
      </c>
      <c r="N126" s="33" t="str">
        <f t="shared" ca="1" si="51"/>
        <v xml:space="preserve"> | </v>
      </c>
      <c r="O126" s="84" t="str">
        <f t="shared" ca="1" si="52"/>
        <v>CM: Increase All Officers Base Health OA: Increase Warp Speed</v>
      </c>
      <c r="Q126" s="34"/>
      <c r="R126" s="34"/>
      <c r="S126" s="34"/>
      <c r="T126" s="34"/>
      <c r="U126" s="34"/>
      <c r="V126" s="34"/>
      <c r="W126" s="34"/>
      <c r="X126" s="34"/>
    </row>
    <row r="127" spans="1:24" s="13" customFormat="1" ht="17.25" customHeight="1" x14ac:dyDescent="0.25">
      <c r="A127" s="34"/>
      <c r="B127" s="13" t="str">
        <f t="shared" si="43"/>
        <v>U</v>
      </c>
      <c r="C127" s="493" t="s">
        <v>55</v>
      </c>
      <c r="D127" s="44">
        <f t="shared" ca="1" si="53"/>
        <v>0</v>
      </c>
      <c r="E127" s="34">
        <f t="shared" ca="1" si="54"/>
        <v>0</v>
      </c>
      <c r="F127" s="35">
        <f t="shared" ca="1" si="44"/>
        <v>0</v>
      </c>
      <c r="G127" s="35">
        <f t="shared" ca="1" si="45"/>
        <v>0</v>
      </c>
      <c r="H127" s="35">
        <f t="shared" ca="1" si="46"/>
        <v>0</v>
      </c>
      <c r="I127" s="34" t="str">
        <f t="shared" si="47"/>
        <v>Khan's Crew</v>
      </c>
      <c r="J127" s="33" t="str">
        <f t="shared" ca="1" si="48"/>
        <v/>
      </c>
      <c r="K127" s="33" t="str">
        <f t="shared" ca="1" si="42"/>
        <v/>
      </c>
      <c r="L127" s="33" t="str">
        <f t="shared" ca="1" si="49"/>
        <v xml:space="preserve"> | </v>
      </c>
      <c r="M127" s="33" t="str">
        <f t="shared" ca="1" si="50"/>
        <v xml:space="preserve"> | </v>
      </c>
      <c r="N127" s="33" t="str">
        <f t="shared" ca="1" si="51"/>
        <v xml:space="preserve"> | </v>
      </c>
      <c r="O127" s="84" t="str">
        <f t="shared" ca="1" si="52"/>
        <v>CM: Increase damage to defence platforms OA: Increase Attack of all officers on the bridge</v>
      </c>
      <c r="Q127" s="34"/>
      <c r="R127" s="34"/>
      <c r="S127" s="34"/>
      <c r="T127" s="34"/>
      <c r="U127" s="34"/>
      <c r="V127" s="34"/>
      <c r="W127" s="34"/>
      <c r="X127" s="34"/>
    </row>
    <row r="128" spans="1:24" s="13" customFormat="1" ht="17.25" customHeight="1" x14ac:dyDescent="0.25">
      <c r="A128" s="34"/>
      <c r="B128" s="13" t="str">
        <f t="shared" si="43"/>
        <v>R</v>
      </c>
      <c r="C128" s="493" t="s">
        <v>78</v>
      </c>
      <c r="D128" s="44">
        <f t="shared" ca="1" si="53"/>
        <v>0</v>
      </c>
      <c r="E128" s="34">
        <f t="shared" ca="1" si="54"/>
        <v>0</v>
      </c>
      <c r="F128" s="35">
        <f t="shared" ca="1" si="44"/>
        <v>0</v>
      </c>
      <c r="G128" s="35">
        <f t="shared" ca="1" si="45"/>
        <v>0</v>
      </c>
      <c r="H128" s="35">
        <f t="shared" ca="1" si="46"/>
        <v>0</v>
      </c>
      <c r="I128" s="34" t="str">
        <f t="shared" si="47"/>
        <v>Khan's Crew</v>
      </c>
      <c r="J128" s="33" t="str">
        <f t="shared" ca="1" si="48"/>
        <v/>
      </c>
      <c r="K128" s="33" t="str">
        <f t="shared" ca="1" si="42"/>
        <v/>
      </c>
      <c r="L128" s="33" t="str">
        <f t="shared" ca="1" si="49"/>
        <v xml:space="preserve"> | </v>
      </c>
      <c r="M128" s="33" t="str">
        <f t="shared" ca="1" si="50"/>
        <v xml:space="preserve">Y | </v>
      </c>
      <c r="N128" s="33" t="str">
        <f t="shared" ca="1" si="51"/>
        <v xml:space="preserve"> | </v>
      </c>
      <c r="O128" s="84" t="str">
        <f t="shared" ca="1" si="52"/>
        <v>CM: Incrrease Impulse Speed OA: Chance to apply Hull Breach on your own ship</v>
      </c>
      <c r="Q128" s="34"/>
      <c r="R128" s="34"/>
      <c r="S128" s="34"/>
      <c r="T128" s="34"/>
      <c r="U128" s="34"/>
      <c r="V128" s="34"/>
      <c r="W128" s="34"/>
      <c r="X128" s="34"/>
    </row>
    <row r="129" spans="1:24" s="13" customFormat="1" ht="17.25" customHeight="1" x14ac:dyDescent="0.25">
      <c r="A129" s="34"/>
      <c r="B129" s="13" t="str">
        <f t="shared" si="43"/>
        <v>R</v>
      </c>
      <c r="C129" s="493" t="s">
        <v>90</v>
      </c>
      <c r="D129" s="44">
        <f t="shared" ca="1" si="53"/>
        <v>0</v>
      </c>
      <c r="E129" s="34">
        <f t="shared" ca="1" si="54"/>
        <v>0</v>
      </c>
      <c r="F129" s="35">
        <f t="shared" ca="1" si="44"/>
        <v>0</v>
      </c>
      <c r="G129" s="35">
        <f t="shared" ca="1" si="45"/>
        <v>0</v>
      </c>
      <c r="H129" s="35">
        <f t="shared" ca="1" si="46"/>
        <v>0</v>
      </c>
      <c r="I129" s="34" t="str">
        <f t="shared" si="47"/>
        <v>Discovery Crew</v>
      </c>
      <c r="J129" s="33" t="str">
        <f t="shared" ca="1" si="48"/>
        <v/>
      </c>
      <c r="K129" s="33" t="str">
        <f t="shared" ca="1" si="42"/>
        <v/>
      </c>
      <c r="L129" s="33" t="str">
        <f t="shared" ca="1" si="49"/>
        <v xml:space="preserve"> | </v>
      </c>
      <c r="M129" s="33" t="str">
        <f t="shared" ca="1" si="50"/>
        <v xml:space="preserve"> | </v>
      </c>
      <c r="N129" s="33" t="str">
        <f t="shared" ca="1" si="51"/>
        <v xml:space="preserve"> | </v>
      </c>
      <c r="O129" s="84" t="str">
        <f t="shared" ca="1" si="52"/>
        <v>CM: Increase Jump and Summoning Cost Efficiency OA: Decrease opponent's Armor Piercing when defending from a player</v>
      </c>
      <c r="Q129" s="34"/>
      <c r="R129" s="34"/>
      <c r="S129" s="34"/>
      <c r="T129" s="34"/>
      <c r="U129" s="34"/>
      <c r="V129" s="34"/>
      <c r="W129" s="34"/>
      <c r="X129" s="34"/>
    </row>
    <row r="130" spans="1:24" s="13" customFormat="1" ht="17.25" customHeight="1" x14ac:dyDescent="0.25">
      <c r="A130" s="34"/>
      <c r="B130" s="13" t="str">
        <f t="shared" si="43"/>
        <v>E</v>
      </c>
      <c r="C130" s="493" t="s">
        <v>82</v>
      </c>
      <c r="D130" s="44">
        <f t="shared" ca="1" si="53"/>
        <v>0</v>
      </c>
      <c r="E130" s="34">
        <f t="shared" ca="1" si="54"/>
        <v>0</v>
      </c>
      <c r="F130" s="35">
        <f t="shared" ca="1" si="44"/>
        <v>0</v>
      </c>
      <c r="G130" s="35">
        <f t="shared" ca="1" si="45"/>
        <v>0</v>
      </c>
      <c r="H130" s="35">
        <f t="shared" ca="1" si="46"/>
        <v>0</v>
      </c>
      <c r="I130" s="34" t="str">
        <f t="shared" si="47"/>
        <v>Shakedown Cruise</v>
      </c>
      <c r="J130" s="33" t="str">
        <f t="shared" ca="1" si="48"/>
        <v/>
      </c>
      <c r="K130" s="33" t="str">
        <f t="shared" ca="1" si="42"/>
        <v/>
      </c>
      <c r="L130" s="33" t="str">
        <f t="shared" ca="1" si="49"/>
        <v xml:space="preserve"> | </v>
      </c>
      <c r="M130" s="33" t="str">
        <f t="shared" ca="1" si="50"/>
        <v xml:space="preserve"> | </v>
      </c>
      <c r="N130" s="33" t="str">
        <f t="shared" ca="1" si="51"/>
        <v xml:space="preserve"> | </v>
      </c>
      <c r="O130" s="84" t="str">
        <f t="shared" ca="1" si="52"/>
        <v>CM: Increase Officer Abilities that trigger in combat by 2 x % OA: Increase Ship XP earned</v>
      </c>
      <c r="Q130" s="34"/>
      <c r="R130" s="34"/>
      <c r="S130" s="34"/>
      <c r="T130" s="34"/>
      <c r="U130" s="34"/>
      <c r="V130" s="34"/>
      <c r="W130" s="34"/>
      <c r="X130" s="34"/>
    </row>
    <row r="131" spans="1:24" s="13" customFormat="1" ht="17.25" customHeight="1" x14ac:dyDescent="0.25">
      <c r="A131" s="34"/>
      <c r="B131" s="13" t="str">
        <f t="shared" si="43"/>
        <v>U</v>
      </c>
      <c r="C131" s="493" t="s">
        <v>76</v>
      </c>
      <c r="D131" s="44">
        <f t="shared" ca="1" si="53"/>
        <v>0</v>
      </c>
      <c r="E131" s="34">
        <f t="shared" ca="1" si="54"/>
        <v>0</v>
      </c>
      <c r="F131" s="35">
        <f t="shared" ca="1" si="44"/>
        <v>0</v>
      </c>
      <c r="G131" s="35">
        <f t="shared" ca="1" si="45"/>
        <v>0</v>
      </c>
      <c r="H131" s="35">
        <f t="shared" ca="1" si="46"/>
        <v>0</v>
      </c>
      <c r="I131" s="34" t="str">
        <f t="shared" si="47"/>
        <v>Blood &amp; Honor</v>
      </c>
      <c r="J131" s="33" t="str">
        <f t="shared" ca="1" si="48"/>
        <v/>
      </c>
      <c r="K131" s="33" t="str">
        <f t="shared" ca="1" si="42"/>
        <v/>
      </c>
      <c r="L131" s="33" t="str">
        <f t="shared" ca="1" si="49"/>
        <v xml:space="preserve"> | </v>
      </c>
      <c r="M131" s="33" t="str">
        <f t="shared" ca="1" si="50"/>
        <v xml:space="preserve"> | Y</v>
      </c>
      <c r="N131" s="33" t="str">
        <f t="shared" ca="1" si="51"/>
        <v xml:space="preserve"> | </v>
      </c>
      <c r="O131" s="84" t="str">
        <f t="shared" ca="1" si="52"/>
        <v>CM: Decrease opponent's officer stats if own ship recieves a Hull Breach OA: Increase accuracy when own ship has Hull Breach</v>
      </c>
      <c r="Q131" s="34"/>
      <c r="R131" s="34"/>
      <c r="S131" s="34"/>
      <c r="T131" s="34"/>
      <c r="U131" s="34"/>
      <c r="V131" s="34"/>
      <c r="W131" s="34"/>
      <c r="X131" s="34"/>
    </row>
    <row r="132" spans="1:24" s="13" customFormat="1" ht="17.25" customHeight="1" x14ac:dyDescent="0.25">
      <c r="A132" s="34"/>
      <c r="B132" s="13" t="str">
        <f t="shared" si="43"/>
        <v>E</v>
      </c>
      <c r="C132" s="493" t="s">
        <v>1978</v>
      </c>
      <c r="D132" s="44">
        <f t="shared" ca="1" si="53"/>
        <v>0</v>
      </c>
      <c r="E132" s="34">
        <f t="shared" ca="1" si="54"/>
        <v>0</v>
      </c>
      <c r="F132" s="35">
        <f t="shared" ca="1" si="44"/>
        <v>0</v>
      </c>
      <c r="G132" s="35">
        <f t="shared" ca="1" si="45"/>
        <v>0</v>
      </c>
      <c r="H132" s="35">
        <f t="shared" ca="1" si="46"/>
        <v>0</v>
      </c>
      <c r="I132" s="34" t="str">
        <f t="shared" si="47"/>
        <v>Ferengi Conglomerate</v>
      </c>
      <c r="J132" s="33" t="str">
        <f t="shared" ca="1" si="48"/>
        <v/>
      </c>
      <c r="K132" s="33" t="str">
        <f t="shared" ca="1" si="42"/>
        <v/>
      </c>
      <c r="L132" s="33" t="str">
        <f t="shared" ca="1" si="49"/>
        <v xml:space="preserve"> | </v>
      </c>
      <c r="M132" s="33" t="str">
        <f t="shared" ca="1" si="50"/>
        <v xml:space="preserve"> | </v>
      </c>
      <c r="N132" s="33" t="str">
        <f t="shared" ca="1" si="51"/>
        <v xml:space="preserve"> | </v>
      </c>
      <c r="O132" s="84" t="str">
        <f t="shared" ca="1" si="52"/>
        <v>CM: Increase Protected Cargo OA: Increase Mining Speed</v>
      </c>
      <c r="Q132" s="34"/>
      <c r="R132" s="34"/>
      <c r="S132" s="34"/>
      <c r="T132" s="34"/>
      <c r="U132" s="34"/>
      <c r="V132" s="34"/>
      <c r="W132" s="34"/>
      <c r="X132" s="34"/>
    </row>
    <row r="133" spans="1:24" s="13" customFormat="1" ht="17.25" customHeight="1" x14ac:dyDescent="0.25">
      <c r="A133" s="34"/>
      <c r="B133" s="13" t="str">
        <f t="shared" si="43"/>
        <v>R</v>
      </c>
      <c r="C133" s="493" t="s">
        <v>79</v>
      </c>
      <c r="D133" s="44">
        <f t="shared" ca="1" si="53"/>
        <v>0</v>
      </c>
      <c r="E133" s="34">
        <f t="shared" ca="1" si="54"/>
        <v>0</v>
      </c>
      <c r="F133" s="35">
        <f t="shared" ca="1" si="44"/>
        <v>0</v>
      </c>
      <c r="G133" s="35">
        <f t="shared" ca="1" si="45"/>
        <v>0</v>
      </c>
      <c r="H133" s="35">
        <f t="shared" ca="1" si="46"/>
        <v>0</v>
      </c>
      <c r="I133" s="34" t="str">
        <f t="shared" si="47"/>
        <v>Khan's Crew</v>
      </c>
      <c r="J133" s="33" t="str">
        <f t="shared" ca="1" si="48"/>
        <v/>
      </c>
      <c r="K133" s="33" t="str">
        <f t="shared" ca="1" si="42"/>
        <v/>
      </c>
      <c r="L133" s="33" t="str">
        <f t="shared" ca="1" si="49"/>
        <v xml:space="preserve"> | </v>
      </c>
      <c r="M133" s="33" t="str">
        <f t="shared" ca="1" si="50"/>
        <v xml:space="preserve"> | Y</v>
      </c>
      <c r="N133" s="33" t="str">
        <f t="shared" ca="1" si="51"/>
        <v xml:space="preserve"> | </v>
      </c>
      <c r="O133" s="84" t="str">
        <f t="shared" ca="1" si="52"/>
        <v>CM: Increase damage when own ship has hull breach. OA: Increase Critical Hit chances when own ship hass Hull Breach</v>
      </c>
      <c r="Q133" s="34"/>
      <c r="R133" s="34"/>
      <c r="S133" s="34"/>
      <c r="T133" s="34"/>
      <c r="U133" s="34"/>
      <c r="V133" s="34"/>
      <c r="W133" s="34"/>
      <c r="X133" s="34"/>
    </row>
    <row r="134" spans="1:24" s="13" customFormat="1" ht="17.25" customHeight="1" x14ac:dyDescent="0.25">
      <c r="A134" s="34"/>
      <c r="B134" s="13" t="str">
        <f t="shared" si="43"/>
        <v>R</v>
      </c>
      <c r="C134" s="493" t="s">
        <v>88</v>
      </c>
      <c r="D134" s="44">
        <f t="shared" ca="1" si="53"/>
        <v>0</v>
      </c>
      <c r="E134" s="34">
        <f t="shared" ca="1" si="54"/>
        <v>0</v>
      </c>
      <c r="F134" s="35">
        <f t="shared" ca="1" si="44"/>
        <v>0</v>
      </c>
      <c r="G134" s="35">
        <f t="shared" ca="1" si="45"/>
        <v>0</v>
      </c>
      <c r="H134" s="35">
        <f t="shared" ca="1" si="46"/>
        <v>0</v>
      </c>
      <c r="I134" s="34" t="str">
        <f t="shared" si="47"/>
        <v>Mudd's Crew</v>
      </c>
      <c r="J134" s="33" t="str">
        <f t="shared" ca="1" si="48"/>
        <v/>
      </c>
      <c r="K134" s="33" t="str">
        <f t="shared" ca="1" si="42"/>
        <v/>
      </c>
      <c r="L134" s="33" t="str">
        <f t="shared" ca="1" si="49"/>
        <v xml:space="preserve"> | </v>
      </c>
      <c r="M134" s="33" t="str">
        <f t="shared" ca="1" si="50"/>
        <v xml:space="preserve"> | </v>
      </c>
      <c r="N134" s="33" t="str">
        <f t="shared" ca="1" si="51"/>
        <v xml:space="preserve"> | </v>
      </c>
      <c r="O134" s="84" t="str">
        <f t="shared" ca="1" si="52"/>
        <v>CM: Increase Captains Stats OA: Chance to increase damage by 300% of Officer Attack</v>
      </c>
      <c r="Q134" s="34"/>
      <c r="R134" s="34"/>
      <c r="S134" s="34"/>
      <c r="T134" s="34"/>
      <c r="U134" s="34"/>
      <c r="V134" s="34"/>
      <c r="W134" s="34"/>
      <c r="X134" s="34"/>
    </row>
    <row r="135" spans="1:24" s="13" customFormat="1" ht="17.25" customHeight="1" x14ac:dyDescent="0.25">
      <c r="A135" s="34"/>
      <c r="B135" s="13" t="str">
        <f t="shared" si="43"/>
        <v>E</v>
      </c>
      <c r="C135" s="493" t="s">
        <v>2180</v>
      </c>
      <c r="D135" s="44">
        <f t="shared" ca="1" si="53"/>
        <v>0</v>
      </c>
      <c r="E135" s="34">
        <f t="shared" ca="1" si="54"/>
        <v>0</v>
      </c>
      <c r="F135" s="35">
        <f t="shared" ca="1" si="44"/>
        <v>0</v>
      </c>
      <c r="G135" s="35">
        <f t="shared" ca="1" si="45"/>
        <v>0</v>
      </c>
      <c r="H135" s="35">
        <f t="shared" ca="1" si="46"/>
        <v>0</v>
      </c>
      <c r="I135" s="34" t="str">
        <f t="shared" si="47"/>
        <v>Ferengi Conglomerate</v>
      </c>
      <c r="J135" s="33" t="str">
        <f ca="1">IFERROR(IF($O$20="Abilities",VLOOKUP(C135,INDIRECT($O$20),6,FALSE),""),"")</f>
        <v/>
      </c>
      <c r="K135" s="33" t="str">
        <f t="shared" ca="1" si="42"/>
        <v/>
      </c>
      <c r="L135" s="33" t="str">
        <f t="shared" ca="1" si="49"/>
        <v xml:space="preserve"> | </v>
      </c>
      <c r="M135" s="33" t="str">
        <f t="shared" ca="1" si="50"/>
        <v xml:space="preserve"> | </v>
      </c>
      <c r="N135" s="33" t="str">
        <f t="shared" ca="1" si="51"/>
        <v xml:space="preserve"> | </v>
      </c>
      <c r="O135" s="84" t="str">
        <f t="shared" ca="1" si="52"/>
        <v>CM: When attacking a station, delays ship and pltatform weapons by 1 round OA: When attacking a station, increases number of shots of weapons</v>
      </c>
      <c r="Q135" s="34"/>
      <c r="R135" s="34"/>
      <c r="S135" s="34"/>
      <c r="T135" s="34"/>
      <c r="U135" s="34"/>
      <c r="V135" s="34"/>
      <c r="W135" s="34"/>
      <c r="X135" s="34"/>
    </row>
    <row r="136" spans="1:24" s="13" customFormat="1" ht="17.25" customHeight="1" x14ac:dyDescent="0.25">
      <c r="A136" s="34"/>
      <c r="B136" s="13" t="str">
        <f t="shared" si="43"/>
        <v>C</v>
      </c>
      <c r="C136" s="493" t="s">
        <v>7</v>
      </c>
      <c r="D136" s="44">
        <f t="shared" ca="1" si="53"/>
        <v>0</v>
      </c>
      <c r="E136" s="34">
        <f t="shared" ca="1" si="54"/>
        <v>0</v>
      </c>
      <c r="F136" s="35">
        <f t="shared" ca="1" si="44"/>
        <v>0</v>
      </c>
      <c r="G136" s="35">
        <f t="shared" ca="1" si="45"/>
        <v>0</v>
      </c>
      <c r="H136" s="35">
        <f t="shared" ca="1" si="46"/>
        <v>0</v>
      </c>
      <c r="I136" s="34" t="str">
        <f t="shared" si="47"/>
        <v>Glory in the Kill</v>
      </c>
      <c r="J136" s="33" t="str">
        <f t="shared" ref="J136:J179" ca="1" si="55">IFERROR(IF($O$20="Abilities",VLOOKUP(C136,INDIRECT($O$20),6,FALSE)*100 &amp; "%",""),"")</f>
        <v/>
      </c>
      <c r="K136" s="33" t="str">
        <f t="shared" ca="1" si="42"/>
        <v/>
      </c>
      <c r="L136" s="33" t="str">
        <f t="shared" ca="1" si="49"/>
        <v xml:space="preserve"> | </v>
      </c>
      <c r="M136" s="33" t="str">
        <f t="shared" ca="1" si="50"/>
        <v xml:space="preserve"> | </v>
      </c>
      <c r="N136" s="33" t="str">
        <f t="shared" ca="1" si="51"/>
        <v xml:space="preserve"> | </v>
      </c>
      <c r="O136" s="84" t="str">
        <f t="shared" ca="1" si="52"/>
        <v>CM: Increase damage against players when in an Explorer OA: Increase Energy Weapon Damage against other ships</v>
      </c>
      <c r="Q136" s="34"/>
      <c r="R136" s="34"/>
      <c r="S136" s="34"/>
      <c r="T136" s="34"/>
      <c r="U136" s="34"/>
      <c r="V136" s="34"/>
      <c r="W136" s="34"/>
      <c r="X136" s="34"/>
    </row>
    <row r="137" spans="1:24" s="13" customFormat="1" ht="17.25" customHeight="1" x14ac:dyDescent="0.25">
      <c r="A137" s="34"/>
      <c r="B137" s="13" t="str">
        <f t="shared" si="43"/>
        <v>R</v>
      </c>
      <c r="C137" s="493" t="s">
        <v>87</v>
      </c>
      <c r="D137" s="44">
        <f t="shared" ca="1" si="53"/>
        <v>0</v>
      </c>
      <c r="E137" s="34">
        <f t="shared" ca="1" si="54"/>
        <v>0</v>
      </c>
      <c r="F137" s="35">
        <f t="shared" ca="1" si="44"/>
        <v>0</v>
      </c>
      <c r="G137" s="35">
        <f t="shared" ca="1" si="45"/>
        <v>0</v>
      </c>
      <c r="H137" s="35">
        <f t="shared" ca="1" si="46"/>
        <v>0</v>
      </c>
      <c r="I137" s="34" t="str">
        <f t="shared" si="47"/>
        <v>Discovery Crew</v>
      </c>
      <c r="J137" s="33" t="str">
        <f t="shared" ca="1" si="55"/>
        <v/>
      </c>
      <c r="K137" s="33" t="str">
        <f t="shared" ca="1" si="42"/>
        <v/>
      </c>
      <c r="L137" s="33" t="str">
        <f t="shared" ca="1" si="49"/>
        <v xml:space="preserve"> | </v>
      </c>
      <c r="M137" s="33" t="str">
        <f t="shared" ca="1" si="50"/>
        <v xml:space="preserve"> | </v>
      </c>
      <c r="N137" s="33" t="str">
        <f t="shared" ca="1" si="51"/>
        <v xml:space="preserve"> | </v>
      </c>
      <c r="O137" s="84" t="str">
        <f t="shared" ca="1" si="52"/>
        <v>CM: Decrease opponents Critical Hit Chance when receiving a critical hit OA: Decrease Opponent's Weapon damage</v>
      </c>
      <c r="Q137" s="34"/>
      <c r="R137" s="34"/>
      <c r="S137" s="34"/>
      <c r="T137" s="34"/>
      <c r="U137" s="34"/>
      <c r="V137" s="34"/>
      <c r="W137" s="34"/>
      <c r="X137" s="34"/>
    </row>
    <row r="138" spans="1:24" s="13" customFormat="1" ht="17.25" customHeight="1" x14ac:dyDescent="0.25">
      <c r="A138" s="34"/>
      <c r="B138" s="13" t="str">
        <f t="shared" si="43"/>
        <v>U</v>
      </c>
      <c r="C138" s="493" t="s">
        <v>39</v>
      </c>
      <c r="D138" s="44">
        <f t="shared" ca="1" si="53"/>
        <v>0</v>
      </c>
      <c r="E138" s="34">
        <f t="shared" ca="1" si="54"/>
        <v>0</v>
      </c>
      <c r="F138" s="35">
        <f t="shared" ca="1" si="44"/>
        <v>0</v>
      </c>
      <c r="G138" s="35">
        <f t="shared" ca="1" si="45"/>
        <v>0</v>
      </c>
      <c r="H138" s="35">
        <f t="shared" ca="1" si="46"/>
        <v>0</v>
      </c>
      <c r="I138" s="34" t="str">
        <f t="shared" si="47"/>
        <v>Enterprise Crew</v>
      </c>
      <c r="J138" s="33" t="str">
        <f t="shared" ca="1" si="55"/>
        <v/>
      </c>
      <c r="K138" s="33" t="str">
        <f t="shared" ca="1" si="42"/>
        <v/>
      </c>
      <c r="L138" s="33" t="str">
        <f t="shared" ca="1" si="49"/>
        <v xml:space="preserve"> | </v>
      </c>
      <c r="M138" s="33" t="str">
        <f t="shared" ca="1" si="50"/>
        <v xml:space="preserve"> | </v>
      </c>
      <c r="N138" s="33" t="str">
        <f t="shared" ca="1" si="51"/>
        <v xml:space="preserve"> | </v>
      </c>
      <c r="O138" s="84" t="str">
        <f t="shared" ca="1" si="52"/>
        <v>CM: Increase Ships repair speed OA: Increase ship's Hull Health</v>
      </c>
      <c r="Q138" s="34"/>
      <c r="R138" s="34"/>
      <c r="S138" s="34"/>
      <c r="T138" s="34"/>
      <c r="U138" s="34"/>
      <c r="V138" s="34"/>
      <c r="W138" s="34"/>
      <c r="X138" s="34"/>
    </row>
    <row r="139" spans="1:24" s="13" customFormat="1" ht="17.25" customHeight="1" x14ac:dyDescent="0.25">
      <c r="A139" s="34"/>
      <c r="B139" s="13" t="str">
        <f t="shared" si="43"/>
        <v>E</v>
      </c>
      <c r="C139" s="493" t="s">
        <v>1653</v>
      </c>
      <c r="D139" s="44">
        <f t="shared" ca="1" si="53"/>
        <v>0</v>
      </c>
      <c r="E139" s="34">
        <f t="shared" ca="1" si="54"/>
        <v>0</v>
      </c>
      <c r="F139" s="35">
        <f t="shared" ca="1" si="44"/>
        <v>0</v>
      </c>
      <c r="G139" s="35">
        <f t="shared" ca="1" si="45"/>
        <v>0</v>
      </c>
      <c r="H139" s="35">
        <f t="shared" ca="1" si="46"/>
        <v>0</v>
      </c>
      <c r="I139" s="34" t="str">
        <f t="shared" si="47"/>
        <v>Pride Of Romulus</v>
      </c>
      <c r="J139" s="33" t="str">
        <f t="shared" ca="1" si="55"/>
        <v/>
      </c>
      <c r="K139" s="33" t="str">
        <f t="shared" ca="1" si="42"/>
        <v/>
      </c>
      <c r="L139" s="33" t="str">
        <f t="shared" ca="1" si="49"/>
        <v xml:space="preserve"> | </v>
      </c>
      <c r="M139" s="33" t="str">
        <f t="shared" ca="1" si="50"/>
        <v xml:space="preserve"> | </v>
      </c>
      <c r="N139" s="33" t="str">
        <f t="shared" ca="1" si="51"/>
        <v xml:space="preserve"> | </v>
      </c>
      <c r="O139" s="84" t="str">
        <f t="shared" ca="1" si="52"/>
        <v>CM: Increase Critical Hit Damage while cloaked OA: Decrease enemy player's Critical Hit Chance every time the ship scores a hit</v>
      </c>
      <c r="Q139" s="34"/>
      <c r="R139" s="34"/>
      <c r="S139" s="34"/>
      <c r="T139" s="34"/>
      <c r="U139" s="34"/>
      <c r="V139" s="34"/>
      <c r="W139" s="34"/>
      <c r="X139" s="34"/>
    </row>
    <row r="140" spans="1:24" s="13" customFormat="1" ht="17.25" customHeight="1" x14ac:dyDescent="0.25">
      <c r="A140" s="34"/>
      <c r="B140" s="13" t="str">
        <f t="shared" si="43"/>
        <v>C</v>
      </c>
      <c r="C140" s="493" t="s">
        <v>92</v>
      </c>
      <c r="D140" s="44">
        <f t="shared" ca="1" si="53"/>
        <v>0</v>
      </c>
      <c r="E140" s="34">
        <f t="shared" ca="1" si="54"/>
        <v>0</v>
      </c>
      <c r="F140" s="35">
        <f t="shared" ca="1" si="44"/>
        <v>0</v>
      </c>
      <c r="G140" s="35">
        <f t="shared" ca="1" si="45"/>
        <v>0</v>
      </c>
      <c r="H140" s="35">
        <f t="shared" ca="1" si="46"/>
        <v>0</v>
      </c>
      <c r="I140" s="34" t="str">
        <f t="shared" si="47"/>
        <v>Mudd's Crew</v>
      </c>
      <c r="J140" s="33" t="str">
        <f t="shared" ca="1" si="55"/>
        <v/>
      </c>
      <c r="K140" s="33" t="str">
        <f t="shared" ca="1" si="42"/>
        <v/>
      </c>
      <c r="L140" s="33" t="str">
        <f t="shared" ca="1" si="49"/>
        <v xml:space="preserve"> | </v>
      </c>
      <c r="M140" s="33" t="str">
        <f t="shared" ca="1" si="50"/>
        <v xml:space="preserve"> | </v>
      </c>
      <c r="N140" s="33" t="str">
        <f t="shared" ca="1" si="51"/>
        <v xml:space="preserve"> | </v>
      </c>
      <c r="O140" s="84" t="str">
        <f t="shared" ca="1" si="52"/>
        <v>CM: Decrease Eclipse hostile's Critical Hit Chance by 15% OA: Increase Critical Hit Damage aginst Eclipse Hostiles</v>
      </c>
      <c r="Q140" s="34"/>
      <c r="R140" s="34"/>
      <c r="S140" s="34"/>
      <c r="T140" s="34"/>
      <c r="U140" s="34"/>
      <c r="V140" s="34"/>
      <c r="W140" s="34"/>
      <c r="X140" s="34"/>
    </row>
    <row r="141" spans="1:24" s="13" customFormat="1" ht="17.25" customHeight="1" x14ac:dyDescent="0.25">
      <c r="A141" s="34"/>
      <c r="B141" s="13" t="str">
        <f t="shared" si="43"/>
        <v>R</v>
      </c>
      <c r="C141" s="493" t="s">
        <v>1643</v>
      </c>
      <c r="D141" s="44">
        <f ca="1">IFERROR(INDEX(ImportLevel,MATCH(C141,ImportOfficerList,0)),IFERROR(INDEX(ImportLevel,MATCH("7 of 10",ImportOfficerList,0)),0))</f>
        <v>0</v>
      </c>
      <c r="E141" s="34">
        <f ca="1">IFERROR(INDEX(ImportRank,MATCH(C141,ImportOfficerList,0)),IFERROR(INDEX(ImportRank,MATCH("7 of 10",ImportOfficerList,0)),0))</f>
        <v>0</v>
      </c>
      <c r="F141" s="35">
        <f t="shared" ca="1" si="44"/>
        <v>0</v>
      </c>
      <c r="G141" s="35">
        <f t="shared" ca="1" si="45"/>
        <v>0</v>
      </c>
      <c r="H141" s="35">
        <f t="shared" ca="1" si="46"/>
        <v>0</v>
      </c>
      <c r="I141" s="34" t="str">
        <f t="shared" si="47"/>
        <v>Unimatrix Twelve</v>
      </c>
      <c r="J141" s="33" t="str">
        <f t="shared" ca="1" si="55"/>
        <v/>
      </c>
      <c r="K141" s="33" t="str">
        <f t="shared" ca="1" si="42"/>
        <v/>
      </c>
      <c r="L141" s="33" t="str">
        <f t="shared" ca="1" si="49"/>
        <v xml:space="preserve"> | </v>
      </c>
      <c r="M141" s="33" t="str">
        <f t="shared" ca="1" si="50"/>
        <v xml:space="preserve"> | </v>
      </c>
      <c r="N141" s="33" t="str">
        <f t="shared" ca="1" si="51"/>
        <v xml:space="preserve"> | </v>
      </c>
      <c r="O141" s="84" t="str">
        <f t="shared" ca="1" si="52"/>
        <v>CM: Chance to add 2 shots to each weapon when fighting Borg OA: Increase Health of all Officers on the ship</v>
      </c>
      <c r="Q141" s="34"/>
      <c r="R141" s="34"/>
      <c r="S141" s="34"/>
      <c r="T141" s="34"/>
      <c r="U141" s="34"/>
      <c r="V141" s="34"/>
      <c r="W141" s="34"/>
      <c r="X141" s="34"/>
    </row>
    <row r="142" spans="1:24" s="13" customFormat="1" ht="17.25" customHeight="1" x14ac:dyDescent="0.25">
      <c r="A142" s="34"/>
      <c r="B142" s="13" t="str">
        <f t="shared" si="43"/>
        <v>U</v>
      </c>
      <c r="C142" s="493" t="s">
        <v>74</v>
      </c>
      <c r="D142" s="44">
        <f ca="1">IFERROR(INDEX(ImportLevel,MATCH(C142,ImportOfficerList,0)),0)</f>
        <v>0</v>
      </c>
      <c r="E142" s="34">
        <f ca="1">IFERROR(INDEX(ImportRank,MATCH(C142,ImportOfficerList,0)),0)</f>
        <v>0</v>
      </c>
      <c r="F142" s="35">
        <f t="shared" ca="1" si="44"/>
        <v>0</v>
      </c>
      <c r="G142" s="35">
        <f t="shared" ca="1" si="45"/>
        <v>0</v>
      </c>
      <c r="H142" s="35">
        <f t="shared" ca="1" si="46"/>
        <v>0</v>
      </c>
      <c r="I142" s="34" t="str">
        <f t="shared" si="47"/>
        <v>Romulan Patriots</v>
      </c>
      <c r="J142" s="33" t="str">
        <f t="shared" ca="1" si="55"/>
        <v/>
      </c>
      <c r="K142" s="33" t="str">
        <f t="shared" ca="1" si="42"/>
        <v/>
      </c>
      <c r="L142" s="33" t="str">
        <f t="shared" ca="1" si="49"/>
        <v xml:space="preserve"> | Y</v>
      </c>
      <c r="M142" s="33" t="str">
        <f t="shared" ca="1" si="50"/>
        <v xml:space="preserve"> | </v>
      </c>
      <c r="N142" s="33" t="str">
        <f t="shared" ca="1" si="51"/>
        <v xml:space="preserve"> | </v>
      </c>
      <c r="O142" s="84" t="str">
        <f t="shared" ca="1" si="52"/>
        <v>CM: Decrease opponent's Hull Health each round if own ship is burning OA: Increase Damage if own ship is burning</v>
      </c>
      <c r="Q142" s="34"/>
      <c r="R142" s="34"/>
      <c r="S142" s="34"/>
      <c r="T142" s="34"/>
      <c r="U142" s="34"/>
      <c r="V142" s="34"/>
      <c r="W142" s="34"/>
      <c r="X142" s="34"/>
    </row>
    <row r="143" spans="1:24" s="13" customFormat="1" ht="17.25" customHeight="1" x14ac:dyDescent="0.25">
      <c r="A143" s="34"/>
      <c r="B143" s="13" t="str">
        <f t="shared" si="43"/>
        <v>C</v>
      </c>
      <c r="C143" s="493" t="s">
        <v>8</v>
      </c>
      <c r="D143" s="44">
        <f ca="1">IFERROR(INDEX(ImportLevel,MATCH(C143,ImportOfficerList,0)),0)</f>
        <v>0</v>
      </c>
      <c r="E143" s="34">
        <f ca="1">IFERROR(INDEX(ImportRank,MATCH(C143,ImportOfficerList,0)),0)</f>
        <v>0</v>
      </c>
      <c r="F143" s="35">
        <f t="shared" ca="1" si="44"/>
        <v>0</v>
      </c>
      <c r="G143" s="35">
        <f t="shared" ca="1" si="45"/>
        <v>0</v>
      </c>
      <c r="H143" s="35">
        <f t="shared" ca="1" si="46"/>
        <v>0</v>
      </c>
      <c r="I143" s="34" t="str">
        <f t="shared" si="47"/>
        <v>Starfleet Academy</v>
      </c>
      <c r="J143" s="33" t="str">
        <f t="shared" ca="1" si="55"/>
        <v/>
      </c>
      <c r="K143" s="33" t="str">
        <f t="shared" ca="1" si="42"/>
        <v/>
      </c>
      <c r="L143" s="33" t="str">
        <f t="shared" ca="1" si="49"/>
        <v xml:space="preserve"> | </v>
      </c>
      <c r="M143" s="33" t="str">
        <f t="shared" ca="1" si="50"/>
        <v xml:space="preserve"> | </v>
      </c>
      <c r="N143" s="33" t="str">
        <f t="shared" ca="1" si="51"/>
        <v xml:space="preserve"> | </v>
      </c>
      <c r="O143" s="84" t="str">
        <f t="shared" ca="1" si="52"/>
        <v>CM: Increase Tritanium rewards from Hostiles OA: Increase Energy Damage against Hostiles</v>
      </c>
      <c r="Q143" s="34"/>
      <c r="R143" s="34"/>
      <c r="S143" s="34"/>
      <c r="T143" s="34"/>
      <c r="U143" s="34"/>
      <c r="V143" s="34"/>
      <c r="W143" s="34"/>
      <c r="X143" s="34"/>
    </row>
    <row r="144" spans="1:24" s="13" customFormat="1" ht="17.25" customHeight="1" x14ac:dyDescent="0.25">
      <c r="A144" s="34"/>
      <c r="B144" s="13" t="str">
        <f t="shared" si="43"/>
        <v>E</v>
      </c>
      <c r="C144" s="493" t="s">
        <v>1642</v>
      </c>
      <c r="D144" s="44">
        <f ca="1">IFERROR(INDEX(ImportLevel,MATCH(C144,ImportOfficerList,0)),IFERROR(INDEX(ImportLevel,MATCH("6 of 10",ImportOfficerList,0)),0))</f>
        <v>0</v>
      </c>
      <c r="E144" s="34">
        <f ca="1">IFERROR(INDEX(ImportRank,MATCH(C144,ImportOfficerList,0)),IFERROR(INDEX(ImportRank,MATCH("6 of 10",ImportOfficerList,0)),0))</f>
        <v>0</v>
      </c>
      <c r="F144" s="35">
        <f t="shared" ca="1" si="44"/>
        <v>0</v>
      </c>
      <c r="G144" s="35">
        <f t="shared" ca="1" si="45"/>
        <v>0</v>
      </c>
      <c r="H144" s="35">
        <f t="shared" ca="1" si="46"/>
        <v>0</v>
      </c>
      <c r="I144" s="34" t="str">
        <f t="shared" si="47"/>
        <v>Unimatrix Twelve</v>
      </c>
      <c r="J144" s="33" t="str">
        <f t="shared" ca="1" si="55"/>
        <v/>
      </c>
      <c r="K144" s="33" t="str">
        <f t="shared" ref="K144:K179" ca="1" si="56">IFERROR(IF($O$20="Abilities",VLOOKUP(C144,INDIRECT($O$20),7,FALSE)*100 &amp; "%",""),"")</f>
        <v/>
      </c>
      <c r="L144" s="33" t="str">
        <f t="shared" ca="1" si="49"/>
        <v xml:space="preserve"> | </v>
      </c>
      <c r="M144" s="33" t="str">
        <f t="shared" ca="1" si="50"/>
        <v xml:space="preserve"> | </v>
      </c>
      <c r="N144" s="33" t="str">
        <f t="shared" ca="1" si="51"/>
        <v xml:space="preserve"> | </v>
      </c>
      <c r="O144" s="84" t="str">
        <f t="shared" ca="1" si="52"/>
        <v>CM: Decrease opponent SHP when hitting by Defence OA: Increase Penetration to Armadas by Attack</v>
      </c>
      <c r="Q144" s="34"/>
      <c r="R144" s="34"/>
      <c r="S144" s="34"/>
      <c r="T144" s="34"/>
      <c r="U144" s="34"/>
      <c r="V144" s="34"/>
      <c r="W144" s="34"/>
      <c r="X144" s="34"/>
    </row>
    <row r="145" spans="1:24" s="13" customFormat="1" ht="17.25" customHeight="1" x14ac:dyDescent="0.25">
      <c r="A145" s="34"/>
      <c r="B145" s="13" t="str">
        <f t="shared" si="43"/>
        <v>R</v>
      </c>
      <c r="C145" s="493" t="s">
        <v>23</v>
      </c>
      <c r="D145" s="44">
        <f ca="1">IFERROR(INDEX(ImportLevel,MATCH(C145,ImportOfficerList,0)),0)</f>
        <v>0</v>
      </c>
      <c r="E145" s="34">
        <f ca="1">IFERROR(INDEX(ImportRank,MATCH(C145,ImportOfficerList,0)),0)</f>
        <v>0</v>
      </c>
      <c r="F145" s="35">
        <f t="shared" ca="1" si="44"/>
        <v>0</v>
      </c>
      <c r="G145" s="35">
        <f t="shared" ca="1" si="45"/>
        <v>0</v>
      </c>
      <c r="H145" s="35">
        <f t="shared" ca="1" si="46"/>
        <v>0</v>
      </c>
      <c r="I145" s="34" t="str">
        <f t="shared" si="47"/>
        <v>Enterprise Crew</v>
      </c>
      <c r="J145" s="33" t="str">
        <f t="shared" ca="1" si="55"/>
        <v/>
      </c>
      <c r="K145" s="33" t="str">
        <f t="shared" ca="1" si="56"/>
        <v/>
      </c>
      <c r="L145" s="33" t="str">
        <f t="shared" ca="1" si="49"/>
        <v xml:space="preserve"> | </v>
      </c>
      <c r="M145" s="33" t="str">
        <f t="shared" ca="1" si="50"/>
        <v xml:space="preserve"> | </v>
      </c>
      <c r="N145" s="33" t="str">
        <f t="shared" ca="1" si="51"/>
        <v xml:space="preserve"> | Y</v>
      </c>
      <c r="O145" s="84" t="str">
        <f t="shared" ca="1" si="52"/>
        <v>CM: Increase Accuracy at the start of each round OA: Restore Shield by % of crew's Defence when having Morale</v>
      </c>
      <c r="Q145" s="34"/>
      <c r="R145" s="34"/>
      <c r="S145" s="34"/>
      <c r="T145" s="34"/>
      <c r="U145" s="34"/>
      <c r="V145" s="34"/>
      <c r="W145" s="34"/>
      <c r="X145" s="34"/>
    </row>
    <row r="146" spans="1:24" s="13" customFormat="1" ht="17.25" customHeight="1" x14ac:dyDescent="0.25">
      <c r="A146" s="34"/>
      <c r="B146" s="13" t="str">
        <f t="shared" si="43"/>
        <v>R</v>
      </c>
      <c r="C146" s="493" t="s">
        <v>24</v>
      </c>
      <c r="D146" s="44">
        <f ca="1">IFERROR(INDEX(ImportLevel,MATCH(C146,ImportOfficerList,0)),0)</f>
        <v>0</v>
      </c>
      <c r="E146" s="34">
        <f ca="1">IFERROR(INDEX(ImportRank,MATCH(C146,ImportOfficerList,0)),0)</f>
        <v>0</v>
      </c>
      <c r="F146" s="35">
        <f t="shared" ca="1" si="44"/>
        <v>0</v>
      </c>
      <c r="G146" s="35">
        <f t="shared" ca="1" si="45"/>
        <v>0</v>
      </c>
      <c r="H146" s="35">
        <f t="shared" ca="1" si="46"/>
        <v>0</v>
      </c>
      <c r="I146" s="34" t="str">
        <f t="shared" si="47"/>
        <v>Surveyors &amp; Miners</v>
      </c>
      <c r="J146" s="33" t="str">
        <f t="shared" ca="1" si="55"/>
        <v/>
      </c>
      <c r="K146" s="33" t="str">
        <f t="shared" ca="1" si="56"/>
        <v/>
      </c>
      <c r="L146" s="33" t="str">
        <f t="shared" ca="1" si="49"/>
        <v xml:space="preserve"> | </v>
      </c>
      <c r="M146" s="33" t="str">
        <f t="shared" ca="1" si="50"/>
        <v xml:space="preserve"> | </v>
      </c>
      <c r="N146" s="33" t="str">
        <f t="shared" ca="1" si="51"/>
        <v xml:space="preserve"> | </v>
      </c>
      <c r="O146" s="84" t="str">
        <f t="shared" ca="1" si="52"/>
        <v>CM: Increase Mining Speed (Ore) OA: Increase Cargo size</v>
      </c>
      <c r="Q146" s="34"/>
      <c r="R146" s="34"/>
      <c r="S146" s="34"/>
      <c r="T146" s="34"/>
      <c r="U146" s="34"/>
      <c r="V146" s="34"/>
      <c r="W146" s="34"/>
      <c r="X146" s="34"/>
    </row>
    <row r="147" spans="1:24" s="13" customFormat="1" ht="17.25" customHeight="1" x14ac:dyDescent="0.25">
      <c r="A147" s="34"/>
      <c r="B147" s="13" t="str">
        <f t="shared" si="43"/>
        <v>U</v>
      </c>
      <c r="C147" s="493" t="s">
        <v>30</v>
      </c>
      <c r="D147" s="44">
        <f ca="1">IFERROR(INDEX(ImportLevel,MATCH(C147,ImportOfficerList,0)),0)</f>
        <v>0</v>
      </c>
      <c r="E147" s="34">
        <f ca="1">IFERROR(INDEX(ImportRank,MATCH(C147,ImportOfficerList,0)),0)</f>
        <v>0</v>
      </c>
      <c r="F147" s="35">
        <f t="shared" ca="1" si="44"/>
        <v>0</v>
      </c>
      <c r="G147" s="35">
        <f t="shared" ca="1" si="45"/>
        <v>0</v>
      </c>
      <c r="H147" s="35">
        <f t="shared" ca="1" si="46"/>
        <v>0</v>
      </c>
      <c r="I147" s="34" t="str">
        <f t="shared" si="47"/>
        <v>Enterprise Crew</v>
      </c>
      <c r="J147" s="33" t="str">
        <f t="shared" ca="1" si="55"/>
        <v/>
      </c>
      <c r="K147" s="33" t="str">
        <f t="shared" ca="1" si="56"/>
        <v/>
      </c>
      <c r="L147" s="33" t="str">
        <f t="shared" ca="1" si="49"/>
        <v xml:space="preserve"> | </v>
      </c>
      <c r="M147" s="33" t="str">
        <f t="shared" ca="1" si="50"/>
        <v xml:space="preserve"> | </v>
      </c>
      <c r="N147" s="33" t="str">
        <f t="shared" ca="1" si="51"/>
        <v>Y | Y</v>
      </c>
      <c r="O147" s="84" t="str">
        <f t="shared" ca="1" si="52"/>
        <v>CM: Chance to inspire Morale when being hit by a critical hit OA: Increase Energy Damage when ship has Morale</v>
      </c>
      <c r="Q147" s="34"/>
      <c r="R147" s="34"/>
      <c r="S147" s="34"/>
      <c r="T147" s="34"/>
      <c r="U147" s="34"/>
      <c r="V147" s="34"/>
      <c r="W147" s="34"/>
      <c r="X147" s="34"/>
    </row>
    <row r="148" spans="1:24" s="13" customFormat="1" ht="17.25" customHeight="1" x14ac:dyDescent="0.25">
      <c r="A148" s="34"/>
      <c r="B148" s="13" t="str">
        <f t="shared" si="43"/>
        <v>R</v>
      </c>
      <c r="C148" s="493" t="s">
        <v>101</v>
      </c>
      <c r="D148" s="44">
        <f ca="1">IFERROR(INDEX(ImportLevel,MATCH(C148,ImportOfficerList,0)),0)</f>
        <v>0</v>
      </c>
      <c r="E148" s="34">
        <f ca="1">IFERROR(INDEX(ImportRank,MATCH(C148,ImportOfficerList,0)),0)</f>
        <v>0</v>
      </c>
      <c r="F148" s="35">
        <f t="shared" ca="1" si="44"/>
        <v>0</v>
      </c>
      <c r="G148" s="35">
        <f t="shared" ca="1" si="45"/>
        <v>0</v>
      </c>
      <c r="H148" s="35">
        <f t="shared" ca="1" si="46"/>
        <v>0</v>
      </c>
      <c r="I148" s="34" t="str">
        <f t="shared" si="47"/>
        <v>Romulan Patriots</v>
      </c>
      <c r="J148" s="33" t="str">
        <f t="shared" ca="1" si="55"/>
        <v/>
      </c>
      <c r="K148" s="33" t="str">
        <f t="shared" ca="1" si="56"/>
        <v/>
      </c>
      <c r="L148" s="33" t="str">
        <f t="shared" ca="1" si="49"/>
        <v xml:space="preserve"> | Y</v>
      </c>
      <c r="M148" s="33" t="str">
        <f t="shared" ca="1" si="50"/>
        <v xml:space="preserve"> | </v>
      </c>
      <c r="N148" s="33" t="str">
        <f t="shared" ca="1" si="51"/>
        <v xml:space="preserve"> | </v>
      </c>
      <c r="O148" s="84" t="str">
        <f t="shared" ca="1" si="52"/>
        <v>CM: Increase damage against Battleships OA: Decrease the opponents Hull Health each turn while it is burning</v>
      </c>
      <c r="Q148" s="34"/>
      <c r="R148" s="34"/>
      <c r="S148" s="34"/>
      <c r="T148" s="34"/>
      <c r="U148" s="34"/>
      <c r="V148" s="34"/>
      <c r="W148" s="34"/>
      <c r="X148" s="34"/>
    </row>
    <row r="149" spans="1:24" s="13" customFormat="1" ht="17.25" customHeight="1" x14ac:dyDescent="0.25">
      <c r="A149" s="34"/>
      <c r="B149" s="13" t="str">
        <f t="shared" si="43"/>
        <v>R</v>
      </c>
      <c r="C149" s="493" t="s">
        <v>1534</v>
      </c>
      <c r="D149" s="44">
        <f ca="1">IFERROR(INDEX(ImportLevel,MATCH(C149,ImportOfficerList,0)),0)</f>
        <v>0</v>
      </c>
      <c r="E149" s="34">
        <f ca="1">IFERROR(INDEX(ImportRank,MATCH(C149,ImportOfficerList,0)),0)</f>
        <v>0</v>
      </c>
      <c r="F149" s="35">
        <f t="shared" ca="1" si="44"/>
        <v>0</v>
      </c>
      <c r="G149" s="35">
        <f t="shared" ca="1" si="45"/>
        <v>0</v>
      </c>
      <c r="H149" s="35">
        <f t="shared" ca="1" si="46"/>
        <v>0</v>
      </c>
      <c r="I149" s="34" t="str">
        <f t="shared" si="47"/>
        <v>TNG Crew</v>
      </c>
      <c r="J149" s="33" t="str">
        <f t="shared" ca="1" si="55"/>
        <v/>
      </c>
      <c r="K149" s="33" t="str">
        <f t="shared" ca="1" si="56"/>
        <v/>
      </c>
      <c r="L149" s="33" t="str">
        <f t="shared" ca="1" si="49"/>
        <v xml:space="preserve"> | </v>
      </c>
      <c r="M149" s="33" t="str">
        <f t="shared" ca="1" si="50"/>
        <v xml:space="preserve"> | </v>
      </c>
      <c r="N149" s="33" t="str">
        <f t="shared" ca="1" si="51"/>
        <v xml:space="preserve"> | </v>
      </c>
      <c r="O149" s="84" t="str">
        <f t="shared" ca="1" si="52"/>
        <v>CM: Reduces the Crit Chance of Mission Hostiles (yellow hostiles) OA: Increases all Weapon Damage against non-player targets</v>
      </c>
      <c r="Q149" s="34"/>
      <c r="R149" s="34"/>
      <c r="S149" s="34"/>
      <c r="T149" s="34"/>
      <c r="U149" s="34"/>
      <c r="V149" s="34"/>
      <c r="W149" s="34"/>
      <c r="X149" s="34"/>
    </row>
    <row r="150" spans="1:24" s="13" customFormat="1" ht="17.25" customHeight="1" x14ac:dyDescent="0.25">
      <c r="A150" s="34"/>
      <c r="B150" s="13" t="str">
        <f t="shared" ref="B150:B179" si="57">VLOOKUP(C150,OfficerScores,2,FALSE)</f>
        <v>E</v>
      </c>
      <c r="C150" s="493" t="s">
        <v>1647</v>
      </c>
      <c r="D150" s="44">
        <f ca="1">IFERROR(INDEX(ImportLevel,MATCH(C150,ImportOfficerList,0)),IFERROR(INDEX(ImportLevel,MATCH("10 of 10",ImportOfficerList,0)),0))</f>
        <v>0</v>
      </c>
      <c r="E150" s="34">
        <f ca="1">IFERROR(INDEX(ImportRank,MATCH(C150,ImportOfficerList,0)),IFERROR(INDEX(ImportRank,MATCH("10 of 10",ImportOfficerList,0)),0))</f>
        <v>0</v>
      </c>
      <c r="F150" s="35">
        <f t="shared" ref="F150:F179" ca="1" si="58">IF(D150&gt;0,VLOOKUP(C150,OfficerStats,IF(MaxLevel=TRUE,30,D150)*3-1,FALSE)*OfficerBonusA,IF(MaxLevel = TRUE,VLOOKUP(C150,OfficerStats,30*3-1,FALSE)*OfficerBonusA,0))</f>
        <v>0</v>
      </c>
      <c r="G150" s="35">
        <f t="shared" ref="G150:G179" ca="1" si="59">IF(D150&gt;0,VLOOKUP(C150,OfficerStats,IF(MaxLevel=TRUE,30,D150)*3,FALSE)*OfficerBonusD,IF(MaxLevel = TRUE,VLOOKUP(C150,OfficerStats,30*3,FALSE)*OfficerBonusD,0))</f>
        <v>0</v>
      </c>
      <c r="H150" s="35">
        <f t="shared" ref="H150:H179" ca="1" si="60">IF(D150&gt;0,VLOOKUP(C150,OfficerStats,IF(MaxLevel=TRUE,30,D150)*3+1,FALSE)*OfficerBonusH,IF(MaxLevel = TRUE,VLOOKUP(C150,OfficerStats,30*3+1,FALSE)*OfficerBonusH,0))</f>
        <v>0</v>
      </c>
      <c r="I150" s="34" t="str">
        <f t="shared" ref="I150:I179" si="61">IFERROR(INDEX(OfficerSkillsFull,MATCH(C150,OfficerSkillsOfficers,0),11),0)</f>
        <v>Unimatrix Twelve</v>
      </c>
      <c r="J150" s="33" t="str">
        <f t="shared" ca="1" si="55"/>
        <v/>
      </c>
      <c r="K150" s="33" t="str">
        <f t="shared" ca="1" si="56"/>
        <v/>
      </c>
      <c r="L150" s="33" t="str">
        <f t="shared" ref="L150:L179" ca="1" si="62">VLOOKUP(C150,INDIRECT($O$20),2,FALSE)</f>
        <v xml:space="preserve"> | </v>
      </c>
      <c r="M150" s="33" t="str">
        <f t="shared" ref="M150:M179" ca="1" si="63">VLOOKUP(C150,INDIRECT($O$20),3,FALSE)</f>
        <v xml:space="preserve"> | </v>
      </c>
      <c r="N150" s="33" t="str">
        <f t="shared" ref="N150:N179" ca="1" si="64">VLOOKUP(C150,INDIRECT($O$20),4,FALSE)</f>
        <v xml:space="preserve"> | </v>
      </c>
      <c r="O150" s="84" t="str">
        <f t="shared" ref="O150:O179" ca="1" si="65">VLOOKUP(C150,INDIRECT($O$20),5,FALSE)</f>
        <v>CM: Increase Mining Speed (Par, Trit, Dil) OA: Increase Mining Speed (All)</v>
      </c>
      <c r="R150" s="34"/>
      <c r="S150" s="34"/>
      <c r="T150" s="34"/>
      <c r="U150" s="34"/>
      <c r="V150" s="34"/>
      <c r="W150" s="34"/>
      <c r="X150" s="34"/>
    </row>
    <row r="151" spans="1:24" s="13" customFormat="1" ht="17.25" customHeight="1" x14ac:dyDescent="0.25">
      <c r="A151" s="34"/>
      <c r="B151" s="13" t="str">
        <f t="shared" si="57"/>
        <v>E</v>
      </c>
      <c r="C151" s="493" t="s">
        <v>1634</v>
      </c>
      <c r="D151" s="44">
        <f ca="1">IFERROR(INDEX(ImportLevel,MATCH(C151,ImportOfficerList,0)),IFERROR(INDEX(ImportLevel,MATCH("3 of 10",ImportOfficerList,0)),0))</f>
        <v>0</v>
      </c>
      <c r="E151" s="34">
        <f ca="1">IFERROR(INDEX(ImportRank,MATCH(C151,ImportOfficerList,0)),IFERROR(INDEX(ImportRank,MATCH("3 of 10",ImportOfficerList,0)),0))</f>
        <v>0</v>
      </c>
      <c r="F151" s="35">
        <f t="shared" ca="1" si="58"/>
        <v>0</v>
      </c>
      <c r="G151" s="35">
        <f t="shared" ca="1" si="59"/>
        <v>0</v>
      </c>
      <c r="H151" s="35">
        <f t="shared" ca="1" si="60"/>
        <v>0</v>
      </c>
      <c r="I151" s="34" t="str">
        <f t="shared" si="61"/>
        <v>Unimatrix Twelve</v>
      </c>
      <c r="J151" s="33" t="str">
        <f t="shared" ca="1" si="55"/>
        <v/>
      </c>
      <c r="K151" s="33" t="str">
        <f t="shared" ca="1" si="56"/>
        <v/>
      </c>
      <c r="L151" s="33" t="str">
        <f t="shared" ca="1" si="62"/>
        <v xml:space="preserve"> | </v>
      </c>
      <c r="M151" s="33" t="str">
        <f t="shared" ca="1" si="63"/>
        <v xml:space="preserve"> | </v>
      </c>
      <c r="N151" s="33" t="str">
        <f t="shared" ca="1" si="64"/>
        <v xml:space="preserve"> | </v>
      </c>
      <c r="O151" s="84" t="str">
        <f t="shared" ca="1" si="65"/>
        <v>CM: Increases Gas mining speed OA: Increase Protected Cargo</v>
      </c>
      <c r="Q151" s="34"/>
      <c r="R151" s="34"/>
      <c r="S151" s="34"/>
      <c r="T151" s="34"/>
      <c r="U151" s="34"/>
      <c r="V151" s="34"/>
      <c r="W151" s="34"/>
      <c r="X151" s="34"/>
    </row>
    <row r="152" spans="1:24" s="13" customFormat="1" ht="17.25" customHeight="1" x14ac:dyDescent="0.25">
      <c r="A152" s="34"/>
      <c r="B152" s="13" t="str">
        <f t="shared" si="57"/>
        <v>U</v>
      </c>
      <c r="C152" s="493" t="s">
        <v>75</v>
      </c>
      <c r="D152" s="44">
        <f t="shared" ref="D152:D161" ca="1" si="66">IFERROR(INDEX(ImportLevel,MATCH(C152,ImportOfficerList,0)),0)</f>
        <v>0</v>
      </c>
      <c r="E152" s="34">
        <f t="shared" ref="E152:E161" ca="1" si="67">IFERROR(INDEX(ImportRank,MATCH(C152,ImportOfficerList,0)),0)</f>
        <v>0</v>
      </c>
      <c r="F152" s="35">
        <f t="shared" ca="1" si="58"/>
        <v>0</v>
      </c>
      <c r="G152" s="35">
        <f t="shared" ca="1" si="59"/>
        <v>0</v>
      </c>
      <c r="H152" s="35">
        <f t="shared" ca="1" si="60"/>
        <v>0</v>
      </c>
      <c r="I152" s="34" t="str">
        <f t="shared" si="61"/>
        <v>Discovery Crew</v>
      </c>
      <c r="J152" s="33" t="str">
        <f t="shared" ca="1" si="55"/>
        <v/>
      </c>
      <c r="K152" s="33" t="str">
        <f t="shared" ca="1" si="56"/>
        <v/>
      </c>
      <c r="L152" s="33" t="str">
        <f t="shared" ca="1" si="62"/>
        <v xml:space="preserve"> | </v>
      </c>
      <c r="M152" s="33" t="str">
        <f t="shared" ca="1" si="63"/>
        <v xml:space="preserve"> | </v>
      </c>
      <c r="N152" s="33" t="str">
        <f t="shared" ca="1" si="64"/>
        <v xml:space="preserve"> | </v>
      </c>
      <c r="O152" s="84" t="str">
        <f t="shared" ca="1" si="65"/>
        <v>CM: Decrease opponent's Sheild Health when defending from a player. OA: Chance to Decrease opponent's Officer Attack  by 15% when hit</v>
      </c>
      <c r="Q152" s="34"/>
      <c r="R152" s="34"/>
      <c r="S152" s="34"/>
      <c r="T152" s="34"/>
      <c r="U152" s="34"/>
      <c r="V152" s="34"/>
      <c r="W152" s="34"/>
      <c r="X152" s="34"/>
    </row>
    <row r="153" spans="1:24" s="13" customFormat="1" ht="17.25" customHeight="1" x14ac:dyDescent="0.25">
      <c r="A153" s="34"/>
      <c r="B153" s="13" t="str">
        <f t="shared" si="57"/>
        <v>C</v>
      </c>
      <c r="C153" s="493" t="s">
        <v>72</v>
      </c>
      <c r="D153" s="44">
        <f t="shared" ca="1" si="66"/>
        <v>0</v>
      </c>
      <c r="E153" s="34">
        <f t="shared" ca="1" si="67"/>
        <v>0</v>
      </c>
      <c r="F153" s="35">
        <f t="shared" ca="1" si="58"/>
        <v>0</v>
      </c>
      <c r="G153" s="35">
        <f t="shared" ca="1" si="59"/>
        <v>0</v>
      </c>
      <c r="H153" s="35">
        <f t="shared" ca="1" si="60"/>
        <v>0</v>
      </c>
      <c r="I153" s="34" t="str">
        <f t="shared" si="61"/>
        <v>Mudd's Crew</v>
      </c>
      <c r="J153" s="33" t="str">
        <f t="shared" ca="1" si="55"/>
        <v/>
      </c>
      <c r="K153" s="33" t="str">
        <f t="shared" ca="1" si="56"/>
        <v/>
      </c>
      <c r="L153" s="33" t="str">
        <f t="shared" ca="1" si="62"/>
        <v xml:space="preserve"> | </v>
      </c>
      <c r="M153" s="33" t="str">
        <f t="shared" ca="1" si="63"/>
        <v xml:space="preserve"> | </v>
      </c>
      <c r="N153" s="33" t="str">
        <f t="shared" ca="1" si="64"/>
        <v xml:space="preserve"> | </v>
      </c>
      <c r="O153" s="84" t="str">
        <f t="shared" ca="1" si="65"/>
        <v>CM: Decrease Eclipse hostile's Shield Mitigation for the first round OA: Chance to increase mitigation by 100% against Eclipse hostiles</v>
      </c>
      <c r="Q153" s="34"/>
      <c r="R153" s="34"/>
      <c r="S153" s="34"/>
      <c r="T153" s="34"/>
      <c r="U153" s="34"/>
      <c r="V153" s="34"/>
      <c r="W153" s="34"/>
      <c r="X153" s="34"/>
    </row>
    <row r="154" spans="1:24" s="13" customFormat="1" ht="17.25" customHeight="1" x14ac:dyDescent="0.25">
      <c r="A154" s="34"/>
      <c r="B154" s="13" t="str">
        <f t="shared" si="57"/>
        <v>C</v>
      </c>
      <c r="C154" s="493" t="s">
        <v>9</v>
      </c>
      <c r="D154" s="44">
        <f t="shared" ca="1" si="66"/>
        <v>0</v>
      </c>
      <c r="E154" s="34">
        <f t="shared" ca="1" si="67"/>
        <v>0</v>
      </c>
      <c r="F154" s="35">
        <f t="shared" ca="1" si="58"/>
        <v>0</v>
      </c>
      <c r="G154" s="35">
        <f t="shared" ca="1" si="59"/>
        <v>0</v>
      </c>
      <c r="H154" s="35">
        <f t="shared" ca="1" si="60"/>
        <v>0</v>
      </c>
      <c r="I154" s="34" t="str">
        <f t="shared" si="61"/>
        <v>Starfleet Academy</v>
      </c>
      <c r="J154" s="33" t="str">
        <f t="shared" ca="1" si="55"/>
        <v/>
      </c>
      <c r="K154" s="33" t="str">
        <f t="shared" ca="1" si="56"/>
        <v/>
      </c>
      <c r="L154" s="33" t="str">
        <f t="shared" ca="1" si="62"/>
        <v xml:space="preserve"> | </v>
      </c>
      <c r="M154" s="33" t="str">
        <f t="shared" ca="1" si="63"/>
        <v xml:space="preserve"> | </v>
      </c>
      <c r="N154" s="33" t="str">
        <f t="shared" ca="1" si="64"/>
        <v xml:space="preserve"> | </v>
      </c>
      <c r="O154" s="84" t="str">
        <f t="shared" ca="1" si="65"/>
        <v>CM: Increase Ship XP from battles OA: Decrease Kinetic Damage dealt by Hostiles</v>
      </c>
      <c r="Q154" s="34"/>
      <c r="R154" s="34"/>
      <c r="S154" s="34"/>
      <c r="T154" s="34"/>
      <c r="U154" s="34"/>
      <c r="V154" s="34"/>
      <c r="W154" s="34"/>
      <c r="X154" s="34"/>
    </row>
    <row r="155" spans="1:24" s="13" customFormat="1" ht="17.25" customHeight="1" x14ac:dyDescent="0.25">
      <c r="A155" s="34"/>
      <c r="B155" s="13" t="str">
        <f t="shared" si="57"/>
        <v>R</v>
      </c>
      <c r="C155" s="493" t="s">
        <v>1655</v>
      </c>
      <c r="D155" s="44">
        <f t="shared" ca="1" si="66"/>
        <v>0</v>
      </c>
      <c r="E155" s="34">
        <f t="shared" ca="1" si="67"/>
        <v>0</v>
      </c>
      <c r="F155" s="35">
        <f t="shared" ca="1" si="58"/>
        <v>0</v>
      </c>
      <c r="G155" s="35">
        <f t="shared" ca="1" si="59"/>
        <v>0</v>
      </c>
      <c r="H155" s="35">
        <f t="shared" ca="1" si="60"/>
        <v>0</v>
      </c>
      <c r="I155" s="34" t="str">
        <f t="shared" si="61"/>
        <v>Pride Of Romulus</v>
      </c>
      <c r="J155" s="33" t="str">
        <f t="shared" ca="1" si="55"/>
        <v/>
      </c>
      <c r="K155" s="33" t="str">
        <f t="shared" ca="1" si="56"/>
        <v/>
      </c>
      <c r="L155" s="33" t="str">
        <f t="shared" ca="1" si="62"/>
        <v xml:space="preserve"> | </v>
      </c>
      <c r="M155" s="33" t="str">
        <f t="shared" ca="1" si="63"/>
        <v xml:space="preserve"> | </v>
      </c>
      <c r="N155" s="33" t="str">
        <f t="shared" ca="1" si="64"/>
        <v xml:space="preserve"> | </v>
      </c>
      <c r="O155" s="84" t="str">
        <f t="shared" ca="1" si="65"/>
        <v>CM: Increase Penetration while cloaked OA: Increase Weapon Damage against Klingon targets by % of crew attack</v>
      </c>
      <c r="Q155" s="34"/>
      <c r="R155" s="34"/>
      <c r="S155" s="34"/>
      <c r="T155" s="34"/>
      <c r="U155" s="34"/>
      <c r="V155" s="34"/>
      <c r="W155" s="34"/>
      <c r="X155" s="34"/>
    </row>
    <row r="156" spans="1:24" s="13" customFormat="1" ht="17.25" customHeight="1" x14ac:dyDescent="0.25">
      <c r="A156" s="34"/>
      <c r="B156" s="13" t="str">
        <f t="shared" si="57"/>
        <v>R</v>
      </c>
      <c r="C156" s="493" t="s">
        <v>683</v>
      </c>
      <c r="D156" s="44">
        <f t="shared" ca="1" si="66"/>
        <v>0</v>
      </c>
      <c r="E156" s="34">
        <f t="shared" ca="1" si="67"/>
        <v>0</v>
      </c>
      <c r="F156" s="35">
        <f t="shared" ca="1" si="58"/>
        <v>0</v>
      </c>
      <c r="G156" s="35">
        <f t="shared" ca="1" si="59"/>
        <v>0</v>
      </c>
      <c r="H156" s="35">
        <f t="shared" ca="1" si="60"/>
        <v>0</v>
      </c>
      <c r="I156" s="34" t="str">
        <f t="shared" si="61"/>
        <v>TOS Enterprise Crew</v>
      </c>
      <c r="J156" s="33" t="str">
        <f t="shared" ca="1" si="55"/>
        <v/>
      </c>
      <c r="K156" s="33" t="str">
        <f t="shared" ca="1" si="56"/>
        <v/>
      </c>
      <c r="L156" s="33" t="str">
        <f t="shared" ca="1" si="62"/>
        <v xml:space="preserve"> | </v>
      </c>
      <c r="M156" s="33" t="str">
        <f t="shared" ca="1" si="63"/>
        <v xml:space="preserve"> | </v>
      </c>
      <c r="N156" s="33" t="str">
        <f t="shared" ca="1" si="64"/>
        <v xml:space="preserve"> | </v>
      </c>
      <c r="O156" s="84" t="str">
        <f t="shared" ca="1" si="65"/>
        <v>CM: Increase the Impulse Speed of Explorers OA: When attacked on a Capture or Mining node, Decrease Opponents damage.</v>
      </c>
      <c r="Q156" s="34"/>
      <c r="R156" s="34"/>
      <c r="S156" s="34"/>
      <c r="T156" s="34"/>
      <c r="U156" s="34"/>
      <c r="V156" s="34"/>
      <c r="W156" s="34"/>
      <c r="X156" s="34"/>
    </row>
    <row r="157" spans="1:24" s="13" customFormat="1" ht="17.25" customHeight="1" x14ac:dyDescent="0.25">
      <c r="A157" s="34"/>
      <c r="B157" s="13" t="str">
        <f t="shared" si="57"/>
        <v>E</v>
      </c>
      <c r="C157" s="493" t="s">
        <v>252</v>
      </c>
      <c r="D157" s="44">
        <f t="shared" ca="1" si="66"/>
        <v>0</v>
      </c>
      <c r="E157" s="34">
        <f t="shared" ca="1" si="67"/>
        <v>0</v>
      </c>
      <c r="F157" s="35">
        <f t="shared" ca="1" si="58"/>
        <v>0</v>
      </c>
      <c r="G157" s="35">
        <f t="shared" ca="1" si="59"/>
        <v>0</v>
      </c>
      <c r="H157" s="35">
        <f t="shared" ca="1" si="60"/>
        <v>0</v>
      </c>
      <c r="I157" s="34" t="str">
        <f t="shared" si="61"/>
        <v>TOS Enterprise Crew</v>
      </c>
      <c r="J157" s="33" t="str">
        <f t="shared" ca="1" si="55"/>
        <v/>
      </c>
      <c r="K157" s="33" t="str">
        <f t="shared" ca="1" si="56"/>
        <v/>
      </c>
      <c r="L157" s="33" t="str">
        <f t="shared" ca="1" si="62"/>
        <v xml:space="preserve"> | </v>
      </c>
      <c r="M157" s="33" t="str">
        <f t="shared" ca="1" si="63"/>
        <v xml:space="preserve"> | </v>
      </c>
      <c r="N157" s="33" t="str">
        <f t="shared" ca="1" si="64"/>
        <v>Y | Y</v>
      </c>
      <c r="O157" s="84" t="str">
        <f t="shared" ca="1" si="65"/>
        <v>CM: Increase Energy damage by Officer defence, per round cumulative when ship has Morale OA: Chance to give Morale at the start of the round if ship health is above 30% of stating value</v>
      </c>
      <c r="Q157" s="34"/>
      <c r="R157" s="34"/>
      <c r="S157" s="34"/>
      <c r="T157" s="34"/>
      <c r="U157" s="34"/>
      <c r="V157" s="34"/>
      <c r="W157" s="34"/>
      <c r="X157" s="34"/>
    </row>
    <row r="158" spans="1:24" s="13" customFormat="1" ht="17.25" customHeight="1" x14ac:dyDescent="0.25">
      <c r="A158" s="34"/>
      <c r="B158" s="13" t="str">
        <f t="shared" si="57"/>
        <v>R</v>
      </c>
      <c r="C158" s="493" t="s">
        <v>649</v>
      </c>
      <c r="D158" s="44">
        <f t="shared" ca="1" si="66"/>
        <v>0</v>
      </c>
      <c r="E158" s="34">
        <f t="shared" ca="1" si="67"/>
        <v>0</v>
      </c>
      <c r="F158" s="35">
        <f t="shared" ca="1" si="58"/>
        <v>0</v>
      </c>
      <c r="G158" s="35">
        <f t="shared" ca="1" si="59"/>
        <v>0</v>
      </c>
      <c r="H158" s="35">
        <f t="shared" ca="1" si="60"/>
        <v>0</v>
      </c>
      <c r="I158" s="34" t="str">
        <f t="shared" si="61"/>
        <v>TOS Enterprise Crew</v>
      </c>
      <c r="J158" s="33" t="str">
        <f t="shared" ca="1" si="55"/>
        <v/>
      </c>
      <c r="K158" s="33" t="str">
        <f t="shared" ca="1" si="56"/>
        <v/>
      </c>
      <c r="L158" s="33" t="str">
        <f t="shared" ca="1" si="62"/>
        <v xml:space="preserve"> | </v>
      </c>
      <c r="M158" s="33" t="str">
        <f t="shared" ca="1" si="63"/>
        <v xml:space="preserve"> | </v>
      </c>
      <c r="N158" s="33" t="str">
        <f t="shared" ca="1" si="64"/>
        <v xml:space="preserve"> | </v>
      </c>
      <c r="O158" s="84" t="str">
        <f t="shared" ca="1" si="65"/>
        <v>CM: Increase Mitigation by % of the crew's Health when defending OA: Increase All Stats of All Officers when on an Explorer</v>
      </c>
      <c r="Q158" s="34"/>
      <c r="R158" s="34"/>
      <c r="S158" s="34"/>
      <c r="T158" s="34"/>
      <c r="U158" s="34"/>
      <c r="V158" s="34"/>
      <c r="W158" s="34"/>
      <c r="X158" s="34"/>
    </row>
    <row r="159" spans="1:24" s="13" customFormat="1" ht="17.25" customHeight="1" x14ac:dyDescent="0.25">
      <c r="A159" s="34"/>
      <c r="B159" s="13" t="str">
        <f t="shared" si="57"/>
        <v>R</v>
      </c>
      <c r="C159" s="493" t="s">
        <v>684</v>
      </c>
      <c r="D159" s="44">
        <f t="shared" ca="1" si="66"/>
        <v>0</v>
      </c>
      <c r="E159" s="34">
        <f t="shared" ca="1" si="67"/>
        <v>0</v>
      </c>
      <c r="F159" s="35">
        <f t="shared" ca="1" si="58"/>
        <v>0</v>
      </c>
      <c r="G159" s="35">
        <f t="shared" ca="1" si="59"/>
        <v>0</v>
      </c>
      <c r="H159" s="35">
        <f t="shared" ca="1" si="60"/>
        <v>0</v>
      </c>
      <c r="I159" s="34" t="str">
        <f t="shared" si="61"/>
        <v>TOS Enterprise Crew</v>
      </c>
      <c r="J159" s="33" t="str">
        <f t="shared" ca="1" si="55"/>
        <v/>
      </c>
      <c r="K159" s="33" t="str">
        <f t="shared" ca="1" si="56"/>
        <v/>
      </c>
      <c r="L159" s="33" t="str">
        <f t="shared" ca="1" si="62"/>
        <v xml:space="preserve"> | </v>
      </c>
      <c r="M159" s="33" t="str">
        <f t="shared" ca="1" si="63"/>
        <v xml:space="preserve"> | </v>
      </c>
      <c r="N159" s="33" t="str">
        <f t="shared" ca="1" si="64"/>
        <v xml:space="preserve"> | </v>
      </c>
      <c r="O159" s="84" t="str">
        <f t="shared" ca="1" si="65"/>
        <v>CM: Increase Warp Range of Explorers OA: Increase Repair Cost Efficiency</v>
      </c>
      <c r="Q159" s="34"/>
      <c r="R159" s="34"/>
      <c r="S159" s="34"/>
      <c r="T159" s="34"/>
      <c r="U159" s="34"/>
      <c r="V159" s="34"/>
      <c r="W159" s="34"/>
      <c r="X159" s="34"/>
    </row>
    <row r="160" spans="1:24" s="13" customFormat="1" ht="17.25" customHeight="1" x14ac:dyDescent="0.25">
      <c r="A160" s="34"/>
      <c r="B160" s="13" t="str">
        <f t="shared" si="57"/>
        <v>E</v>
      </c>
      <c r="C160" s="493" t="s">
        <v>253</v>
      </c>
      <c r="D160" s="44">
        <f t="shared" ca="1" si="66"/>
        <v>0</v>
      </c>
      <c r="E160" s="34">
        <f t="shared" ca="1" si="67"/>
        <v>0</v>
      </c>
      <c r="F160" s="35">
        <f t="shared" ca="1" si="58"/>
        <v>0</v>
      </c>
      <c r="G160" s="35">
        <f t="shared" ca="1" si="59"/>
        <v>0</v>
      </c>
      <c r="H160" s="35">
        <f t="shared" ca="1" si="60"/>
        <v>0</v>
      </c>
      <c r="I160" s="34" t="str">
        <f t="shared" si="61"/>
        <v>TOS Enterprise Crew</v>
      </c>
      <c r="J160" s="33" t="str">
        <f t="shared" ca="1" si="55"/>
        <v/>
      </c>
      <c r="K160" s="33" t="str">
        <f t="shared" ca="1" si="56"/>
        <v/>
      </c>
      <c r="L160" s="33" t="str">
        <f t="shared" ca="1" si="62"/>
        <v xml:space="preserve"> | </v>
      </c>
      <c r="M160" s="33" t="str">
        <f t="shared" ca="1" si="63"/>
        <v xml:space="preserve"> | </v>
      </c>
      <c r="N160" s="33" t="str">
        <f t="shared" ca="1" si="64"/>
        <v xml:space="preserve"> | Y</v>
      </c>
      <c r="O160" s="84" t="str">
        <f t="shared" ca="1" si="65"/>
        <v>CM: Increase of Defence to SHP of all ships in fleet (Base defence only) OA: Decrease opponent player's Critical Damage when ship has Morale</v>
      </c>
      <c r="Q160" s="34"/>
      <c r="R160" s="34"/>
      <c r="S160" s="34"/>
      <c r="T160" s="34"/>
      <c r="U160" s="34"/>
      <c r="V160" s="34"/>
      <c r="W160" s="34"/>
      <c r="X160" s="34"/>
    </row>
    <row r="161" spans="1:24" s="13" customFormat="1" ht="17.25" customHeight="1" x14ac:dyDescent="0.25">
      <c r="A161" s="34"/>
      <c r="B161" s="13" t="str">
        <f t="shared" si="57"/>
        <v>R</v>
      </c>
      <c r="C161" s="493" t="s">
        <v>650</v>
      </c>
      <c r="D161" s="44">
        <f t="shared" ca="1" si="66"/>
        <v>0</v>
      </c>
      <c r="E161" s="34">
        <f t="shared" ca="1" si="67"/>
        <v>0</v>
      </c>
      <c r="F161" s="35">
        <f t="shared" ca="1" si="58"/>
        <v>0</v>
      </c>
      <c r="G161" s="35">
        <f t="shared" ca="1" si="59"/>
        <v>0</v>
      </c>
      <c r="H161" s="35">
        <f t="shared" ca="1" si="60"/>
        <v>0</v>
      </c>
      <c r="I161" s="34" t="str">
        <f t="shared" si="61"/>
        <v>TOS Enterprise Crew</v>
      </c>
      <c r="J161" s="33" t="str">
        <f t="shared" ca="1" si="55"/>
        <v/>
      </c>
      <c r="K161" s="33" t="str">
        <f t="shared" ca="1" si="56"/>
        <v/>
      </c>
      <c r="L161" s="33" t="str">
        <f t="shared" ca="1" si="62"/>
        <v xml:space="preserve"> | </v>
      </c>
      <c r="M161" s="33" t="str">
        <f t="shared" ca="1" si="63"/>
        <v xml:space="preserve"> | </v>
      </c>
      <c r="N161" s="33" t="str">
        <f t="shared" ca="1" si="64"/>
        <v>Y | Y</v>
      </c>
      <c r="O161" s="84" t="str">
        <f t="shared" ca="1" si="65"/>
        <v>CM: Chance to inspire Morale for 1 round OA: Increase Critical Hit Chance each round when on an Explorer that has Morale</v>
      </c>
      <c r="Q161" s="34"/>
      <c r="R161" s="34"/>
      <c r="S161" s="34"/>
      <c r="T161" s="34"/>
      <c r="U161" s="34"/>
      <c r="V161" s="34"/>
      <c r="W161" s="34"/>
      <c r="X161" s="34"/>
    </row>
    <row r="162" spans="1:24" s="13" customFormat="1" ht="17.25" customHeight="1" x14ac:dyDescent="0.25">
      <c r="A162" s="34"/>
      <c r="B162" s="13" t="str">
        <f t="shared" si="57"/>
        <v>R</v>
      </c>
      <c r="C162" s="493" t="s">
        <v>1963</v>
      </c>
      <c r="D162" s="44">
        <f ca="1">IFERROR(INDEX(ImportLevel,MATCH(C162,ImportOfficerList,0)),IFERROR(INDEX(ImportLevel,MATCH("TOS Nyota Uhura",ImportOfficerList,0)),0))</f>
        <v>0</v>
      </c>
      <c r="E162" s="34">
        <f ca="1">IFERROR(INDEX(ImportRank,MATCH(C162,ImportOfficerList,0)),IFERROR(INDEX(ImportRank,MATCH("TOS Nyota Uhura",ImportOfficerList,0)),0))</f>
        <v>0</v>
      </c>
      <c r="F162" s="35">
        <f t="shared" ca="1" si="58"/>
        <v>0</v>
      </c>
      <c r="G162" s="35">
        <f t="shared" ca="1" si="59"/>
        <v>0</v>
      </c>
      <c r="H162" s="35">
        <f t="shared" ca="1" si="60"/>
        <v>0</v>
      </c>
      <c r="I162" s="34" t="str">
        <f t="shared" si="61"/>
        <v>TOS Enterprise Crew</v>
      </c>
      <c r="J162" s="33" t="str">
        <f t="shared" ca="1" si="55"/>
        <v/>
      </c>
      <c r="K162" s="33" t="str">
        <f t="shared" ca="1" si="56"/>
        <v/>
      </c>
      <c r="L162" s="33" t="str">
        <f t="shared" ca="1" si="62"/>
        <v xml:space="preserve"> | </v>
      </c>
      <c r="M162" s="33" t="str">
        <f t="shared" ca="1" si="63"/>
        <v xml:space="preserve"> | </v>
      </c>
      <c r="N162" s="33" t="str">
        <f t="shared" ca="1" si="64"/>
        <v xml:space="preserve"> | Y</v>
      </c>
      <c r="O162" s="84" t="str">
        <f t="shared" ca="1" si="65"/>
        <v>CM: Decrease opponent player's Critical hit chance if ship has Morale OA: Decrease opponent player's shield Mitigation if ship has Morale</v>
      </c>
      <c r="Q162" s="34"/>
      <c r="R162" s="34"/>
      <c r="S162" s="34"/>
      <c r="T162" s="34"/>
      <c r="U162" s="34"/>
      <c r="V162" s="34"/>
      <c r="W162" s="34"/>
      <c r="X162" s="34"/>
    </row>
    <row r="163" spans="1:24" s="13" customFormat="1" ht="17.25" customHeight="1" x14ac:dyDescent="0.25">
      <c r="A163" s="34"/>
      <c r="B163" s="13" t="str">
        <f t="shared" si="57"/>
        <v>R</v>
      </c>
      <c r="C163" s="493" t="s">
        <v>25</v>
      </c>
      <c r="D163" s="44">
        <f ca="1">IFERROR(INDEX(ImportLevel,MATCH(C163,ImportOfficerList,0)),0)</f>
        <v>0</v>
      </c>
      <c r="E163" s="34">
        <f ca="1">IFERROR(INDEX(ImportRank,MATCH(C163,ImportOfficerList,0)),0)</f>
        <v>0</v>
      </c>
      <c r="F163" s="35">
        <f t="shared" ca="1" si="58"/>
        <v>0</v>
      </c>
      <c r="G163" s="35">
        <f t="shared" ca="1" si="59"/>
        <v>0</v>
      </c>
      <c r="H163" s="35">
        <f t="shared" ca="1" si="60"/>
        <v>0</v>
      </c>
      <c r="I163" s="34" t="str">
        <f t="shared" si="61"/>
        <v>Surveyors &amp; Miners</v>
      </c>
      <c r="J163" s="33" t="str">
        <f t="shared" ca="1" si="55"/>
        <v/>
      </c>
      <c r="K163" s="33" t="str">
        <f t="shared" ca="1" si="56"/>
        <v/>
      </c>
      <c r="L163" s="33" t="str">
        <f t="shared" ca="1" si="62"/>
        <v xml:space="preserve"> | </v>
      </c>
      <c r="M163" s="33" t="str">
        <f t="shared" ca="1" si="63"/>
        <v xml:space="preserve"> | </v>
      </c>
      <c r="N163" s="33" t="str">
        <f t="shared" ca="1" si="64"/>
        <v xml:space="preserve"> | </v>
      </c>
      <c r="O163" s="84" t="str">
        <f t="shared" ca="1" si="65"/>
        <v>CM: Increase Mining Speed (Gas) OA: Increase Protected Cargo</v>
      </c>
      <c r="Q163" s="34"/>
      <c r="R163" s="34"/>
      <c r="S163" s="34"/>
      <c r="T163" s="34"/>
      <c r="U163" s="34"/>
      <c r="V163" s="34"/>
      <c r="W163" s="34"/>
      <c r="X163" s="34"/>
    </row>
    <row r="164" spans="1:24" s="13" customFormat="1" ht="17.25" customHeight="1" x14ac:dyDescent="0.25">
      <c r="A164" s="34"/>
      <c r="B164" s="13" t="str">
        <f t="shared" si="57"/>
        <v>R</v>
      </c>
      <c r="C164" s="493" t="s">
        <v>1633</v>
      </c>
      <c r="D164" s="44">
        <f ca="1">IFERROR(INDEX(ImportLevel,MATCH(C164,ImportOfficerList,0)),IFERROR(INDEX(ImportLevel,MATCH("2 of 10",ImportOfficerList,0)),0))</f>
        <v>0</v>
      </c>
      <c r="E164" s="34">
        <f ca="1">IFERROR(INDEX(ImportRank,MATCH(C164,ImportOfficerList,0)),IFERROR(INDEX(ImportRank,MATCH("2 of 10",ImportOfficerList,0)),0))</f>
        <v>0</v>
      </c>
      <c r="F164" s="35">
        <f t="shared" ca="1" si="58"/>
        <v>0</v>
      </c>
      <c r="G164" s="35">
        <f t="shared" ca="1" si="59"/>
        <v>0</v>
      </c>
      <c r="H164" s="35">
        <f t="shared" ca="1" si="60"/>
        <v>0</v>
      </c>
      <c r="I164" s="34" t="str">
        <f t="shared" si="61"/>
        <v>Unimatrix Twelve</v>
      </c>
      <c r="J164" s="33" t="str">
        <f t="shared" ca="1" si="55"/>
        <v/>
      </c>
      <c r="K164" s="33" t="str">
        <f t="shared" ca="1" si="56"/>
        <v/>
      </c>
      <c r="L164" s="33" t="str">
        <f t="shared" ca="1" si="62"/>
        <v xml:space="preserve"> | </v>
      </c>
      <c r="M164" s="33" t="str">
        <f t="shared" ca="1" si="63"/>
        <v xml:space="preserve"> | </v>
      </c>
      <c r="N164" s="33" t="str">
        <f t="shared" ca="1" si="64"/>
        <v xml:space="preserve"> | </v>
      </c>
      <c r="O164" s="84" t="str">
        <f t="shared" ca="1" si="65"/>
        <v>CM: Increase Cargo Size OA: Increase to G3 and G4 Mining speed</v>
      </c>
      <c r="Q164" s="34"/>
      <c r="R164" s="34"/>
      <c r="S164" s="34"/>
      <c r="T164" s="34"/>
      <c r="U164" s="34"/>
      <c r="V164" s="34"/>
      <c r="W164" s="34"/>
      <c r="X164" s="34"/>
    </row>
    <row r="165" spans="1:24" s="13" customFormat="1" ht="17.25" customHeight="1" x14ac:dyDescent="0.25">
      <c r="A165" s="34"/>
      <c r="B165" s="13" t="str">
        <f t="shared" si="57"/>
        <v>R</v>
      </c>
      <c r="C165" s="493" t="s">
        <v>89</v>
      </c>
      <c r="D165" s="44">
        <f t="shared" ref="D165:D179" ca="1" si="68">IFERROR(INDEX(ImportLevel,MATCH(C165,ImportOfficerList,0)),0)</f>
        <v>0</v>
      </c>
      <c r="E165" s="34">
        <f t="shared" ref="E165:E179" ca="1" si="69">IFERROR(INDEX(ImportRank,MATCH(C165,ImportOfficerList,0)),0)</f>
        <v>0</v>
      </c>
      <c r="F165" s="35">
        <f t="shared" ca="1" si="58"/>
        <v>0</v>
      </c>
      <c r="G165" s="35">
        <f t="shared" ca="1" si="59"/>
        <v>0</v>
      </c>
      <c r="H165" s="35">
        <f t="shared" ca="1" si="60"/>
        <v>0</v>
      </c>
      <c r="I165" s="34" t="str">
        <f t="shared" si="61"/>
        <v>Discovery Crew</v>
      </c>
      <c r="J165" s="33" t="str">
        <f t="shared" ca="1" si="55"/>
        <v/>
      </c>
      <c r="K165" s="33" t="str">
        <f t="shared" ca="1" si="56"/>
        <v/>
      </c>
      <c r="L165" s="33" t="str">
        <f t="shared" ca="1" si="62"/>
        <v xml:space="preserve"> | Y</v>
      </c>
      <c r="M165" s="33" t="str">
        <f t="shared" ca="1" si="63"/>
        <v xml:space="preserve"> | </v>
      </c>
      <c r="N165" s="33" t="str">
        <f t="shared" ca="1" si="64"/>
        <v xml:space="preserve"> | </v>
      </c>
      <c r="O165" s="84" t="str">
        <f t="shared" ca="1" si="65"/>
        <v>CM: Increase all officers Attack when the ship defends a Capture Node OA: Increase damage by % of crew's Attack when opponent's ship is Burning</v>
      </c>
      <c r="Q165" s="34"/>
      <c r="R165" s="34"/>
      <c r="S165" s="34"/>
      <c r="T165" s="34"/>
      <c r="U165" s="34"/>
      <c r="V165" s="34"/>
      <c r="W165" s="34"/>
      <c r="X165" s="34"/>
    </row>
    <row r="166" spans="1:24" s="13" customFormat="1" ht="17.25" customHeight="1" x14ac:dyDescent="0.25">
      <c r="A166" s="34"/>
      <c r="B166" s="13" t="str">
        <f t="shared" si="57"/>
        <v>R</v>
      </c>
      <c r="C166" s="493" t="s">
        <v>21</v>
      </c>
      <c r="D166" s="44">
        <f t="shared" ca="1" si="68"/>
        <v>0</v>
      </c>
      <c r="E166" s="34">
        <f t="shared" ca="1" si="69"/>
        <v>0</v>
      </c>
      <c r="F166" s="35">
        <f t="shared" ca="1" si="58"/>
        <v>0</v>
      </c>
      <c r="G166" s="35">
        <f t="shared" ca="1" si="59"/>
        <v>0</v>
      </c>
      <c r="H166" s="35">
        <f t="shared" ca="1" si="60"/>
        <v>0</v>
      </c>
      <c r="I166" s="34" t="str">
        <f t="shared" si="61"/>
        <v>Enterprise Crew</v>
      </c>
      <c r="J166" s="33" t="str">
        <f t="shared" ca="1" si="55"/>
        <v/>
      </c>
      <c r="K166" s="33" t="str">
        <f t="shared" ca="1" si="56"/>
        <v/>
      </c>
      <c r="L166" s="33" t="str">
        <f t="shared" ca="1" si="62"/>
        <v xml:space="preserve"> | </v>
      </c>
      <c r="M166" s="33" t="str">
        <f t="shared" ca="1" si="63"/>
        <v xml:space="preserve"> | </v>
      </c>
      <c r="N166" s="33" t="str">
        <f t="shared" ca="1" si="64"/>
        <v xml:space="preserve"> | </v>
      </c>
      <c r="O166" s="84" t="str">
        <f t="shared" ca="1" si="65"/>
        <v>CM: Chance to delay opponent's fire by 1 round when own shield is deleted OA: Increase ship's Accuracy</v>
      </c>
      <c r="Q166" s="34"/>
      <c r="R166" s="34"/>
      <c r="S166" s="34"/>
      <c r="T166" s="34"/>
      <c r="U166" s="34"/>
      <c r="V166" s="34"/>
      <c r="W166" s="34"/>
      <c r="X166" s="34"/>
    </row>
    <row r="167" spans="1:24" s="13" customFormat="1" ht="17.25" customHeight="1" x14ac:dyDescent="0.25">
      <c r="A167" s="34"/>
      <c r="B167" s="13" t="str">
        <f t="shared" si="57"/>
        <v>C</v>
      </c>
      <c r="C167" s="493" t="s">
        <v>10</v>
      </c>
      <c r="D167" s="44">
        <f t="shared" ca="1" si="68"/>
        <v>0</v>
      </c>
      <c r="E167" s="34">
        <f t="shared" ca="1" si="69"/>
        <v>0</v>
      </c>
      <c r="F167" s="35">
        <f t="shared" ca="1" si="58"/>
        <v>0</v>
      </c>
      <c r="G167" s="35">
        <f t="shared" ca="1" si="59"/>
        <v>0</v>
      </c>
      <c r="H167" s="35">
        <f t="shared" ca="1" si="60"/>
        <v>0</v>
      </c>
      <c r="I167" s="34" t="str">
        <f t="shared" si="61"/>
        <v>Glory in the Kill</v>
      </c>
      <c r="J167" s="33" t="str">
        <f t="shared" ca="1" si="55"/>
        <v/>
      </c>
      <c r="K167" s="33" t="str">
        <f t="shared" ca="1" si="56"/>
        <v/>
      </c>
      <c r="L167" s="33" t="str">
        <f t="shared" ca="1" si="62"/>
        <v xml:space="preserve"> | </v>
      </c>
      <c r="M167" s="33" t="str">
        <f t="shared" ca="1" si="63"/>
        <v xml:space="preserve"> | </v>
      </c>
      <c r="N167" s="33" t="str">
        <f t="shared" ca="1" si="64"/>
        <v xml:space="preserve"> | </v>
      </c>
      <c r="O167" s="84" t="str">
        <f t="shared" ca="1" si="65"/>
        <v>CM: Increase Weapon Damage of Interceptors against Players OA: Increase Kinetic Weapon Damage against other player's ships</v>
      </c>
      <c r="Q167" s="34"/>
      <c r="R167" s="34"/>
      <c r="S167" s="34"/>
      <c r="T167" s="34"/>
      <c r="U167" s="34"/>
      <c r="V167" s="34"/>
      <c r="W167" s="34"/>
      <c r="X167" s="34"/>
    </row>
    <row r="168" spans="1:24" s="13" customFormat="1" ht="17.25" customHeight="1" x14ac:dyDescent="0.25">
      <c r="A168" s="34"/>
      <c r="B168" s="13" t="str">
        <f t="shared" si="57"/>
        <v>C</v>
      </c>
      <c r="C168" s="493" t="s">
        <v>12</v>
      </c>
      <c r="D168" s="44">
        <f t="shared" ca="1" si="68"/>
        <v>0</v>
      </c>
      <c r="E168" s="34">
        <f t="shared" ca="1" si="69"/>
        <v>0</v>
      </c>
      <c r="F168" s="35">
        <f t="shared" ca="1" si="58"/>
        <v>0</v>
      </c>
      <c r="G168" s="35">
        <f t="shared" ca="1" si="59"/>
        <v>0</v>
      </c>
      <c r="H168" s="35">
        <f t="shared" ca="1" si="60"/>
        <v>0</v>
      </c>
      <c r="I168" s="34" t="str">
        <f t="shared" si="61"/>
        <v>Starfleet Academy</v>
      </c>
      <c r="J168" s="33" t="str">
        <f t="shared" ca="1" si="55"/>
        <v/>
      </c>
      <c r="K168" s="33" t="str">
        <f t="shared" ca="1" si="56"/>
        <v/>
      </c>
      <c r="L168" s="33" t="str">
        <f t="shared" ca="1" si="62"/>
        <v xml:space="preserve"> | </v>
      </c>
      <c r="M168" s="33" t="str">
        <f t="shared" ca="1" si="63"/>
        <v xml:space="preserve"> | </v>
      </c>
      <c r="N168" s="33" t="str">
        <f t="shared" ca="1" si="64"/>
        <v xml:space="preserve"> | </v>
      </c>
      <c r="O168" s="84" t="str">
        <f t="shared" ca="1" si="65"/>
        <v>CM: Increase Dilithium rewards from Hostiles OA: Increase Kinetic Damage against Hostiles</v>
      </c>
      <c r="Q168" s="34"/>
      <c r="R168" s="34"/>
      <c r="S168" s="34"/>
      <c r="T168" s="34"/>
      <c r="U168" s="34"/>
      <c r="V168" s="34"/>
      <c r="W168" s="34"/>
      <c r="X168" s="34"/>
    </row>
    <row r="169" spans="1:24" s="13" customFormat="1" ht="17.25" customHeight="1" x14ac:dyDescent="0.25">
      <c r="A169" s="34"/>
      <c r="B169" s="13" t="str">
        <f t="shared" si="57"/>
        <v>U</v>
      </c>
      <c r="C169" s="493" t="s">
        <v>40</v>
      </c>
      <c r="D169" s="44">
        <f t="shared" ca="1" si="68"/>
        <v>0</v>
      </c>
      <c r="E169" s="34">
        <f t="shared" ca="1" si="69"/>
        <v>0</v>
      </c>
      <c r="F169" s="35">
        <f t="shared" ca="1" si="58"/>
        <v>0</v>
      </c>
      <c r="G169" s="35">
        <f t="shared" ca="1" si="59"/>
        <v>0</v>
      </c>
      <c r="H169" s="35">
        <f t="shared" ca="1" si="60"/>
        <v>0</v>
      </c>
      <c r="I169" s="34" t="str">
        <f t="shared" si="61"/>
        <v>Nero's Crew</v>
      </c>
      <c r="J169" s="33" t="str">
        <f t="shared" ca="1" si="55"/>
        <v/>
      </c>
      <c r="K169" s="33" t="str">
        <f t="shared" ca="1" si="56"/>
        <v/>
      </c>
      <c r="L169" s="33" t="str">
        <f t="shared" ca="1" si="62"/>
        <v xml:space="preserve"> | </v>
      </c>
      <c r="M169" s="33" t="str">
        <f t="shared" ca="1" si="63"/>
        <v xml:space="preserve"> | </v>
      </c>
      <c r="N169" s="33" t="str">
        <f t="shared" ca="1" si="64"/>
        <v xml:space="preserve"> | </v>
      </c>
      <c r="O169" s="84" t="str">
        <f t="shared" ca="1" si="65"/>
        <v>CM: Increase Damage against Explorers OA: Increase Health of all Officers on the ship</v>
      </c>
      <c r="Q169" s="34"/>
      <c r="R169" s="34"/>
      <c r="S169" s="34"/>
      <c r="T169" s="34"/>
      <c r="U169" s="34"/>
      <c r="V169" s="34"/>
      <c r="W169" s="34"/>
      <c r="X169" s="34"/>
    </row>
    <row r="170" spans="1:24" s="13" customFormat="1" ht="17.25" customHeight="1" x14ac:dyDescent="0.25">
      <c r="A170" s="34"/>
      <c r="B170" s="13" t="str">
        <f t="shared" si="57"/>
        <v>R</v>
      </c>
      <c r="C170" s="493" t="s">
        <v>46</v>
      </c>
      <c r="D170" s="44">
        <f t="shared" ca="1" si="68"/>
        <v>0</v>
      </c>
      <c r="E170" s="34">
        <f t="shared" ca="1" si="69"/>
        <v>0</v>
      </c>
      <c r="F170" s="35">
        <f t="shared" ca="1" si="58"/>
        <v>0</v>
      </c>
      <c r="G170" s="35">
        <f t="shared" ca="1" si="59"/>
        <v>0</v>
      </c>
      <c r="H170" s="35">
        <f t="shared" ca="1" si="60"/>
        <v>0</v>
      </c>
      <c r="I170" s="34" t="str">
        <f t="shared" si="61"/>
        <v>Nero's Crew</v>
      </c>
      <c r="J170" s="33" t="str">
        <f t="shared" ca="1" si="55"/>
        <v/>
      </c>
      <c r="K170" s="33" t="str">
        <f t="shared" ca="1" si="56"/>
        <v/>
      </c>
      <c r="L170" s="33" t="str">
        <f t="shared" ca="1" si="62"/>
        <v xml:space="preserve"> | Y</v>
      </c>
      <c r="M170" s="33" t="str">
        <f t="shared" ca="1" si="63"/>
        <v xml:space="preserve"> | </v>
      </c>
      <c r="N170" s="33" t="str">
        <f t="shared" ca="1" si="64"/>
        <v xml:space="preserve"> | </v>
      </c>
      <c r="O170" s="84" t="str">
        <f t="shared" ca="1" si="65"/>
        <v>CM: Resurrect with % Hull Health OA: Decrease Shield Health of a Burning opponent by % of crew's Health</v>
      </c>
      <c r="Q170" s="34"/>
      <c r="R170" s="34"/>
      <c r="S170" s="34"/>
      <c r="T170" s="34"/>
      <c r="U170" s="34"/>
      <c r="V170" s="34"/>
      <c r="W170" s="34"/>
      <c r="X170" s="34"/>
    </row>
    <row r="171" spans="1:24" s="13" customFormat="1" ht="17.25" customHeight="1" x14ac:dyDescent="0.25">
      <c r="A171" s="34"/>
      <c r="B171" s="13" t="str">
        <f t="shared" si="57"/>
        <v>U</v>
      </c>
      <c r="C171" s="493" t="s">
        <v>33</v>
      </c>
      <c r="D171" s="44">
        <f t="shared" ca="1" si="68"/>
        <v>0</v>
      </c>
      <c r="E171" s="34">
        <f t="shared" ca="1" si="69"/>
        <v>0</v>
      </c>
      <c r="F171" s="35">
        <f t="shared" ca="1" si="58"/>
        <v>0</v>
      </c>
      <c r="G171" s="35">
        <f t="shared" ca="1" si="59"/>
        <v>0</v>
      </c>
      <c r="H171" s="35">
        <f t="shared" ca="1" si="60"/>
        <v>0</v>
      </c>
      <c r="I171" s="34" t="str">
        <f t="shared" si="61"/>
        <v>Glory in the Kill</v>
      </c>
      <c r="J171" s="33" t="str">
        <f t="shared" ca="1" si="55"/>
        <v/>
      </c>
      <c r="K171" s="33" t="str">
        <f t="shared" ca="1" si="56"/>
        <v/>
      </c>
      <c r="L171" s="33" t="str">
        <f t="shared" ca="1" si="62"/>
        <v xml:space="preserve"> | </v>
      </c>
      <c r="M171" s="33" t="str">
        <f t="shared" ca="1" si="63"/>
        <v xml:space="preserve"> | </v>
      </c>
      <c r="N171" s="33" t="str">
        <f t="shared" ca="1" si="64"/>
        <v xml:space="preserve"> | </v>
      </c>
      <c r="O171" s="84" t="str">
        <f t="shared" ca="1" si="65"/>
        <v>CM: Chance to delay opponent's Weapons each round, for 1 round OA: Decrease Energy Damage from players</v>
      </c>
      <c r="Q171" s="34"/>
      <c r="R171" s="34"/>
      <c r="S171" s="34"/>
      <c r="T171" s="34"/>
      <c r="U171" s="34"/>
      <c r="V171" s="34"/>
      <c r="W171" s="34"/>
      <c r="X171" s="34"/>
    </row>
    <row r="172" spans="1:24" s="13" customFormat="1" ht="17.25" customHeight="1" x14ac:dyDescent="0.25">
      <c r="A172" s="34"/>
      <c r="B172" s="13" t="str">
        <f t="shared" si="57"/>
        <v>R</v>
      </c>
      <c r="C172" s="493" t="s">
        <v>871</v>
      </c>
      <c r="D172" s="44">
        <f t="shared" ca="1" si="68"/>
        <v>0</v>
      </c>
      <c r="E172" s="34">
        <f t="shared" ca="1" si="69"/>
        <v>0</v>
      </c>
      <c r="F172" s="35">
        <f t="shared" ca="1" si="58"/>
        <v>0</v>
      </c>
      <c r="G172" s="35">
        <f t="shared" ca="1" si="59"/>
        <v>0</v>
      </c>
      <c r="H172" s="35">
        <f t="shared" ca="1" si="60"/>
        <v>0</v>
      </c>
      <c r="I172" s="34" t="str">
        <f t="shared" si="61"/>
        <v>TNG Crew</v>
      </c>
      <c r="J172" s="33" t="str">
        <f t="shared" ca="1" si="55"/>
        <v/>
      </c>
      <c r="K172" s="33" t="str">
        <f t="shared" ca="1" si="56"/>
        <v/>
      </c>
      <c r="L172" s="33" t="str">
        <f t="shared" ca="1" si="62"/>
        <v xml:space="preserve"> | </v>
      </c>
      <c r="M172" s="33" t="str">
        <f t="shared" ca="1" si="63"/>
        <v xml:space="preserve"> | </v>
      </c>
      <c r="N172" s="33" t="str">
        <f t="shared" ca="1" si="64"/>
        <v xml:space="preserve"> | </v>
      </c>
      <c r="O172" s="84" t="str">
        <f t="shared" ca="1" si="65"/>
        <v>CM: Increase Damage against Hostiles and Armadas OA: Increases own stats</v>
      </c>
      <c r="Q172" s="34"/>
      <c r="R172" s="34"/>
      <c r="S172" s="34"/>
      <c r="T172" s="34"/>
      <c r="U172" s="34"/>
      <c r="V172" s="34"/>
      <c r="W172" s="34"/>
      <c r="X172" s="34"/>
    </row>
    <row r="173" spans="1:24" s="13" customFormat="1" ht="17.25" customHeight="1" x14ac:dyDescent="0.25">
      <c r="A173" s="34"/>
      <c r="B173" s="13" t="str">
        <f t="shared" si="57"/>
        <v>E</v>
      </c>
      <c r="C173" s="493" t="s">
        <v>918</v>
      </c>
      <c r="D173" s="44">
        <f t="shared" ca="1" si="68"/>
        <v>0</v>
      </c>
      <c r="E173" s="34">
        <f t="shared" ca="1" si="69"/>
        <v>0</v>
      </c>
      <c r="F173" s="35">
        <f t="shared" ca="1" si="58"/>
        <v>0</v>
      </c>
      <c r="G173" s="35">
        <f t="shared" ca="1" si="59"/>
        <v>0</v>
      </c>
      <c r="H173" s="35">
        <f t="shared" ca="1" si="60"/>
        <v>0</v>
      </c>
      <c r="I173" s="34" t="str">
        <f t="shared" si="61"/>
        <v>TNG Crew</v>
      </c>
      <c r="J173" s="33" t="str">
        <f t="shared" ca="1" si="55"/>
        <v/>
      </c>
      <c r="K173" s="33" t="str">
        <f t="shared" ca="1" si="56"/>
        <v/>
      </c>
      <c r="L173" s="33" t="str">
        <f t="shared" ca="1" si="62"/>
        <v xml:space="preserve"> | </v>
      </c>
      <c r="M173" s="33" t="str">
        <f t="shared" ca="1" si="63"/>
        <v xml:space="preserve"> | </v>
      </c>
      <c r="N173" s="33" t="str">
        <f t="shared" ca="1" si="64"/>
        <v xml:space="preserve"> | </v>
      </c>
      <c r="O173" s="84" t="str">
        <f t="shared" ca="1" si="65"/>
        <v>CM: Increases Weapon Damage against Armada Targets (Cumulative) OA: Increases Damage against Federation Hostiles and Armadas</v>
      </c>
      <c r="Q173" s="34"/>
      <c r="R173" s="34"/>
      <c r="S173" s="34"/>
      <c r="T173" s="34"/>
      <c r="U173" s="34"/>
      <c r="V173" s="34"/>
      <c r="W173" s="34"/>
      <c r="X173" s="34"/>
    </row>
    <row r="174" spans="1:24" s="13" customFormat="1" ht="17.25" customHeight="1" x14ac:dyDescent="0.25">
      <c r="A174" s="34"/>
      <c r="B174" s="13" t="str">
        <f t="shared" si="57"/>
        <v>R</v>
      </c>
      <c r="C174" s="493" t="s">
        <v>1357</v>
      </c>
      <c r="D174" s="44">
        <f t="shared" ca="1" si="68"/>
        <v>0</v>
      </c>
      <c r="E174" s="34">
        <f t="shared" ca="1" si="69"/>
        <v>0</v>
      </c>
      <c r="F174" s="35">
        <f t="shared" ca="1" si="58"/>
        <v>0</v>
      </c>
      <c r="G174" s="35">
        <f t="shared" ca="1" si="59"/>
        <v>0</v>
      </c>
      <c r="H174" s="35">
        <f t="shared" ca="1" si="60"/>
        <v>0</v>
      </c>
      <c r="I174" s="34" t="str">
        <f t="shared" si="61"/>
        <v>TNG Crew</v>
      </c>
      <c r="J174" s="33" t="str">
        <f t="shared" ca="1" si="55"/>
        <v/>
      </c>
      <c r="K174" s="33" t="str">
        <f t="shared" ca="1" si="56"/>
        <v/>
      </c>
      <c r="L174" s="33" t="str">
        <f t="shared" ca="1" si="62"/>
        <v xml:space="preserve"> | </v>
      </c>
      <c r="M174" s="33" t="str">
        <f t="shared" ca="1" si="63"/>
        <v xml:space="preserve"> | </v>
      </c>
      <c r="N174" s="33" t="str">
        <f t="shared" ca="1" si="64"/>
        <v xml:space="preserve"> | </v>
      </c>
      <c r="O174" s="84" t="str">
        <f t="shared" ca="1" si="65"/>
        <v>CM: After winning a battle, Worf increases the Warp Speed of the ship. This bonus does not stack, and is removed when returning to your station. OA: Increases all Mitigation stats against non-player targets</v>
      </c>
      <c r="Q174" s="34"/>
      <c r="R174" s="34"/>
      <c r="S174" s="34"/>
      <c r="T174" s="34"/>
      <c r="U174" s="34"/>
      <c r="V174" s="34"/>
      <c r="W174" s="34"/>
      <c r="X174" s="34"/>
    </row>
    <row r="175" spans="1:24" s="13" customFormat="1" ht="17.25" customHeight="1" x14ac:dyDescent="0.25">
      <c r="A175" s="34"/>
      <c r="B175" s="13" t="str">
        <f t="shared" si="57"/>
        <v>U</v>
      </c>
      <c r="C175" s="493" t="s">
        <v>41</v>
      </c>
      <c r="D175" s="44">
        <f t="shared" ca="1" si="68"/>
        <v>0</v>
      </c>
      <c r="E175" s="34">
        <f t="shared" ca="1" si="69"/>
        <v>0</v>
      </c>
      <c r="F175" s="35">
        <f t="shared" ca="1" si="58"/>
        <v>0</v>
      </c>
      <c r="G175" s="35">
        <f t="shared" ca="1" si="59"/>
        <v>0</v>
      </c>
      <c r="H175" s="35">
        <f t="shared" ca="1" si="60"/>
        <v>0</v>
      </c>
      <c r="I175" s="34" t="str">
        <f t="shared" si="61"/>
        <v>Klingon Patriots</v>
      </c>
      <c r="J175" s="33" t="str">
        <f t="shared" ca="1" si="55"/>
        <v/>
      </c>
      <c r="K175" s="33" t="str">
        <f t="shared" ca="1" si="56"/>
        <v/>
      </c>
      <c r="L175" s="33" t="str">
        <f t="shared" ca="1" si="62"/>
        <v xml:space="preserve"> | </v>
      </c>
      <c r="M175" s="33" t="str">
        <f t="shared" ca="1" si="63"/>
        <v xml:space="preserve"> | </v>
      </c>
      <c r="N175" s="33" t="str">
        <f t="shared" ca="1" si="64"/>
        <v xml:space="preserve"> | </v>
      </c>
      <c r="O175" s="84" t="str">
        <f t="shared" ca="1" si="65"/>
        <v>CM: Increase damage if opponent's ship is a Battleship OA: Increase dodge when aboard an Interceptor</v>
      </c>
      <c r="Q175" s="34"/>
      <c r="R175" s="34"/>
      <c r="S175" s="34"/>
      <c r="T175" s="34"/>
      <c r="U175" s="34"/>
      <c r="V175" s="34"/>
      <c r="W175" s="34"/>
      <c r="X175" s="34"/>
    </row>
    <row r="176" spans="1:24" s="13" customFormat="1" ht="17.25" customHeight="1" x14ac:dyDescent="0.25">
      <c r="A176" s="34"/>
      <c r="B176" s="13" t="str">
        <f t="shared" si="57"/>
        <v>U</v>
      </c>
      <c r="C176" s="493" t="s">
        <v>53</v>
      </c>
      <c r="D176" s="44">
        <f t="shared" ca="1" si="68"/>
        <v>0</v>
      </c>
      <c r="E176" s="34">
        <f t="shared" ca="1" si="69"/>
        <v>0</v>
      </c>
      <c r="F176" s="35">
        <f t="shared" ca="1" si="58"/>
        <v>0</v>
      </c>
      <c r="G176" s="35">
        <f t="shared" ca="1" si="59"/>
        <v>0</v>
      </c>
      <c r="H176" s="35">
        <f t="shared" ca="1" si="60"/>
        <v>0</v>
      </c>
      <c r="I176" s="34" t="str">
        <f t="shared" si="61"/>
        <v>Blood &amp; Honor</v>
      </c>
      <c r="J176" s="33" t="str">
        <f t="shared" ca="1" si="55"/>
        <v/>
      </c>
      <c r="K176" s="33" t="str">
        <f t="shared" ca="1" si="56"/>
        <v/>
      </c>
      <c r="L176" s="33" t="str">
        <f t="shared" ca="1" si="62"/>
        <v xml:space="preserve"> | </v>
      </c>
      <c r="M176" s="33" t="str">
        <f t="shared" ca="1" si="63"/>
        <v xml:space="preserve"> | </v>
      </c>
      <c r="N176" s="33" t="str">
        <f t="shared" ca="1" si="64"/>
        <v xml:space="preserve"> | </v>
      </c>
      <c r="O176" s="84" t="str">
        <f t="shared" ca="1" si="65"/>
        <v>CM: Increase damage after depleting the opponent's Shield Health OA: Inxrease Damage ro Romulans by % of crew's Health</v>
      </c>
      <c r="Q176" s="34"/>
      <c r="R176" s="34"/>
      <c r="S176" s="34"/>
      <c r="T176" s="34"/>
      <c r="U176" s="34"/>
      <c r="V176" s="34"/>
      <c r="W176" s="34"/>
      <c r="X176" s="34"/>
    </row>
    <row r="177" spans="1:24" s="13" customFormat="1" ht="17.25" customHeight="1" x14ac:dyDescent="0.25">
      <c r="A177" s="34"/>
      <c r="B177" s="13" t="str">
        <f t="shared" si="57"/>
        <v>R</v>
      </c>
      <c r="C177" s="493" t="s">
        <v>65</v>
      </c>
      <c r="D177" s="44">
        <f t="shared" ca="1" si="68"/>
        <v>0</v>
      </c>
      <c r="E177" s="34">
        <f t="shared" ca="1" si="69"/>
        <v>0</v>
      </c>
      <c r="F177" s="35">
        <f t="shared" ca="1" si="58"/>
        <v>0</v>
      </c>
      <c r="G177" s="35">
        <f t="shared" ca="1" si="59"/>
        <v>0</v>
      </c>
      <c r="H177" s="35">
        <f t="shared" ca="1" si="60"/>
        <v>0</v>
      </c>
      <c r="I177" s="34" t="str">
        <f t="shared" si="61"/>
        <v>Section 31</v>
      </c>
      <c r="J177" s="33" t="str">
        <f t="shared" ca="1" si="55"/>
        <v/>
      </c>
      <c r="K177" s="33" t="str">
        <f t="shared" ca="1" si="56"/>
        <v/>
      </c>
      <c r="L177" s="33" t="str">
        <f t="shared" ca="1" si="62"/>
        <v xml:space="preserve"> | </v>
      </c>
      <c r="M177" s="33" t="str">
        <f t="shared" ca="1" si="63"/>
        <v xml:space="preserve"> | </v>
      </c>
      <c r="N177" s="33" t="str">
        <f t="shared" ca="1" si="64"/>
        <v xml:space="preserve"> | </v>
      </c>
      <c r="O177" s="84" t="str">
        <f t="shared" ca="1" si="65"/>
        <v>CM: Decrease the shield Health of the opponent's ship each round OA: Increase damage to Romulans by % of crew's Health</v>
      </c>
      <c r="Q177" s="34"/>
      <c r="R177" s="34"/>
      <c r="S177" s="34"/>
      <c r="T177" s="34"/>
      <c r="U177" s="34"/>
      <c r="V177" s="34"/>
      <c r="W177" s="34"/>
      <c r="X177" s="34"/>
    </row>
    <row r="178" spans="1:24" s="13" customFormat="1" ht="17.25" customHeight="1" x14ac:dyDescent="0.25">
      <c r="A178" s="34"/>
      <c r="B178" s="13" t="str">
        <f t="shared" si="57"/>
        <v>C</v>
      </c>
      <c r="C178" s="493" t="s">
        <v>54</v>
      </c>
      <c r="D178" s="44">
        <f t="shared" ca="1" si="68"/>
        <v>0</v>
      </c>
      <c r="E178" s="34">
        <f t="shared" ca="1" si="69"/>
        <v>0</v>
      </c>
      <c r="F178" s="35">
        <f t="shared" ca="1" si="58"/>
        <v>0</v>
      </c>
      <c r="G178" s="35">
        <f t="shared" ca="1" si="59"/>
        <v>0</v>
      </c>
      <c r="H178" s="35">
        <f t="shared" ca="1" si="60"/>
        <v>0</v>
      </c>
      <c r="I178" s="34" t="str">
        <f t="shared" si="61"/>
        <v>Auxiliary Controls</v>
      </c>
      <c r="J178" s="33" t="str">
        <f t="shared" ca="1" si="55"/>
        <v/>
      </c>
      <c r="K178" s="33" t="str">
        <f t="shared" ca="1" si="56"/>
        <v/>
      </c>
      <c r="L178" s="33" t="str">
        <f t="shared" ca="1" si="62"/>
        <v xml:space="preserve"> | </v>
      </c>
      <c r="M178" s="33" t="str">
        <f t="shared" ca="1" si="63"/>
        <v xml:space="preserve"> | </v>
      </c>
      <c r="N178" s="33" t="str">
        <f t="shared" ca="1" si="64"/>
        <v xml:space="preserve"> | </v>
      </c>
      <c r="O178" s="84" t="str">
        <f t="shared" ca="1" si="65"/>
        <v>CM: Increase ships Hull Health when defending a station OA: Increase Damage dealt when defending a Station</v>
      </c>
      <c r="Q178" s="34"/>
      <c r="R178" s="34"/>
      <c r="S178" s="34"/>
      <c r="T178" s="34"/>
      <c r="U178" s="34"/>
      <c r="V178" s="34"/>
      <c r="W178" s="34"/>
      <c r="X178" s="34"/>
    </row>
    <row r="179" spans="1:24" s="13" customFormat="1" ht="17.25" customHeight="1" x14ac:dyDescent="0.25">
      <c r="A179" s="34"/>
      <c r="B179" s="13" t="str">
        <f t="shared" si="57"/>
        <v>U</v>
      </c>
      <c r="C179" s="493" t="s">
        <v>42</v>
      </c>
      <c r="D179" s="44">
        <f t="shared" ca="1" si="68"/>
        <v>0</v>
      </c>
      <c r="E179" s="34">
        <f t="shared" ca="1" si="69"/>
        <v>0</v>
      </c>
      <c r="F179" s="35">
        <f t="shared" ca="1" si="58"/>
        <v>0</v>
      </c>
      <c r="G179" s="35">
        <f t="shared" ca="1" si="59"/>
        <v>0</v>
      </c>
      <c r="H179" s="35">
        <f t="shared" ca="1" si="60"/>
        <v>0</v>
      </c>
      <c r="I179" s="34" t="str">
        <f t="shared" si="61"/>
        <v>Section 31</v>
      </c>
      <c r="J179" s="33" t="str">
        <f t="shared" ca="1" si="55"/>
        <v/>
      </c>
      <c r="K179" s="33" t="str">
        <f t="shared" ca="1" si="56"/>
        <v/>
      </c>
      <c r="L179" s="33" t="str">
        <f t="shared" ca="1" si="62"/>
        <v xml:space="preserve"> | </v>
      </c>
      <c r="M179" s="33" t="str">
        <f t="shared" ca="1" si="63"/>
        <v xml:space="preserve"> | </v>
      </c>
      <c r="N179" s="33" t="str">
        <f t="shared" ca="1" si="64"/>
        <v xml:space="preserve"> | Y</v>
      </c>
      <c r="O179" s="84" t="str">
        <f t="shared" ca="1" si="65"/>
        <v>CM: Increase Defence of bridge officers  OA: Increase mitigation by % of crew's Defence when having Morale</v>
      </c>
      <c r="Q179" s="34"/>
      <c r="R179" s="34"/>
      <c r="S179" s="34"/>
      <c r="T179" s="34"/>
      <c r="U179" s="34"/>
      <c r="V179" s="34"/>
      <c r="W179" s="34"/>
      <c r="X179" s="34"/>
    </row>
    <row r="180" spans="1:24" s="13" customFormat="1" ht="27.75" customHeight="1" x14ac:dyDescent="0.25">
      <c r="A180" s="37"/>
      <c r="B180" s="38"/>
      <c r="C180" s="38"/>
      <c r="D180" s="39"/>
      <c r="E180" s="39"/>
      <c r="F180" s="39"/>
      <c r="G180" s="39"/>
      <c r="H180" s="39"/>
      <c r="I180" s="39"/>
      <c r="J180" s="39"/>
      <c r="K180" s="39"/>
      <c r="L180" s="39"/>
      <c r="M180" s="39"/>
      <c r="N180" s="39"/>
      <c r="O180" s="39"/>
      <c r="P180" s="39"/>
      <c r="Q180" s="39"/>
      <c r="R180" s="39"/>
      <c r="S180" s="39"/>
      <c r="T180" s="39"/>
      <c r="U180" s="39"/>
      <c r="V180" s="39"/>
      <c r="W180" s="39"/>
      <c r="X180" s="40"/>
    </row>
  </sheetData>
  <sheetProtection password="E617" sheet="1" objects="1" scenarios="1" insertRows="0" deleteRows="0" selectLockedCells="1" sort="0" autoFilter="0"/>
  <autoFilter ref="A21:Y153">
    <sortState ref="A22:Y179">
      <sortCondition ref="C21:C153"/>
    </sortState>
  </autoFilter>
  <dataConsolidate/>
  <mergeCells count="23">
    <mergeCell ref="R10:S10"/>
    <mergeCell ref="L12:M12"/>
    <mergeCell ref="N12:O12"/>
    <mergeCell ref="P12:Q12"/>
    <mergeCell ref="J10:K10"/>
    <mergeCell ref="L10:M10"/>
    <mergeCell ref="N10:O10"/>
    <mergeCell ref="L17:Q17"/>
    <mergeCell ref="N5:O5"/>
    <mergeCell ref="N9:O9"/>
    <mergeCell ref="J13:K13"/>
    <mergeCell ref="L13:M13"/>
    <mergeCell ref="N13:O13"/>
    <mergeCell ref="L8:Q8"/>
    <mergeCell ref="P7:Q7"/>
    <mergeCell ref="P13:Q13"/>
    <mergeCell ref="P10:Q10"/>
    <mergeCell ref="L7:M7"/>
    <mergeCell ref="N7:O7"/>
    <mergeCell ref="N6:O6"/>
    <mergeCell ref="L6:M6"/>
    <mergeCell ref="P6:Q6"/>
    <mergeCell ref="L11:Q11"/>
  </mergeCells>
  <conditionalFormatting sqref="J14:S14">
    <cfRule type="expression" dxfId="117" priority="30">
      <formula>J14&lt;$L$13</formula>
    </cfRule>
  </conditionalFormatting>
  <conditionalFormatting sqref="L22:N179">
    <cfRule type="expression" dxfId="116" priority="17">
      <formula>L22=0</formula>
    </cfRule>
    <cfRule type="expression" dxfId="115" priority="18">
      <formula>L22=5</formula>
    </cfRule>
    <cfRule type="expression" dxfId="114" priority="19">
      <formula>AND(L22&gt;3.5,L22&lt;5)</formula>
    </cfRule>
    <cfRule type="expression" dxfId="113" priority="20">
      <formula>AND(L22&gt;2.5,L22&lt;4)</formula>
    </cfRule>
    <cfRule type="expression" dxfId="112" priority="21">
      <formula>AND(L22&gt;1.5,L22&lt;3)</formula>
    </cfRule>
    <cfRule type="expression" dxfId="111" priority="22">
      <formula>AND(L22&gt;0,L22&lt;2)</formula>
    </cfRule>
  </conditionalFormatting>
  <conditionalFormatting sqref="C22:C180">
    <cfRule type="expression" dxfId="110" priority="24">
      <formula>B22="E"</formula>
    </cfRule>
    <cfRule type="expression" dxfId="109" priority="25">
      <formula>B22="R"</formula>
    </cfRule>
    <cfRule type="expression" dxfId="108" priority="26">
      <formula>B22="U"</formula>
    </cfRule>
    <cfRule type="expression" dxfId="107" priority="27">
      <formula>B22="C"</formula>
    </cfRule>
  </conditionalFormatting>
  <conditionalFormatting sqref="D22:D179">
    <cfRule type="expression" dxfId="106" priority="13">
      <formula>AND(E22=5,D22&lt;30)</formula>
    </cfRule>
    <cfRule type="expression" dxfId="105" priority="14">
      <formula>AND(E22&gt;0,E22&lt;5,D22&lt;E22*5)</formula>
    </cfRule>
  </conditionalFormatting>
  <conditionalFormatting sqref="J15:S15">
    <cfRule type="expression" dxfId="104" priority="12">
      <formula>J15&lt;$N$13</formula>
    </cfRule>
  </conditionalFormatting>
  <conditionalFormatting sqref="J16:S16">
    <cfRule type="expression" dxfId="103" priority="11">
      <formula>J16&lt;$P$13</formula>
    </cfRule>
  </conditionalFormatting>
  <conditionalFormatting sqref="E7">
    <cfRule type="cellIs" dxfId="102" priority="9" operator="equal">
      <formula>$D$7/100</formula>
    </cfRule>
  </conditionalFormatting>
  <conditionalFormatting sqref="E10:E12">
    <cfRule type="cellIs" dxfId="101" priority="6" operator="equal">
      <formula>0.4</formula>
    </cfRule>
  </conditionalFormatting>
  <conditionalFormatting sqref="E13">
    <cfRule type="cellIs" dxfId="100" priority="5" operator="equal">
      <formula>0.8</formula>
    </cfRule>
  </conditionalFormatting>
  <conditionalFormatting sqref="E14:E15">
    <cfRule type="cellIs" dxfId="99" priority="4" operator="equal">
      <formula>0.45</formula>
    </cfRule>
  </conditionalFormatting>
  <conditionalFormatting sqref="H12:H15">
    <cfRule type="cellIs" dxfId="98" priority="3" operator="equal">
      <formula>0.35</formula>
    </cfRule>
  </conditionalFormatting>
  <conditionalFormatting sqref="E8:E9">
    <cfRule type="cellIs" dxfId="97" priority="2" operator="equal">
      <formula>1</formula>
    </cfRule>
  </conditionalFormatting>
  <conditionalFormatting sqref="I10:T10">
    <cfRule type="expression" dxfId="96" priority="1">
      <formula>VLOOKUP(I10,OfficerSkillsFull,33,FALSE) = "Y"</formula>
    </cfRule>
  </conditionalFormatting>
  <dataValidations count="4">
    <dataValidation type="list" allowBlank="1" showInputMessage="1" showErrorMessage="1" sqref="O20">
      <formula1>"Abilities,Scores"</formula1>
    </dataValidation>
    <dataValidation type="list" allowBlank="1" error="Please select an officer from the list" sqref="I10:T10">
      <formula1>OfficersAvailable</formula1>
    </dataValidation>
    <dataValidation type="list" allowBlank="1" showInputMessage="1" sqref="L7:Q7">
      <formula1>OfficersAvailable</formula1>
    </dataValidation>
    <dataValidation type="list" allowBlank="1" showErrorMessage="1" error="Please select a ship from the list" sqref="J13:K13">
      <formula1>ShipNames</formula1>
    </dataValidation>
  </dataValidations>
  <hyperlinks>
    <hyperlink ref="C23" r:id="rId1"/>
    <hyperlink ref="C24" r:id="rId2"/>
    <hyperlink ref="C105" r:id="rId3"/>
    <hyperlink ref="C25" r:id="rId4"/>
    <hyperlink ref="C26" r:id="rId5"/>
    <hyperlink ref="C27" r:id="rId6"/>
    <hyperlink ref="C165" r:id="rId7"/>
    <hyperlink ref="C28" r:id="rId8"/>
    <hyperlink ref="C33" r:id="rId9"/>
    <hyperlink ref="C30" r:id="rId10"/>
    <hyperlink ref="C31" r:id="rId11"/>
    <hyperlink ref="C34" r:id="rId12"/>
    <hyperlink ref="C40" r:id="rId13"/>
    <hyperlink ref="C37" r:id="rId14"/>
    <hyperlink ref="C38" r:id="rId15"/>
    <hyperlink ref="C39" r:id="rId16"/>
    <hyperlink ref="C41" r:id="rId17"/>
    <hyperlink ref="C42" r:id="rId18"/>
    <hyperlink ref="C43" r:id="rId19"/>
    <hyperlink ref="C45" r:id="rId20"/>
    <hyperlink ref="C130" r:id="rId21"/>
    <hyperlink ref="C53" r:id="rId22"/>
    <hyperlink ref="C50" r:id="rId23"/>
    <hyperlink ref="C51" r:id="rId24"/>
    <hyperlink ref="C52" r:id="rId25"/>
    <hyperlink ref="C54" r:id="rId26"/>
    <hyperlink ref="C56" r:id="rId27"/>
    <hyperlink ref="C103" r:id="rId28"/>
    <hyperlink ref="C57" r:id="rId29"/>
    <hyperlink ref="C58" r:id="rId30"/>
    <hyperlink ref="C59" r:id="rId31"/>
    <hyperlink ref="C60" r:id="rId32"/>
    <hyperlink ref="C61" r:id="rId33"/>
    <hyperlink ref="C62" r:id="rId34"/>
    <hyperlink ref="C97" r:id="rId35"/>
    <hyperlink ref="C101" r:id="rId36"/>
    <hyperlink ref="C63" r:id="rId37"/>
    <hyperlink ref="C111" r:id="rId38"/>
    <hyperlink ref="C71" r:id="rId39"/>
    <hyperlink ref="C64" r:id="rId40"/>
    <hyperlink ref="C65" r:id="rId41"/>
    <hyperlink ref="C66" r:id="rId42"/>
    <hyperlink ref="C68" r:id="rId43"/>
    <hyperlink ref="C69" r:id="rId44"/>
    <hyperlink ref="C70" r:id="rId45"/>
    <hyperlink ref="C47" r:id="rId46"/>
    <hyperlink ref="C114" r:id="rId47"/>
    <hyperlink ref="C73" r:id="rId48"/>
    <hyperlink ref="C74" r:id="rId49"/>
    <hyperlink ref="C75" r:id="rId50"/>
    <hyperlink ref="C147" r:id="rId51"/>
    <hyperlink ref="C76" r:id="rId52"/>
    <hyperlink ref="C48" r:id="rId53"/>
    <hyperlink ref="C77" r:id="rId54"/>
    <hyperlink ref="C108" r:id="rId55"/>
    <hyperlink ref="C89" r:id="rId56"/>
    <hyperlink ref="C78" r:id="rId57"/>
    <hyperlink ref="C79" r:id="rId58"/>
    <hyperlink ref="C80" r:id="rId59"/>
    <hyperlink ref="C81" r:id="rId60"/>
    <hyperlink ref="C82" r:id="rId61"/>
    <hyperlink ref="C72" r:id="rId62"/>
    <hyperlink ref="C85" r:id="rId63"/>
    <hyperlink ref="C83" r:id="rId64"/>
    <hyperlink ref="C84" r:id="rId65"/>
    <hyperlink ref="C86" r:id="rId66"/>
    <hyperlink ref="C87" r:id="rId67"/>
    <hyperlink ref="C88" r:id="rId68"/>
    <hyperlink ref="C90" r:id="rId69"/>
    <hyperlink ref="C91" r:id="rId70"/>
    <hyperlink ref="C92" r:id="rId71"/>
    <hyperlink ref="C93" r:id="rId72"/>
    <hyperlink ref="C94" r:id="rId73"/>
    <hyperlink ref="C95" r:id="rId74"/>
    <hyperlink ref="C96" r:id="rId75"/>
    <hyperlink ref="C100" r:id="rId76"/>
    <hyperlink ref="C35" r:id="rId77"/>
    <hyperlink ref="C98" r:id="rId78"/>
    <hyperlink ref="C46" r:id="rId79"/>
    <hyperlink ref="C99" r:id="rId80"/>
    <hyperlink ref="C67" r:id="rId81"/>
    <hyperlink ref="C102" r:id="rId82"/>
    <hyperlink ref="C113" r:id="rId83"/>
    <hyperlink ref="C49" r:id="rId84"/>
    <hyperlink ref="C104" r:id="rId85"/>
    <hyperlink ref="C106" r:id="rId86"/>
    <hyperlink ref="C112" r:id="rId87"/>
    <hyperlink ref="C107" r:id="rId88"/>
    <hyperlink ref="C109" r:id="rId89"/>
    <hyperlink ref="C110" r:id="rId90"/>
    <hyperlink ref="C138" r:id="rId91"/>
    <hyperlink ref="C115" r:id="rId92"/>
    <hyperlink ref="C116" r:id="rId93"/>
    <hyperlink ref="C117" r:id="rId94"/>
    <hyperlink ref="C118" r:id="rId95"/>
    <hyperlink ref="C119" r:id="rId96"/>
    <hyperlink ref="C120" r:id="rId97"/>
    <hyperlink ref="C121" r:id="rId98"/>
    <hyperlink ref="C122" r:id="rId99"/>
    <hyperlink ref="C166" r:id="rId100"/>
    <hyperlink ref="C22" r:id="rId101"/>
    <hyperlink ref="C123" r:id="rId102"/>
    <hyperlink ref="C124" r:id="rId103"/>
    <hyperlink ref="C125" r:id="rId104"/>
    <hyperlink ref="C126" r:id="rId105"/>
    <hyperlink ref="C127" r:id="rId106"/>
    <hyperlink ref="C128" r:id="rId107"/>
    <hyperlink ref="C129" r:id="rId108"/>
    <hyperlink ref="C135" r:id="rId109"/>
    <hyperlink ref="C131" r:id="rId110"/>
    <hyperlink ref="C132" r:id="rId111"/>
    <hyperlink ref="C55" r:id="rId112"/>
    <hyperlink ref="C133" r:id="rId113"/>
    <hyperlink ref="C134" r:id="rId114"/>
    <hyperlink ref="C136" r:id="rId115"/>
    <hyperlink ref="C137" r:id="rId116"/>
    <hyperlink ref="C139" r:id="rId117"/>
    <hyperlink ref="C140" r:id="rId118"/>
    <hyperlink ref="C141" r:id="rId119"/>
    <hyperlink ref="C142" r:id="rId120"/>
    <hyperlink ref="C143" r:id="rId121"/>
    <hyperlink ref="C144" r:id="rId122"/>
    <hyperlink ref="C145" r:id="rId123"/>
    <hyperlink ref="C146" r:id="rId124"/>
    <hyperlink ref="C154" r:id="rId125"/>
    <hyperlink ref="C163" r:id="rId126"/>
    <hyperlink ref="C148" r:id="rId127"/>
    <hyperlink ref="C149" r:id="rId128"/>
    <hyperlink ref="C150" r:id="rId129"/>
    <hyperlink ref="C151" r:id="rId130"/>
    <hyperlink ref="C152" r:id="rId131"/>
    <hyperlink ref="C153" r:id="rId132"/>
    <hyperlink ref="C155" r:id="rId133"/>
    <hyperlink ref="C161" r:id="rId134"/>
    <hyperlink ref="C157" r:id="rId135"/>
    <hyperlink ref="C158" r:id="rId136"/>
    <hyperlink ref="C159" r:id="rId137"/>
    <hyperlink ref="C162" r:id="rId138"/>
    <hyperlink ref="C156" r:id="rId139"/>
    <hyperlink ref="C160" r:id="rId140"/>
    <hyperlink ref="C164" r:id="rId141"/>
    <hyperlink ref="C167" r:id="rId142"/>
    <hyperlink ref="C168" r:id="rId143"/>
    <hyperlink ref="C169" r:id="rId144"/>
    <hyperlink ref="C170" r:id="rId145"/>
    <hyperlink ref="C171" r:id="rId146"/>
    <hyperlink ref="C172" r:id="rId147"/>
    <hyperlink ref="C173" r:id="rId148"/>
    <hyperlink ref="C174" r:id="rId149"/>
    <hyperlink ref="C175" r:id="rId150"/>
    <hyperlink ref="C176" r:id="rId151"/>
    <hyperlink ref="C177" r:id="rId152"/>
    <hyperlink ref="C178" r:id="rId153"/>
    <hyperlink ref="C44" r:id="rId154"/>
    <hyperlink ref="D2:F2" r:id="rId155" display="source data provided by STFC.space"/>
    <hyperlink ref="C29" r:id="rId156"/>
    <hyperlink ref="C32" r:id="rId157"/>
    <hyperlink ref="C36" r:id="rId158"/>
    <hyperlink ref="C179" r:id="rId159"/>
  </hyperlinks>
  <pageMargins left="0.7" right="0.7" top="0.75" bottom="0.75" header="0.3" footer="0.3"/>
  <pageSetup paperSize="9" orientation="portrait" r:id="rId160"/>
  <drawing r:id="rId161"/>
  <legacyDrawing r:id="rId162"/>
  <mc:AlternateContent xmlns:mc="http://schemas.openxmlformats.org/markup-compatibility/2006">
    <mc:Choice Requires="x14">
      <controls>
        <mc:AlternateContent xmlns:mc="http://schemas.openxmlformats.org/markup-compatibility/2006">
          <mc:Choice Requires="x14">
            <control shapeId="3074" r:id="rId163" name="Check Box 2">
              <controlPr locked="0" defaultSize="0" autoFill="0" autoLine="0" autoPict="0">
                <anchor moveWithCells="1">
                  <from>
                    <xdr:col>2</xdr:col>
                    <xdr:colOff>762000</xdr:colOff>
                    <xdr:row>15</xdr:row>
                    <xdr:rowOff>123825</xdr:rowOff>
                  </from>
                  <to>
                    <xdr:col>7</xdr:col>
                    <xdr:colOff>266700</xdr:colOff>
                    <xdr:row>16</xdr:row>
                    <xdr:rowOff>123825</xdr:rowOff>
                  </to>
                </anchor>
              </controlPr>
            </control>
          </mc:Choice>
        </mc:AlternateContent>
        <mc:AlternateContent xmlns:mc="http://schemas.openxmlformats.org/markup-compatibility/2006">
          <mc:Choice Requires="x14">
            <control shapeId="3073" r:id="rId164" name="Check Box 1">
              <controlPr locked="0" defaultSize="0" autoFill="0" autoLine="0" autoPict="0">
                <anchor moveWithCells="1">
                  <from>
                    <xdr:col>2</xdr:col>
                    <xdr:colOff>485775</xdr:colOff>
                    <xdr:row>5</xdr:row>
                    <xdr:rowOff>9525</xdr:rowOff>
                  </from>
                  <to>
                    <xdr:col>7</xdr:col>
                    <xdr:colOff>0</xdr:colOff>
                    <xdr:row>5</xdr:row>
                    <xdr:rowOff>171450</xdr:rowOff>
                  </to>
                </anchor>
              </controlPr>
            </control>
          </mc:Choice>
        </mc:AlternateContent>
        <mc:AlternateContent xmlns:mc="http://schemas.openxmlformats.org/markup-compatibility/2006">
          <mc:Choice Requires="x14">
            <control shapeId="3079" r:id="rId165" name="Check Box 7">
              <controlPr locked="0" defaultSize="0" autoFill="0" autoLine="0" autoPict="0" altText="Advanced Officer Enhancer +35% base Attack, Defence and Health">
                <anchor moveWithCells="1">
                  <from>
                    <xdr:col>5</xdr:col>
                    <xdr:colOff>19050</xdr:colOff>
                    <xdr:row>9</xdr:row>
                    <xdr:rowOff>9525</xdr:rowOff>
                  </from>
                  <to>
                    <xdr:col>7</xdr:col>
                    <xdr:colOff>400050</xdr:colOff>
                    <xdr:row>9</xdr:row>
                    <xdr:rowOff>209550</xdr:rowOff>
                  </to>
                </anchor>
              </controlPr>
            </control>
          </mc:Choice>
        </mc:AlternateContent>
        <mc:AlternateContent xmlns:mc="http://schemas.openxmlformats.org/markup-compatibility/2006">
          <mc:Choice Requires="x14">
            <control shapeId="3085" r:id="rId166" name="Check Box 13">
              <controlPr locked="0" defaultSize="0" autoFill="0" autoLine="0" autoPict="0" altText="Advanced Officer Enhancer +35% base Attack, Defence and Health">
                <anchor moveWithCells="1">
                  <from>
                    <xdr:col>5</xdr:col>
                    <xdr:colOff>19050</xdr:colOff>
                    <xdr:row>10</xdr:row>
                    <xdr:rowOff>19050</xdr:rowOff>
                  </from>
                  <to>
                    <xdr:col>7</xdr:col>
                    <xdr:colOff>95250</xdr:colOff>
                    <xdr:row>10</xdr:row>
                    <xdr:rowOff>200025</xdr:rowOff>
                  </to>
                </anchor>
              </controlPr>
            </control>
          </mc:Choice>
        </mc:AlternateContent>
        <mc:AlternateContent xmlns:mc="http://schemas.openxmlformats.org/markup-compatibility/2006">
          <mc:Choice Requires="x14">
            <control shapeId="3088" r:id="rId167" name="Check Box 16">
              <controlPr locked="0" defaultSize="0" autoFill="0" autoLine="0" autoPict="0" altText="Advanced Officer Enhancer +35% base Attack, Defence and Health">
                <anchor moveWithCells="1">
                  <from>
                    <xdr:col>5</xdr:col>
                    <xdr:colOff>19050</xdr:colOff>
                    <xdr:row>6</xdr:row>
                    <xdr:rowOff>200025</xdr:rowOff>
                  </from>
                  <to>
                    <xdr:col>7</xdr:col>
                    <xdr:colOff>400050</xdr:colOff>
                    <xdr:row>7</xdr:row>
                    <xdr:rowOff>180975</xdr:rowOff>
                  </to>
                </anchor>
              </controlPr>
            </control>
          </mc:Choice>
        </mc:AlternateContent>
        <mc:AlternateContent xmlns:mc="http://schemas.openxmlformats.org/markup-compatibility/2006">
          <mc:Choice Requires="x14">
            <control shapeId="3089" r:id="rId168" name="Check Box 17">
              <controlPr locked="0" defaultSize="0" autoFill="0" autoLine="0" autoPict="0" altText="Advanced Officer Enhancer +35% base Attack, Defence and Health">
                <anchor moveWithCells="1">
                  <from>
                    <xdr:col>5</xdr:col>
                    <xdr:colOff>9525</xdr:colOff>
                    <xdr:row>7</xdr:row>
                    <xdr:rowOff>209550</xdr:rowOff>
                  </from>
                  <to>
                    <xdr:col>7</xdr:col>
                    <xdr:colOff>400050</xdr:colOff>
                    <xdr:row>8</xdr:row>
                    <xdr:rowOff>200025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F90BF"/>
    <pageSetUpPr autoPageBreaks="0"/>
  </sheetPr>
  <dimension ref="A1:AF159"/>
  <sheetViews>
    <sheetView workbookViewId="0">
      <pane ySplit="1" topLeftCell="A2" activePane="bottomLeft" state="frozen"/>
      <selection pane="bottomLeft" activeCell="E5" sqref="E5:F5"/>
    </sheetView>
  </sheetViews>
  <sheetFormatPr defaultRowHeight="16.5" x14ac:dyDescent="0.25"/>
  <cols>
    <col min="1" max="1" width="2.28515625" style="99" customWidth="1"/>
    <col min="2" max="2" width="3.42578125" style="99" customWidth="1"/>
    <col min="3" max="22" width="9.140625" style="99"/>
    <col min="23" max="23" width="4" style="109" customWidth="1"/>
    <col min="24" max="24" width="3.42578125" style="99" customWidth="1"/>
    <col min="25" max="25" width="0.42578125" style="145" customWidth="1"/>
    <col min="26" max="26" width="18.28515625" style="143" bestFit="1" customWidth="1"/>
    <col min="27" max="27" width="5.7109375" style="143" customWidth="1"/>
    <col min="28" max="28" width="7.85546875" style="143" customWidth="1"/>
    <col min="29" max="31" width="9.140625" style="143"/>
    <col min="32" max="32" width="9.140625" style="100"/>
    <col min="33" max="16384" width="9.140625" style="99"/>
  </cols>
  <sheetData>
    <row r="1" spans="1:31" x14ac:dyDescent="0.25">
      <c r="A1" s="112"/>
      <c r="B1" s="113"/>
      <c r="C1" s="113"/>
      <c r="D1" s="113"/>
      <c r="E1" s="113"/>
      <c r="F1" s="113"/>
      <c r="G1" s="113"/>
      <c r="H1" s="113"/>
      <c r="I1" s="113"/>
      <c r="J1" s="113"/>
      <c r="K1" s="113"/>
      <c r="L1" s="113"/>
      <c r="M1" s="113"/>
      <c r="N1" s="113"/>
      <c r="O1" s="113"/>
      <c r="P1" s="113"/>
      <c r="Q1" s="114"/>
      <c r="R1" s="114"/>
      <c r="S1" s="114"/>
      <c r="T1" s="114"/>
      <c r="U1" s="113"/>
      <c r="V1" s="113"/>
      <c r="W1" s="113"/>
      <c r="X1" s="113"/>
      <c r="Z1" s="142" t="str">
        <f>Roster!C21</f>
        <v>Officer</v>
      </c>
      <c r="AA1" s="142" t="str">
        <f>Roster!D21</f>
        <v>Lvl</v>
      </c>
      <c r="AB1" s="142" t="str">
        <f>Roster!E21</f>
        <v>Rank</v>
      </c>
      <c r="AC1" s="142" t="str">
        <f>Roster!F21</f>
        <v>Attack</v>
      </c>
      <c r="AD1" s="142" t="str">
        <f>Roster!G21</f>
        <v>Defence</v>
      </c>
      <c r="AE1" s="142" t="str">
        <f>Roster!H21</f>
        <v>Health</v>
      </c>
    </row>
    <row r="2" spans="1:31" ht="17.25" thickBot="1" x14ac:dyDescent="0.3">
      <c r="A2" s="112"/>
      <c r="B2" s="113"/>
      <c r="C2" s="632" t="s">
        <v>694</v>
      </c>
      <c r="D2" s="633"/>
      <c r="E2" s="115"/>
      <c r="F2" s="115"/>
      <c r="G2" s="115"/>
      <c r="H2" s="115"/>
      <c r="I2" s="115"/>
      <c r="J2" s="115"/>
      <c r="K2" s="115"/>
      <c r="L2" s="115"/>
      <c r="M2" s="115"/>
      <c r="N2" s="115"/>
      <c r="O2" s="115"/>
      <c r="P2" s="115"/>
      <c r="Q2" s="116" t="s">
        <v>130</v>
      </c>
      <c r="R2" s="117">
        <f>References!B11+References!D11</f>
        <v>0</v>
      </c>
      <c r="S2" s="118">
        <f>References!C11+References!E11</f>
        <v>0</v>
      </c>
      <c r="T2" s="119" t="s">
        <v>671</v>
      </c>
      <c r="U2" s="120" t="s">
        <v>672</v>
      </c>
      <c r="V2" s="115"/>
      <c r="W2" s="121"/>
      <c r="X2" s="113"/>
      <c r="Y2" s="143" t="str">
        <f>Roster!B22</f>
        <v>U</v>
      </c>
      <c r="Z2" s="143" t="str">
        <f>Roster!C22</f>
        <v>0718</v>
      </c>
      <c r="AA2" s="144">
        <f ca="1">Roster!D22</f>
        <v>0</v>
      </c>
      <c r="AB2" s="144">
        <f ca="1">Roster!E22</f>
        <v>0</v>
      </c>
      <c r="AC2" s="144">
        <f ca="1">Roster!F22</f>
        <v>0</v>
      </c>
      <c r="AD2" s="144">
        <f ca="1">Roster!G22</f>
        <v>0</v>
      </c>
      <c r="AE2" s="144">
        <f ca="1">Roster!H22</f>
        <v>0</v>
      </c>
    </row>
    <row r="3" spans="1:31" ht="17.25" thickTop="1" x14ac:dyDescent="0.25">
      <c r="A3" s="112"/>
      <c r="B3" s="113"/>
      <c r="C3" s="634"/>
      <c r="D3" s="635"/>
      <c r="E3" s="636" t="s">
        <v>130</v>
      </c>
      <c r="F3" s="637"/>
      <c r="G3" s="122"/>
      <c r="H3" s="122"/>
      <c r="I3" s="123"/>
      <c r="J3" s="123"/>
      <c r="K3" s="638" t="s">
        <v>131</v>
      </c>
      <c r="L3" s="639"/>
      <c r="M3" s="123"/>
      <c r="N3" s="123"/>
      <c r="O3" s="112"/>
      <c r="P3" s="112"/>
      <c r="Q3" s="123"/>
      <c r="R3" s="124">
        <f>References!B12+References!D12</f>
        <v>0</v>
      </c>
      <c r="S3" s="124">
        <f>References!C12+References!E12</f>
        <v>0</v>
      </c>
      <c r="T3" s="125"/>
      <c r="U3" s="126" t="s">
        <v>673</v>
      </c>
      <c r="V3" s="123"/>
      <c r="W3" s="127"/>
      <c r="X3" s="113"/>
      <c r="Y3" s="143" t="str">
        <f>Roster!B23</f>
        <v>R</v>
      </c>
      <c r="Z3" s="143" t="str">
        <f>Roster!C23</f>
        <v>Ahvix</v>
      </c>
      <c r="AA3" s="144">
        <f ca="1">Roster!D23</f>
        <v>0</v>
      </c>
      <c r="AB3" s="144">
        <f ca="1">Roster!E23</f>
        <v>0</v>
      </c>
      <c r="AC3" s="144">
        <f ca="1">Roster!F23</f>
        <v>0</v>
      </c>
      <c r="AD3" s="144">
        <f ca="1">Roster!G23</f>
        <v>0</v>
      </c>
      <c r="AE3" s="144">
        <f ca="1">Roster!H23</f>
        <v>0</v>
      </c>
    </row>
    <row r="4" spans="1:31" x14ac:dyDescent="0.25">
      <c r="A4" s="112"/>
      <c r="B4" s="113"/>
      <c r="C4" s="640" t="str">
        <f>IFERROR(IF(AND(VLOOKUP(C5,OfficerSkillsFull,11,FALSE) = VLOOKUP(E5,OfficerSkillsFull,11,FALSE), VLOOKUP(C5,OfficerSkillsFull,12,FALSE) = VLOOKUP(E5,OfficerSkillsFull,12,FALSE)),IF(OR(E5="TOS Chekov", E5="TOS Scotty", E5="Michael Burnham"),VLOOKUP(E5,OfficerSkillsFull,14,FALSE)&amp;"---------",VLOOKUP(E5,OfficerSkillsFull,14,FALSE)*100&amp;"% -------"),IF(VLOOKUP(C5,OfficerSkillsFull,11,FALSE) = VLOOKUP(E5,OfficerSkillsFull,11,FALSE),IF(OR(E5="TOS Chekov", E5="TOS Scotty", E5="Michael Burnham"),VLOOKUP(E5,OfficerSkillsFull,13,FALSE)&amp;"=======",VLOOKUP(E5,OfficerSkillsFull,13,FALSE)*100&amp;"% ====="),"")),"")</f>
        <v/>
      </c>
      <c r="D4" s="641"/>
      <c r="E4" s="642" t="str">
        <f>IFERROR(IF(OR(E5="TOS Chekov", E5="TOS Scotty", E5="Michael Burnham", E5="Origins Burnham", E5="Origins Saru", E5="Origins Stamets", E5="Rom"),VLOOKUP(E5,OfficerSkillsFull,10,FALSE),VLOOKUP(E5,OfficerSkillsFull,10,FALSE)*100 &amp; "%"),"")</f>
        <v/>
      </c>
      <c r="F4" s="642"/>
      <c r="G4" s="643" t="str">
        <f>IFERROR(IF(AND(VLOOKUP(G5,OfficerSkillsFull,11,FALSE) = VLOOKUP(E5,OfficerSkillsFull,11,FALSE), OR(VLOOKUP(G5,OfficerSkillsFull,12,FALSE) = VLOOKUP(E5,OfficerSkillsFull,12,FALSE),AND(VLOOKUP(G5,OfficerSkillsFull,11,FALSE) = VLOOKUP(C5,OfficerSkillsFull,11,FALSE),VLOOKUP(G5,OfficerSkillsFull,12,FALSE) = IFERROR(VLOOKUP(C5,OfficerSkillsFull,12,FALSE),"")))),"------- " &amp; IF(OR(E5="TOS Chekov", E5="TOS Scotty", E5="Michael Burnham"),VLOOKUP(E5,OfficerSkillsFull,14,FALSE),VLOOKUP(E5,OfficerSkillsFull,14,FALSE)*100),IF(VLOOKUP(G5,OfficerSkillsFull,11,FALSE) = VLOOKUP(E5,OfficerSkillsFull,11,FALSE),"===== " &amp; IF(OR(E5="TOS Chekov", E5="TOS Scotty", E5="Michael Burnham"),VLOOKUP(E5,OfficerSkillsFull,13,FALSE),VLOOKUP(E5,OfficerSkillsFull,13,FALSE)*100),"")),"")</f>
        <v/>
      </c>
      <c r="H4" s="643"/>
      <c r="I4" s="122"/>
      <c r="J4" s="122"/>
      <c r="K4" s="122"/>
      <c r="L4" s="128"/>
      <c r="M4" s="122"/>
      <c r="N4" s="128"/>
      <c r="O4" s="123"/>
      <c r="P4" s="123"/>
      <c r="Q4" s="123"/>
      <c r="R4" s="129">
        <f>References!B13+References!D13</f>
        <v>0</v>
      </c>
      <c r="S4" s="129">
        <f>References!C13+References!E13</f>
        <v>0</v>
      </c>
      <c r="T4" s="130"/>
      <c r="U4" s="126" t="s">
        <v>674</v>
      </c>
      <c r="V4" s="123"/>
      <c r="W4" s="127"/>
      <c r="X4" s="113"/>
      <c r="Y4" s="143" t="str">
        <f>Roster!B24</f>
        <v>U</v>
      </c>
      <c r="Z4" s="143" t="str">
        <f>Roster!C24</f>
        <v>Airiam</v>
      </c>
      <c r="AA4" s="144">
        <f ca="1">Roster!D24</f>
        <v>0</v>
      </c>
      <c r="AB4" s="144">
        <f ca="1">Roster!E24</f>
        <v>0</v>
      </c>
      <c r="AC4" s="144">
        <f ca="1">Roster!F24</f>
        <v>0</v>
      </c>
      <c r="AD4" s="144">
        <f ca="1">Roster!G24</f>
        <v>0</v>
      </c>
      <c r="AE4" s="144">
        <f ca="1">Roster!H24</f>
        <v>0</v>
      </c>
    </row>
    <row r="5" spans="1:31" x14ac:dyDescent="0.25">
      <c r="A5" s="112"/>
      <c r="B5" s="113"/>
      <c r="C5" s="644"/>
      <c r="D5" s="645"/>
      <c r="E5" s="646"/>
      <c r="F5" s="647"/>
      <c r="G5" s="648"/>
      <c r="H5" s="645"/>
      <c r="I5" s="625"/>
      <c r="J5" s="626"/>
      <c r="K5" s="622"/>
      <c r="L5" s="623"/>
      <c r="M5" s="622"/>
      <c r="N5" s="623"/>
      <c r="O5" s="622"/>
      <c r="P5" s="623"/>
      <c r="Q5" s="622"/>
      <c r="R5" s="624"/>
      <c r="S5" s="622"/>
      <c r="T5" s="623"/>
      <c r="U5" s="625"/>
      <c r="V5" s="626"/>
      <c r="W5" s="131"/>
      <c r="X5" s="113"/>
      <c r="Y5" s="143" t="str">
        <f>Roster!B25</f>
        <v>U</v>
      </c>
      <c r="Z5" s="143" t="str">
        <f>Roster!C25</f>
        <v>Arix</v>
      </c>
      <c r="AA5" s="144">
        <f ca="1">Roster!D25</f>
        <v>0</v>
      </c>
      <c r="AB5" s="144">
        <f ca="1">Roster!E25</f>
        <v>0</v>
      </c>
      <c r="AC5" s="144">
        <f ca="1">Roster!F25</f>
        <v>0</v>
      </c>
      <c r="AD5" s="144">
        <f ca="1">Roster!G25</f>
        <v>0</v>
      </c>
      <c r="AE5" s="144">
        <f ca="1">Roster!H25</f>
        <v>0</v>
      </c>
    </row>
    <row r="6" spans="1:31" x14ac:dyDescent="0.25">
      <c r="A6" s="112"/>
      <c r="B6" s="113"/>
      <c r="C6" s="132"/>
      <c r="D6" s="128"/>
      <c r="E6" s="128"/>
      <c r="F6" s="123"/>
      <c r="G6" s="123"/>
      <c r="H6" s="627"/>
      <c r="I6" s="628"/>
      <c r="J6" s="627"/>
      <c r="K6" s="629"/>
      <c r="L6" s="627"/>
      <c r="M6" s="629"/>
      <c r="N6" s="128"/>
      <c r="O6" s="123"/>
      <c r="P6" s="123"/>
      <c r="Q6" s="123"/>
      <c r="R6" s="123"/>
      <c r="S6" s="123"/>
      <c r="T6" s="123"/>
      <c r="U6" s="123"/>
      <c r="V6" s="123"/>
      <c r="W6" s="127"/>
      <c r="X6" s="113"/>
      <c r="Y6" s="143" t="str">
        <f>Roster!B26</f>
        <v>U</v>
      </c>
      <c r="Z6" s="143" t="str">
        <f>Roster!C26</f>
        <v>Arkady</v>
      </c>
      <c r="AA6" s="144">
        <f ca="1">Roster!D26</f>
        <v>0</v>
      </c>
      <c r="AB6" s="144">
        <f ca="1">Roster!E26</f>
        <v>0</v>
      </c>
      <c r="AC6" s="144">
        <f ca="1">Roster!F26</f>
        <v>0</v>
      </c>
      <c r="AD6" s="144">
        <f ca="1">Roster!G26</f>
        <v>0</v>
      </c>
      <c r="AE6" s="144">
        <f ca="1">Roster!H26</f>
        <v>0</v>
      </c>
    </row>
    <row r="7" spans="1:31" x14ac:dyDescent="0.25">
      <c r="A7" s="112"/>
      <c r="B7" s="113"/>
      <c r="C7" s="133" t="s">
        <v>211</v>
      </c>
      <c r="D7" s="123"/>
      <c r="E7" s="630"/>
      <c r="F7" s="631"/>
      <c r="G7" s="123"/>
      <c r="H7" s="133" t="s">
        <v>208</v>
      </c>
      <c r="I7" s="123"/>
      <c r="J7" s="618">
        <f>IFERROR((INDEX(RosterAttack,MATCH(C5,RosterOfficer,0))/OfficerBonusA)*(OfficerBonusAB+SUM(R2:S2)),0)+IFERROR((INDEX(RosterAttack,MATCH(E5,RosterOfficer,0))/OfficerBonusA)*(OfficerBonusAC+SUM(R2:S2)),0)+IFERROR((INDEX(RosterAttack,MATCH(G5,RosterOfficer,0))/OfficerBonusA)*(OfficerBonusAB+SUM(R2:S2)),0)+IFERROR((INDEX(RosterAttack,MATCH(I5,RosterOfficer,0))/OfficerBonusA)*(OfficerBonusA+S2),0)+IFERROR((INDEX(RosterAttack,MATCH(K5,RosterOfficer,0))/OfficerBonusA)*(OfficerBonusA+S2),0)+IFERROR((INDEX(RosterAttack,MATCH(M5,RosterOfficer,0))/OfficerBonusA)*(OfficerBonusA+S2),0)+IFERROR((INDEX(RosterAttack,MATCH(O5,RosterOfficer,0))/OfficerBonusA)*(OfficerBonusA+S2),0)+IFERROR((INDEX(RosterAttack,MATCH(Q5,RosterOfficer,0))/OfficerBonusA)*(OfficerBonusA+S2),0)+IFERROR((INDEX(RosterAttack,MATCH(S5,RosterOfficer,0))/OfficerBonusA)*(OfficerBonusA+S2),0)+IFERROR((INDEX(RosterAttack,MATCH(U5,RosterOfficer,0))/OfficerBonusA)*(OfficerBonusA+S2),0)</f>
        <v>0</v>
      </c>
      <c r="K7" s="619"/>
      <c r="L7" s="134" t="str">
        <f>IFERROR(VLOOKUP(SelectedShipA&amp;"Bonuses",ShipList,4,FALSE),"")</f>
        <v/>
      </c>
      <c r="M7" s="134" t="str">
        <f>IFERROR(VLOOKUP(SelectedShipA&amp;"Bonuses",ShipList,6,FALSE),"")</f>
        <v/>
      </c>
      <c r="N7" s="134" t="str">
        <f>IFERROR(VLOOKUP(SelectedShipA&amp;"Bonuses",ShipList,8,FALSE),"")</f>
        <v/>
      </c>
      <c r="O7" s="134" t="str">
        <f>IFERROR(VLOOKUP(SelectedShipA&amp;"Bonuses",ShipList,10,FALSE),"")</f>
        <v/>
      </c>
      <c r="P7" s="134" t="str">
        <f>IFERROR(VLOOKUP(SelectedShipA&amp;"Bonuses",ShipList,12,FALSE),"")</f>
        <v/>
      </c>
      <c r="Q7" s="134" t="str">
        <f>IFERROR(VLOOKUP(SelectedShipA&amp;"Bonuses",ShipList,14,FALSE),"")</f>
        <v/>
      </c>
      <c r="R7" s="134" t="str">
        <f>IFERROR(VLOOKUP(SelectedShipA&amp;"Bonuses",ShipList,16,FALSE),"")</f>
        <v/>
      </c>
      <c r="S7" s="134" t="str">
        <f>IFERROR(VLOOKUP(SelectedShipA&amp;"Bonuses",ShipList,18,FALSE),"")</f>
        <v/>
      </c>
      <c r="T7" s="134" t="str">
        <f>IFERROR(VLOOKUP(SelectedShipA&amp;"Bonuses",ShipList,20,FALSE),"")</f>
        <v/>
      </c>
      <c r="U7" s="134" t="str">
        <f>IFERROR(VLOOKUP(SelectedShipA&amp;"Bonuses",ShipList,22,FALSE),"")</f>
        <v/>
      </c>
      <c r="V7" s="135">
        <f>IF(J7&gt;U7,VLOOKUP(SelectedShipA&amp;"Bonuses",ShipList,23,FALSE),IF(J7&gt;T7,VLOOKUP(SelectedShipA&amp;"Bonuses",ShipList,21,FALSE),IF(J7&gt;S7,VLOOKUP(SelectedShipA&amp;"Bonuses",ShipList,19,FALSE),IF(J7&gt;R7,VLOOKUP(SelectedShipA&amp;"Bonuses",ShipList,17,FALSE),IF(J7&gt;Q7,VLOOKUP(SelectedShipA&amp;"Bonuses",ShipList,15,FALSE),IF(J7&gt;P7,VLOOKUP(SelectedShipA&amp;"Bonuses",ShipList,13,FALSE),IF(J7&gt;O7,VLOOKUP(SelectedShipA&amp;"Bonuses",ShipList,11,FALSE),IF(J7&gt;N7,VLOOKUP(SelectedShipA&amp;"Bonuses",ShipList,9,FALSE),IF(J7&gt;M7,VLOOKUP(SelectedShipA&amp;"Bonuses",ShipList,7,FALSE),IF(J7&gt;L7,VLOOKUP(SelectedShipA&amp;"Bonuses",ShipList,5,FALSE),0))))))))))</f>
        <v>0</v>
      </c>
      <c r="W7" s="136"/>
      <c r="X7" s="113"/>
      <c r="Y7" s="143" t="str">
        <f>Roster!B27</f>
        <v>R</v>
      </c>
      <c r="Z7" s="143" t="str">
        <f>Roster!C27</f>
        <v>Arrock</v>
      </c>
      <c r="AA7" s="144">
        <f ca="1">Roster!D27</f>
        <v>0</v>
      </c>
      <c r="AB7" s="144">
        <f ca="1">Roster!E27</f>
        <v>0</v>
      </c>
      <c r="AC7" s="144">
        <f ca="1">Roster!F27</f>
        <v>0</v>
      </c>
      <c r="AD7" s="144">
        <f ca="1">Roster!G27</f>
        <v>0</v>
      </c>
      <c r="AE7" s="144">
        <f ca="1">Roster!H27</f>
        <v>0</v>
      </c>
    </row>
    <row r="8" spans="1:31" x14ac:dyDescent="0.25">
      <c r="A8" s="112"/>
      <c r="B8" s="113"/>
      <c r="C8" s="137"/>
      <c r="D8" s="123"/>
      <c r="E8" s="123"/>
      <c r="F8" s="123"/>
      <c r="G8" s="123"/>
      <c r="H8" s="133" t="s">
        <v>209</v>
      </c>
      <c r="I8" s="123"/>
      <c r="J8" s="618">
        <f>IFERROR((INDEX(RosterDefence,MATCH(C5,RosterOfficer,0))/OfficerBonusD)*(OfficerBonusDB+SUM(R3:S3)),0)+IFERROR((INDEX(RosterDefence,MATCH(E5,RosterOfficer,0))/OfficerBonusD)*(OfficerBonusDC+SUM(R3:S3)),0)+IFERROR((INDEX(RosterDefence,MATCH(G5,RosterOfficer,0))/OfficerBonusD)*(OfficerBonusDB+SUM(R3:S3)),0)+IFERROR((INDEX(RosterDefence,MATCH(I5,RosterOfficer,0))/OfficerBonusD)*(OfficerBonusD+S3),0)+IFERROR((INDEX(RosterDefence,MATCH(K5,RosterOfficer,0))/OfficerBonusD)*(OfficerBonusD+S3),0)+IFERROR((INDEX(RosterDefence,MATCH(M5,RosterOfficer,0))/OfficerBonusD)*(OfficerBonusD+S3),0)+IFERROR((INDEX(RosterDefence,MATCH(O5,RosterOfficer,0))/OfficerBonusD)*(OfficerBonusD+S3),0)+IFERROR((INDEX(RosterDefence,MATCH(Q5,RosterOfficer,0))/OfficerBonusD)*(OfficerBonusD+S3),0)+IFERROR((INDEX(RosterDefence,MATCH(S5,RosterOfficer,0))/OfficerBonusD)*(OfficerBonusD+S3),0)+IFERROR((INDEX(RosterDefence,MATCH(U5,RosterOfficer,0))/OfficerBonusD)*(OfficerBonusD+S3),0)</f>
        <v>0</v>
      </c>
      <c r="K8" s="619"/>
      <c r="L8" s="134" t="str">
        <f>IFERROR(VLOOKUP(SelectedShipA&amp;"Bonuses",ShipList,4,FALSE),"")</f>
        <v/>
      </c>
      <c r="M8" s="134" t="str">
        <f>IFERROR(VLOOKUP(SelectedShipA&amp;"Bonuses",ShipList,6,FALSE),"")</f>
        <v/>
      </c>
      <c r="N8" s="134" t="str">
        <f>IFERROR(VLOOKUP(SelectedShipA&amp;"Bonuses",ShipList,8,FALSE),"")</f>
        <v/>
      </c>
      <c r="O8" s="134" t="str">
        <f>IFERROR(VLOOKUP(SelectedShipA&amp;"Bonuses",ShipList,10,FALSE),"")</f>
        <v/>
      </c>
      <c r="P8" s="134" t="str">
        <f>IFERROR(VLOOKUP(SelectedShipA&amp;"Bonuses",ShipList,12,FALSE),"")</f>
        <v/>
      </c>
      <c r="Q8" s="134" t="str">
        <f>IFERROR(VLOOKUP(SelectedShipA&amp;"Bonuses",ShipList,14,FALSE),"")</f>
        <v/>
      </c>
      <c r="R8" s="134" t="str">
        <f>IFERROR(VLOOKUP(SelectedShipA&amp;"Bonuses",ShipList,16,FALSE),"")</f>
        <v/>
      </c>
      <c r="S8" s="134" t="str">
        <f>IFERROR(VLOOKUP(SelectedShipA&amp;"Bonuses",ShipList,18,FALSE),"")</f>
        <v/>
      </c>
      <c r="T8" s="134" t="str">
        <f>IFERROR(VLOOKUP(SelectedShipA&amp;"Bonuses",ShipList,20,FALSE),"")</f>
        <v/>
      </c>
      <c r="U8" s="134" t="str">
        <f>IFERROR(VLOOKUP(SelectedShipA&amp;"Bonuses",ShipList,22,FALSE),"")</f>
        <v/>
      </c>
      <c r="V8" s="135">
        <f>IF(J8&gt;U8,VLOOKUP(SelectedShipA&amp;"Bonuses",ShipList,23,FALSE),IF(J8&gt;T8,VLOOKUP(SelectedShipA&amp;"Bonuses",ShipList,21,FALSE),IF(J8&gt;S8,VLOOKUP(SelectedShipA&amp;"Bonuses",ShipList,19,FALSE),IF(J8&gt;R8,VLOOKUP(SelectedShipA&amp;"Bonuses",ShipList,17,FALSE),IF(J8&gt;Q8,VLOOKUP(SelectedShipA&amp;"Bonuses",ShipList,15,FALSE),IF(J8&gt;P8,VLOOKUP(SelectedShipA&amp;"Bonuses",ShipList,13,FALSE),IF(J8&gt;O8,VLOOKUP(SelectedShipA&amp;"Bonuses",ShipList,11,FALSE),IF(J8&gt;N8,VLOOKUP(SelectedShipA&amp;"Bonuses",ShipList,9,FALSE),IF(J8&gt;M8,VLOOKUP(SelectedShipA&amp;"Bonuses",ShipList,7,FALSE),IF(J8&gt;L8,VLOOKUP(SelectedShipA&amp;"Bonuses",ShipList,5,FALSE),0))))))))))</f>
        <v>0</v>
      </c>
      <c r="W8" s="136"/>
      <c r="X8" s="113"/>
      <c r="Y8" s="143" t="str">
        <f>Roster!B28</f>
        <v>R</v>
      </c>
      <c r="Z8" s="143" t="str">
        <f>Roster!C28</f>
        <v>Azetbur</v>
      </c>
      <c r="AA8" s="144">
        <f ca="1">Roster!D28</f>
        <v>0</v>
      </c>
      <c r="AB8" s="144">
        <f ca="1">Roster!E28</f>
        <v>0</v>
      </c>
      <c r="AC8" s="144">
        <f ca="1">Roster!F28</f>
        <v>0</v>
      </c>
      <c r="AD8" s="144">
        <f ca="1">Roster!G28</f>
        <v>0</v>
      </c>
      <c r="AE8" s="144">
        <f ca="1">Roster!H28</f>
        <v>0</v>
      </c>
    </row>
    <row r="9" spans="1:31" x14ac:dyDescent="0.25">
      <c r="A9" s="112"/>
      <c r="B9" s="113"/>
      <c r="C9" s="138"/>
      <c r="D9" s="139"/>
      <c r="E9" s="139"/>
      <c r="F9" s="139"/>
      <c r="G9" s="139"/>
      <c r="H9" s="133" t="s">
        <v>210</v>
      </c>
      <c r="I9" s="139"/>
      <c r="J9" s="620">
        <f>IFERROR((INDEX(RosterHealth,MATCH(C5,RosterOfficer,0))/OfficerBonusH)*(OfficerBonusHB+SUM(R4:S4)),0)+IFERROR((INDEX(RosterHealth,MATCH(E5,RosterOfficer,0))/OfficerBonusH)*(OfficerBonusHC+SUM(R4:S4)),0)+IFERROR((INDEX(RosterHealth,MATCH(G5,RosterOfficer,0))/OfficerBonusH)*(OfficerBonusHB+SUM(R4:S4)),0)+IFERROR((INDEX(RosterHealth,MATCH(I5,RosterOfficer,0))/OfficerBonusH)*(OfficerBonusH+S4),0)+IFERROR((INDEX(RosterHealth,MATCH(K5,RosterOfficer,0))/OfficerBonusH)*(OfficerBonusH+S4),0)+IFERROR((INDEX(RosterHealth,MATCH(M5,RosterOfficer,0))/OfficerBonusH)*(OfficerBonusH+S4),0)+IFERROR((INDEX(RosterHealth,MATCH(O5,RosterOfficer,0))/OfficerBonusH)*(OfficerBonusH+S4),0)+IFERROR((INDEX(RosterHealth,MATCH(Q5,RosterOfficer,0))/OfficerBonusH)*(OfficerBonusH+S4),0)+IFERROR((INDEX(RosterHealth,MATCH(S5,RosterOfficer,0))/OfficerBonusH)*(OfficerBonusH+S4),0)+IFERROR((INDEX(RosterHealth,MATCH(U5,RosterOfficer,0))/OfficerBonusH)*(OfficerBonusH+S4),0)</f>
        <v>0</v>
      </c>
      <c r="K9" s="621"/>
      <c r="L9" s="134" t="str">
        <f>IFERROR(VLOOKUP(SelectedShipA&amp;"Bonuses",ShipList,4,FALSE),"")</f>
        <v/>
      </c>
      <c r="M9" s="134" t="str">
        <f>IFERROR(VLOOKUP(SelectedShipA&amp;"Bonuses",ShipList,6,FALSE),"")</f>
        <v/>
      </c>
      <c r="N9" s="134" t="str">
        <f>IFERROR(VLOOKUP(SelectedShipA&amp;"Bonuses",ShipList,8,FALSE),"")</f>
        <v/>
      </c>
      <c r="O9" s="134" t="str">
        <f>IFERROR(VLOOKUP(SelectedShipA&amp;"Bonuses",ShipList,10,FALSE),"")</f>
        <v/>
      </c>
      <c r="P9" s="134" t="str">
        <f>IFERROR(VLOOKUP(SelectedShipA&amp;"Bonuses",ShipList,12,FALSE),"")</f>
        <v/>
      </c>
      <c r="Q9" s="134" t="str">
        <f>IFERROR(VLOOKUP(SelectedShipA&amp;"Bonuses",ShipList,14,FALSE),"")</f>
        <v/>
      </c>
      <c r="R9" s="134" t="str">
        <f>IFERROR(VLOOKUP(SelectedShipA&amp;"Bonuses",ShipList,16,FALSE),"")</f>
        <v/>
      </c>
      <c r="S9" s="134" t="str">
        <f>IFERROR(VLOOKUP(SelectedShipA&amp;"Bonuses",ShipList,18,FALSE),"")</f>
        <v/>
      </c>
      <c r="T9" s="134" t="str">
        <f>IFERROR(VLOOKUP(SelectedShipA&amp;"Bonuses",ShipList,20,FALSE),"")</f>
        <v/>
      </c>
      <c r="U9" s="134" t="str">
        <f>IFERROR(VLOOKUP(SelectedShipA&amp;"Bonuses",ShipList,22,FALSE),"")</f>
        <v/>
      </c>
      <c r="V9" s="140">
        <f>IF(J9&gt;U9,VLOOKUP(SelectedShipA&amp;"Bonuses",ShipList,23,FALSE),IF(J9&gt;T9,VLOOKUP(SelectedShipA&amp;"Bonuses",ShipList,21,FALSE),IF(J9&gt;S9,VLOOKUP(SelectedShipA&amp;"Bonuses",ShipList,19,FALSE),IF(J9&gt;R9,VLOOKUP(SelectedShipA&amp;"Bonuses",ShipList,17,FALSE),IF(J9&gt;Q9,VLOOKUP(SelectedShipA&amp;"Bonuses",ShipList,15,FALSE),IF(J9&gt;P9,VLOOKUP(SelectedShipA&amp;"Bonuses",ShipList,13,FALSE),IF(J9&gt;O9,VLOOKUP(SelectedShipA&amp;"Bonuses",ShipList,11,FALSE),IF(J9&gt;N9,VLOOKUP(SelectedShipA&amp;"Bonuses",ShipList,9,FALSE),IF(J9&gt;M9,VLOOKUP(SelectedShipA&amp;"Bonuses",ShipList,7,FALSE),IF(J9&gt;L9,VLOOKUP(SelectedShipA&amp;"Bonuses",ShipList,5,FALSE),0))))))))))</f>
        <v>0</v>
      </c>
      <c r="W9" s="141"/>
      <c r="X9" s="113"/>
      <c r="Y9" s="143" t="str">
        <f>Roster!B29</f>
        <v>U</v>
      </c>
      <c r="Z9" s="143" t="str">
        <f>Roster!C29</f>
        <v>Badgey</v>
      </c>
      <c r="AA9" s="144">
        <f ca="1">Roster!D29</f>
        <v>0</v>
      </c>
      <c r="AB9" s="144">
        <f ca="1">Roster!E29</f>
        <v>0</v>
      </c>
      <c r="AC9" s="144">
        <f ca="1">Roster!F29</f>
        <v>0</v>
      </c>
      <c r="AD9" s="144">
        <f ca="1">Roster!G29</f>
        <v>0</v>
      </c>
      <c r="AE9" s="144">
        <f ca="1">Roster!H29</f>
        <v>0</v>
      </c>
    </row>
    <row r="10" spans="1:31" x14ac:dyDescent="0.25">
      <c r="A10" s="112"/>
      <c r="B10" s="113"/>
      <c r="C10" s="113"/>
      <c r="D10" s="113"/>
      <c r="E10" s="113"/>
      <c r="F10" s="113"/>
      <c r="G10" s="113"/>
      <c r="H10" s="113"/>
      <c r="I10" s="113"/>
      <c r="J10" s="113"/>
      <c r="K10" s="113"/>
      <c r="L10" s="113"/>
      <c r="M10" s="113"/>
      <c r="N10" s="113"/>
      <c r="O10" s="113"/>
      <c r="P10" s="113"/>
      <c r="Q10" s="113"/>
      <c r="R10" s="113"/>
      <c r="S10" s="113"/>
      <c r="T10" s="113"/>
      <c r="U10" s="113"/>
      <c r="V10" s="113"/>
      <c r="W10" s="113"/>
      <c r="X10" s="113"/>
      <c r="Y10" s="143" t="str">
        <f>Roster!B30</f>
        <v>R</v>
      </c>
      <c r="Z10" s="143" t="str">
        <f>Roster!C30</f>
        <v>Ba'el</v>
      </c>
      <c r="AA10" s="144">
        <f ca="1">Roster!D30</f>
        <v>0</v>
      </c>
      <c r="AB10" s="144">
        <f ca="1">Roster!E30</f>
        <v>0</v>
      </c>
      <c r="AC10" s="144">
        <f ca="1">Roster!F30</f>
        <v>0</v>
      </c>
      <c r="AD10" s="144">
        <f ca="1">Roster!G30</f>
        <v>0</v>
      </c>
      <c r="AE10" s="144">
        <f ca="1">Roster!H30</f>
        <v>0</v>
      </c>
    </row>
    <row r="11" spans="1:31" ht="17.25" thickBot="1" x14ac:dyDescent="0.3">
      <c r="A11" s="112"/>
      <c r="B11" s="113"/>
      <c r="C11" s="632" t="s">
        <v>720</v>
      </c>
      <c r="D11" s="633"/>
      <c r="E11" s="115"/>
      <c r="F11" s="115"/>
      <c r="G11" s="115"/>
      <c r="H11" s="115"/>
      <c r="I11" s="115"/>
      <c r="J11" s="115"/>
      <c r="K11" s="115"/>
      <c r="L11" s="115"/>
      <c r="M11" s="115"/>
      <c r="N11" s="115"/>
      <c r="O11" s="115"/>
      <c r="P11" s="115"/>
      <c r="Q11" s="116" t="s">
        <v>130</v>
      </c>
      <c r="R11" s="117">
        <f>References!B15+References!D15</f>
        <v>0</v>
      </c>
      <c r="S11" s="118">
        <f>References!C15+References!E15</f>
        <v>0</v>
      </c>
      <c r="T11" s="119" t="s">
        <v>671</v>
      </c>
      <c r="U11" s="120" t="s">
        <v>672</v>
      </c>
      <c r="V11" s="115"/>
      <c r="W11" s="121"/>
      <c r="X11" s="113"/>
      <c r="Y11" s="143" t="str">
        <f>Roster!B31</f>
        <v>R</v>
      </c>
      <c r="Z11" s="143" t="str">
        <f>Roster!C31</f>
        <v>Barot</v>
      </c>
      <c r="AA11" s="144">
        <f ca="1">Roster!D31</f>
        <v>0</v>
      </c>
      <c r="AB11" s="144">
        <f ca="1">Roster!E31</f>
        <v>0</v>
      </c>
      <c r="AC11" s="144">
        <f ca="1">Roster!F31</f>
        <v>0</v>
      </c>
      <c r="AD11" s="144">
        <f ca="1">Roster!G31</f>
        <v>0</v>
      </c>
      <c r="AE11" s="144">
        <f ca="1">Roster!H31</f>
        <v>0</v>
      </c>
    </row>
    <row r="12" spans="1:31" ht="17.25" thickTop="1" x14ac:dyDescent="0.25">
      <c r="A12" s="112"/>
      <c r="B12" s="113"/>
      <c r="C12" s="634"/>
      <c r="D12" s="635"/>
      <c r="E12" s="636" t="s">
        <v>130</v>
      </c>
      <c r="F12" s="637"/>
      <c r="G12" s="122"/>
      <c r="H12" s="122"/>
      <c r="I12" s="123"/>
      <c r="J12" s="123"/>
      <c r="K12" s="638" t="s">
        <v>131</v>
      </c>
      <c r="L12" s="639"/>
      <c r="M12" s="123"/>
      <c r="N12" s="123"/>
      <c r="O12" s="112"/>
      <c r="P12" s="112"/>
      <c r="Q12" s="123"/>
      <c r="R12" s="124">
        <f>References!B16+References!D16</f>
        <v>0</v>
      </c>
      <c r="S12" s="124">
        <f>References!C16+References!E16</f>
        <v>0</v>
      </c>
      <c r="T12" s="125"/>
      <c r="U12" s="126" t="s">
        <v>673</v>
      </c>
      <c r="V12" s="123"/>
      <c r="W12" s="127"/>
      <c r="X12" s="113"/>
      <c r="Y12" s="143" t="str">
        <f>Roster!B32</f>
        <v>E</v>
      </c>
      <c r="Z12" s="143" t="str">
        <f>Roster!C32</f>
        <v>Beckett Mariner</v>
      </c>
      <c r="AA12" s="144">
        <f ca="1">Roster!D32</f>
        <v>0</v>
      </c>
      <c r="AB12" s="144">
        <f ca="1">Roster!E32</f>
        <v>0</v>
      </c>
      <c r="AC12" s="144">
        <f ca="1">Roster!F32</f>
        <v>0</v>
      </c>
      <c r="AD12" s="144">
        <f ca="1">Roster!G32</f>
        <v>0</v>
      </c>
      <c r="AE12" s="144">
        <f ca="1">Roster!H32</f>
        <v>0</v>
      </c>
    </row>
    <row r="13" spans="1:31" x14ac:dyDescent="0.25">
      <c r="A13" s="112"/>
      <c r="B13" s="113"/>
      <c r="C13" s="640" t="str">
        <f>IFERROR(IF(AND(VLOOKUP(C14,OfficerSkillsFull,11,FALSE) = VLOOKUP(E14,OfficerSkillsFull,11,FALSE), VLOOKUP(C14,OfficerSkillsFull,12,FALSE) = VLOOKUP(E14,OfficerSkillsFull,12,FALSE)),IF(OR(E14="TOS Chekov", E14="TOS Scotty", E14="Michael Burnham"),VLOOKUP(E14,OfficerSkillsFull,14,FALSE)&amp;"---------",VLOOKUP(E14,OfficerSkillsFull,14,FALSE)*100&amp;"% -------"),IF(VLOOKUP(C14,OfficerSkillsFull,11,FALSE) = VLOOKUP(E14,OfficerSkillsFull,11,FALSE),IF(OR(E14="TOS Chekov", E14="TOS Scotty", E14="Michael Burnham"),VLOOKUP(E14,OfficerSkillsFull,13,FALSE)&amp;"=======",VLOOKUP(E14,OfficerSkillsFull,13,FALSE)*100&amp;"% ====="),"")),"")</f>
        <v/>
      </c>
      <c r="D13" s="641"/>
      <c r="E13" s="642" t="str">
        <f>IFERROR(IF(OR(E14="TOS Chekov", E14="TOS Scotty", E14="Michael Burnham", E14="Origins Burnham", E14="Origins Saru", E14="Origins Stamets", E14="Rom"),VLOOKUP(E14,OfficerSkillsFull,10,FALSE),VLOOKUP(E14,OfficerSkillsFull,10,FALSE)*100 &amp; "%"),"")</f>
        <v/>
      </c>
      <c r="F13" s="642"/>
      <c r="G13" s="643" t="str">
        <f>IFERROR(IF(AND(VLOOKUP(G14,OfficerSkillsFull,11,FALSE) = VLOOKUP(E14,OfficerSkillsFull,11,FALSE), OR(VLOOKUP(G14,OfficerSkillsFull,12,FALSE) = VLOOKUP(E14,OfficerSkillsFull,12,FALSE),AND(VLOOKUP(G14,OfficerSkillsFull,11,FALSE) = VLOOKUP(C14,OfficerSkillsFull,11,FALSE),VLOOKUP(G14,OfficerSkillsFull,12,FALSE) = IFERROR(VLOOKUP(C14,OfficerSkillsFull,12,FALSE),"")))),"------- " &amp; IF(OR(E14="TOS Chekov", E14="TOS Scotty", E14="Michael Burnham"),VLOOKUP(E14,OfficerSkillsFull,14,FALSE),VLOOKUP(E14,OfficerSkillsFull,14,FALSE)*100),IF(VLOOKUP(G14,OfficerSkillsFull,11,FALSE) = VLOOKUP(E14,OfficerSkillsFull,11,FALSE),"===== " &amp; IF(OR(E14="TOS Chekov", E14="TOS Scotty", E14="Michael Burnham"),VLOOKUP(E14,OfficerSkillsFull,13,FALSE),VLOOKUP(E14,OfficerSkillsFull,13,FALSE)*100),"")),"")</f>
        <v/>
      </c>
      <c r="H13" s="643"/>
      <c r="I13" s="122"/>
      <c r="J13" s="122"/>
      <c r="K13" s="122"/>
      <c r="L13" s="128"/>
      <c r="M13" s="122"/>
      <c r="N13" s="128"/>
      <c r="O13" s="123"/>
      <c r="P13" s="123"/>
      <c r="Q13" s="123"/>
      <c r="R13" s="129">
        <f>References!B17+References!D17</f>
        <v>0</v>
      </c>
      <c r="S13" s="129">
        <f>References!C17+References!E17</f>
        <v>0</v>
      </c>
      <c r="T13" s="130"/>
      <c r="U13" s="126" t="s">
        <v>674</v>
      </c>
      <c r="V13" s="123"/>
      <c r="W13" s="127"/>
      <c r="X13" s="113"/>
      <c r="Y13" s="143" t="str">
        <f>Roster!B33</f>
        <v>R</v>
      </c>
      <c r="Z13" s="143" t="str">
        <f>Roster!C33</f>
        <v>B'Etor</v>
      </c>
      <c r="AA13" s="144">
        <f ca="1">Roster!D33</f>
        <v>0</v>
      </c>
      <c r="AB13" s="144">
        <f ca="1">Roster!E33</f>
        <v>0</v>
      </c>
      <c r="AC13" s="144">
        <f ca="1">Roster!F33</f>
        <v>0</v>
      </c>
      <c r="AD13" s="144">
        <f ca="1">Roster!G33</f>
        <v>0</v>
      </c>
      <c r="AE13" s="144">
        <f ca="1">Roster!H33</f>
        <v>0</v>
      </c>
    </row>
    <row r="14" spans="1:31" x14ac:dyDescent="0.25">
      <c r="A14" s="112"/>
      <c r="B14" s="113"/>
      <c r="C14" s="644"/>
      <c r="D14" s="645"/>
      <c r="E14" s="646"/>
      <c r="F14" s="647"/>
      <c r="G14" s="648"/>
      <c r="H14" s="645"/>
      <c r="I14" s="625"/>
      <c r="J14" s="626"/>
      <c r="K14" s="622"/>
      <c r="L14" s="623"/>
      <c r="M14" s="622"/>
      <c r="N14" s="623"/>
      <c r="O14" s="622"/>
      <c r="P14" s="623"/>
      <c r="Q14" s="622"/>
      <c r="R14" s="624"/>
      <c r="S14" s="622"/>
      <c r="T14" s="623"/>
      <c r="U14" s="625"/>
      <c r="V14" s="626"/>
      <c r="W14" s="131"/>
      <c r="X14" s="113"/>
      <c r="Y14" s="143" t="str">
        <f>Roster!B34</f>
        <v>R</v>
      </c>
      <c r="Z14" s="143" t="str">
        <f>Roster!C34</f>
        <v>Beverly Crusher</v>
      </c>
      <c r="AA14" s="144">
        <f ca="1">Roster!D34</f>
        <v>0</v>
      </c>
      <c r="AB14" s="144">
        <f ca="1">Roster!E34</f>
        <v>0</v>
      </c>
      <c r="AC14" s="144">
        <f ca="1">Roster!F34</f>
        <v>0</v>
      </c>
      <c r="AD14" s="144">
        <f ca="1">Roster!G34</f>
        <v>0</v>
      </c>
      <c r="AE14" s="144">
        <f ca="1">Roster!H34</f>
        <v>0</v>
      </c>
    </row>
    <row r="15" spans="1:31" x14ac:dyDescent="0.25">
      <c r="A15" s="112"/>
      <c r="B15" s="113"/>
      <c r="C15" s="132"/>
      <c r="D15" s="128"/>
      <c r="E15" s="128"/>
      <c r="F15" s="123"/>
      <c r="G15" s="123"/>
      <c r="H15" s="627"/>
      <c r="I15" s="628"/>
      <c r="J15" s="627"/>
      <c r="K15" s="629"/>
      <c r="L15" s="627"/>
      <c r="M15" s="629"/>
      <c r="N15" s="128"/>
      <c r="O15" s="123"/>
      <c r="P15" s="123"/>
      <c r="Q15" s="123"/>
      <c r="R15" s="123"/>
      <c r="S15" s="123"/>
      <c r="T15" s="123"/>
      <c r="U15" s="123"/>
      <c r="V15" s="123"/>
      <c r="W15" s="127"/>
      <c r="X15" s="113"/>
      <c r="Y15" s="143" t="str">
        <f>Roster!B35</f>
        <v>R</v>
      </c>
      <c r="Z15" s="143" t="str">
        <f>Roster!C35</f>
        <v>Bones</v>
      </c>
      <c r="AA15" s="144">
        <f ca="1">Roster!D35</f>
        <v>0</v>
      </c>
      <c r="AB15" s="144">
        <f ca="1">Roster!E35</f>
        <v>0</v>
      </c>
      <c r="AC15" s="144">
        <f ca="1">Roster!F35</f>
        <v>0</v>
      </c>
      <c r="AD15" s="144">
        <f ca="1">Roster!G35</f>
        <v>0</v>
      </c>
      <c r="AE15" s="144">
        <f ca="1">Roster!H35</f>
        <v>0</v>
      </c>
    </row>
    <row r="16" spans="1:31" x14ac:dyDescent="0.25">
      <c r="A16" s="112"/>
      <c r="B16" s="113"/>
      <c r="C16" s="133" t="s">
        <v>211</v>
      </c>
      <c r="D16" s="123"/>
      <c r="E16" s="630"/>
      <c r="F16" s="631"/>
      <c r="G16" s="123"/>
      <c r="H16" s="133" t="s">
        <v>208</v>
      </c>
      <c r="I16" s="123"/>
      <c r="J16" s="618">
        <f>IFERROR((INDEX(RosterAttack,MATCH(C14,RosterOfficer,0))/OfficerBonusA)*(OfficerBonusAB+SUM(R11:S11)),0)+IFERROR((INDEX(RosterAttack,MATCH(E14,RosterOfficer,0))/OfficerBonusA)*(OfficerBonusAC+SUM(R11:S11)),0)+IFERROR((INDEX(RosterAttack,MATCH(G14,RosterOfficer,0))/OfficerBonusA)*(OfficerBonusAB+SUM(R11:S11)),0)+IFERROR((INDEX(RosterAttack,MATCH(I14,RosterOfficer,0))/OfficerBonusA)*(OfficerBonusA+S11),0)+IFERROR((INDEX(RosterAttack,MATCH(K14,RosterOfficer,0))/OfficerBonusA)*(OfficerBonusA+S11),0)+IFERROR((INDEX(RosterAttack,MATCH(M14,RosterOfficer,0))/OfficerBonusA)*(OfficerBonusA+S11),0)+IFERROR((INDEX(RosterAttack,MATCH(O14,RosterOfficer,0))/OfficerBonusA)*(OfficerBonusA+S11),0)+IFERROR((INDEX(RosterAttack,MATCH(Q14,RosterOfficer,0))/OfficerBonusA)*(OfficerBonusA+S11),0)+IFERROR((INDEX(RosterAttack,MATCH(S14,RosterOfficer,0))/OfficerBonusA)*(OfficerBonusA+S11),0)+IFERROR((INDEX(RosterAttack,MATCH(U14,RosterOfficer,0))/OfficerBonusA)*(OfficerBonusA+S11),0)</f>
        <v>0</v>
      </c>
      <c r="K16" s="619"/>
      <c r="L16" s="134" t="str">
        <f>IFERROR(VLOOKUP(SelectedShipB&amp;"Bonuses",ShipList,4,FALSE),"")</f>
        <v/>
      </c>
      <c r="M16" s="134" t="str">
        <f>IFERROR(VLOOKUP(SelectedShipB&amp;"Bonuses",ShipList,6,FALSE),"")</f>
        <v/>
      </c>
      <c r="N16" s="134" t="str">
        <f>IFERROR(VLOOKUP(SelectedShipB&amp;"Bonuses",ShipList,8,FALSE),"")</f>
        <v/>
      </c>
      <c r="O16" s="134" t="str">
        <f>IFERROR(VLOOKUP(SelectedShipB&amp;"Bonuses",ShipList,10,FALSE),"")</f>
        <v/>
      </c>
      <c r="P16" s="134" t="str">
        <f>IFERROR(VLOOKUP(SelectedShipB&amp;"Bonuses",ShipList,12,FALSE),"")</f>
        <v/>
      </c>
      <c r="Q16" s="134" t="str">
        <f>IFERROR(VLOOKUP(SelectedShipB&amp;"Bonuses",ShipList,14,FALSE),"")</f>
        <v/>
      </c>
      <c r="R16" s="134" t="str">
        <f>IFERROR(VLOOKUP(SelectedShipB&amp;"Bonuses",ShipList,16,FALSE),"")</f>
        <v/>
      </c>
      <c r="S16" s="134" t="str">
        <f>IFERROR(VLOOKUP(SelectedShipB&amp;"Bonuses",ShipList,18,FALSE),"")</f>
        <v/>
      </c>
      <c r="T16" s="134" t="str">
        <f>IFERROR(VLOOKUP(SelectedShipB&amp;"Bonuses",ShipList,20,FALSE),"")</f>
        <v/>
      </c>
      <c r="U16" s="134" t="str">
        <f>IFERROR(VLOOKUP(SelectedShipB&amp;"Bonuses",ShipList,22,FALSE),"")</f>
        <v/>
      </c>
      <c r="V16" s="135">
        <f>IF(J16&gt;U16,VLOOKUP(SelectedShipB&amp;"Bonuses",ShipList,23,FALSE),IF(J16&gt;T16,VLOOKUP(SelectedShipB&amp;"Bonuses",ShipList,21,FALSE),IF(J16&gt;S16,VLOOKUP(SelectedShipB&amp;"Bonuses",ShipList,19,FALSE),IF(J16&gt;R16,VLOOKUP(SelectedShipB&amp;"Bonuses",ShipList,17,FALSE),IF(J16&gt;Q16,VLOOKUP(SelectedShipB&amp;"Bonuses",ShipList,15,FALSE),IF(J16&gt;P16,VLOOKUP(SelectedShipB&amp;"Bonuses",ShipList,13,FALSE),IF(J16&gt;O16,VLOOKUP(SelectedShipB&amp;"Bonuses",ShipList,11,FALSE),IF(J16&gt;N16,VLOOKUP(SelectedShipB&amp;"Bonuses",ShipList,9,FALSE),IF(J16&gt;M16,VLOOKUP(SelectedShipB&amp;"Bonuses",ShipList,7,FALSE),IF(J16&gt;L16,VLOOKUP(SelectedShipB&amp;"Bonuses",ShipList,5,FALSE),0))))))))))</f>
        <v>0</v>
      </c>
      <c r="W16" s="136"/>
      <c r="X16" s="113"/>
      <c r="Y16" s="143" t="str">
        <f>Roster!B36</f>
        <v>R</v>
      </c>
      <c r="Z16" s="143" t="str">
        <f>Roster!C36</f>
        <v>Brad Boimler</v>
      </c>
      <c r="AA16" s="144">
        <f ca="1">Roster!D36</f>
        <v>0</v>
      </c>
      <c r="AB16" s="144">
        <f ca="1">Roster!E36</f>
        <v>0</v>
      </c>
      <c r="AC16" s="144">
        <f ca="1">Roster!F36</f>
        <v>0</v>
      </c>
      <c r="AD16" s="144">
        <f ca="1">Roster!G36</f>
        <v>0</v>
      </c>
      <c r="AE16" s="144">
        <f ca="1">Roster!H36</f>
        <v>0</v>
      </c>
    </row>
    <row r="17" spans="1:31" x14ac:dyDescent="0.25">
      <c r="A17" s="112"/>
      <c r="B17" s="113"/>
      <c r="C17" s="137"/>
      <c r="D17" s="123"/>
      <c r="E17" s="123"/>
      <c r="F17" s="123"/>
      <c r="G17" s="123"/>
      <c r="H17" s="133" t="s">
        <v>209</v>
      </c>
      <c r="I17" s="123"/>
      <c r="J17" s="618">
        <f>IFERROR((INDEX(RosterDefence,MATCH(C14,RosterOfficer,0))/OfficerBonusD)*(OfficerBonusDB+SUM(R12:S12)),0)+IFERROR((INDEX(RosterDefence,MATCH(E14,RosterOfficer,0))/OfficerBonusD)*(OfficerBonusDC+SUM(R12:S12)),0)+IFERROR((INDEX(RosterDefence,MATCH(G14,RosterOfficer,0))/OfficerBonusD)*(OfficerBonusDB+SUM(R12:S12)),0)+IFERROR((INDEX(RosterDefence,MATCH(I14,RosterOfficer,0))/OfficerBonusD)*(OfficerBonusD+S12),0)+IFERROR((INDEX(RosterDefence,MATCH(K14,RosterOfficer,0))/OfficerBonusD)*(OfficerBonusD+S12),0)+IFERROR((INDEX(RosterDefence,MATCH(M14,RosterOfficer,0))/OfficerBonusD)*(OfficerBonusD+S12),0)+IFERROR((INDEX(RosterDefence,MATCH(O14,RosterOfficer,0))/OfficerBonusD)*(OfficerBonusD+S12),0)+IFERROR((INDEX(RosterDefence,MATCH(Q14,RosterOfficer,0))/OfficerBonusD)*(OfficerBonusD+S12),0)+IFERROR((INDEX(RosterDefence,MATCH(S14,RosterOfficer,0))/OfficerBonusD)*(OfficerBonusD+S12),0)+IFERROR((INDEX(RosterDefence,MATCH(U14,RosterOfficer,0))/OfficerBonusD)*(OfficerBonusD+S12),0)</f>
        <v>0</v>
      </c>
      <c r="K17" s="619"/>
      <c r="L17" s="134" t="str">
        <f>IFERROR(VLOOKUP(SelectedShipB&amp;"Bonuses",ShipList,4,FALSE),"")</f>
        <v/>
      </c>
      <c r="M17" s="134" t="str">
        <f>IFERROR(VLOOKUP(SelectedShipB&amp;"Bonuses",ShipList,6,FALSE),"")</f>
        <v/>
      </c>
      <c r="N17" s="134" t="str">
        <f>IFERROR(VLOOKUP(SelectedShipB&amp;"Bonuses",ShipList,8,FALSE),"")</f>
        <v/>
      </c>
      <c r="O17" s="134" t="str">
        <f>IFERROR(VLOOKUP(SelectedShipB&amp;"Bonuses",ShipList,10,FALSE),"")</f>
        <v/>
      </c>
      <c r="P17" s="134" t="str">
        <f>IFERROR(VLOOKUP(SelectedShipB&amp;"Bonuses",ShipList,12,FALSE),"")</f>
        <v/>
      </c>
      <c r="Q17" s="134" t="str">
        <f>IFERROR(VLOOKUP(SelectedShipB&amp;"Bonuses",ShipList,14,FALSE),"")</f>
        <v/>
      </c>
      <c r="R17" s="134" t="str">
        <f>IFERROR(VLOOKUP(SelectedShipB&amp;"Bonuses",ShipList,16,FALSE),"")</f>
        <v/>
      </c>
      <c r="S17" s="134" t="str">
        <f>IFERROR(VLOOKUP(SelectedShipB&amp;"Bonuses",ShipList,18,FALSE),"")</f>
        <v/>
      </c>
      <c r="T17" s="134" t="str">
        <f>IFERROR(VLOOKUP(SelectedShipB&amp;"Bonuses",ShipList,20,FALSE),"")</f>
        <v/>
      </c>
      <c r="U17" s="134" t="str">
        <f>IFERROR(VLOOKUP(SelectedShipB&amp;"Bonuses",ShipList,22,FALSE),"")</f>
        <v/>
      </c>
      <c r="V17" s="135">
        <f>IF(J17&gt;U17,VLOOKUP(SelectedShipB&amp;"Bonuses",ShipList,23,FALSE),IF(J17&gt;T17,VLOOKUP(SelectedShipB&amp;"Bonuses",ShipList,21,FALSE),IF(J17&gt;S17,VLOOKUP(SelectedShipB&amp;"Bonuses",ShipList,19,FALSE),IF(J17&gt;R17,VLOOKUP(SelectedShipB&amp;"Bonuses",ShipList,17,FALSE),IF(J17&gt;Q17,VLOOKUP(SelectedShipB&amp;"Bonuses",ShipList,15,FALSE),IF(J17&gt;P17,VLOOKUP(SelectedShipB&amp;"Bonuses",ShipList,13,FALSE),IF(J17&gt;O17,VLOOKUP(SelectedShipB&amp;"Bonuses",ShipList,11,FALSE),IF(J17&gt;N17,VLOOKUP(SelectedShipB&amp;"Bonuses",ShipList,9,FALSE),IF(J17&gt;M17,VLOOKUP(SelectedShipB&amp;"Bonuses",ShipList,7,FALSE),IF(J17&gt;L17,VLOOKUP(SelectedShipB&amp;"Bonuses",ShipList,5,FALSE),0))))))))))</f>
        <v>0</v>
      </c>
      <c r="W17" s="136"/>
      <c r="X17" s="113"/>
      <c r="Y17" s="143" t="str">
        <f>Roster!B37</f>
        <v>C</v>
      </c>
      <c r="Z17" s="143" t="str">
        <f>Roster!C37</f>
        <v>Cadet Kirk</v>
      </c>
      <c r="AA17" s="144">
        <f ca="1">Roster!D37</f>
        <v>0</v>
      </c>
      <c r="AB17" s="144">
        <f ca="1">Roster!E37</f>
        <v>0</v>
      </c>
      <c r="AC17" s="144">
        <f ca="1">Roster!F37</f>
        <v>0</v>
      </c>
      <c r="AD17" s="144">
        <f ca="1">Roster!G37</f>
        <v>0</v>
      </c>
      <c r="AE17" s="144">
        <f ca="1">Roster!H37</f>
        <v>0</v>
      </c>
    </row>
    <row r="18" spans="1:31" x14ac:dyDescent="0.25">
      <c r="A18" s="112"/>
      <c r="B18" s="113"/>
      <c r="C18" s="138"/>
      <c r="D18" s="139"/>
      <c r="E18" s="139"/>
      <c r="F18" s="139"/>
      <c r="G18" s="139"/>
      <c r="H18" s="133" t="s">
        <v>210</v>
      </c>
      <c r="I18" s="139"/>
      <c r="J18" s="620">
        <f>IFERROR((INDEX(RosterHealth,MATCH(C14,RosterOfficer,0))/OfficerBonusH)*(OfficerBonusHB+SUM(R13:S13)),0)+IFERROR((INDEX(RosterHealth,MATCH(E14,RosterOfficer,0))/OfficerBonusH)*(OfficerBonusHC+SUM(R13:S13)),0)+IFERROR((INDEX(RosterHealth,MATCH(G14,RosterOfficer,0))/OfficerBonusH)*(OfficerBonusHB+SUM(R13:S13)),0)+IFERROR((INDEX(RosterHealth,MATCH(I14,RosterOfficer,0))/OfficerBonusH)*(OfficerBonusH+S13),0)+IFERROR((INDEX(RosterHealth,MATCH(K14,RosterOfficer,0))/OfficerBonusH)*(OfficerBonusH+S13),0)+IFERROR((INDEX(RosterHealth,MATCH(M14,RosterOfficer,0))/OfficerBonusH)*(OfficerBonusH+S13),0)+IFERROR((INDEX(RosterHealth,MATCH(O14,RosterOfficer,0))/OfficerBonusH)*(OfficerBonusH+S13),0)+IFERROR((INDEX(RosterHealth,MATCH(Q14,RosterOfficer,0))/OfficerBonusH)*(OfficerBonusH+S13),0)+IFERROR((INDEX(RosterHealth,MATCH(S14,RosterOfficer,0))/OfficerBonusH)*(OfficerBonusH+S13),0)+IFERROR((INDEX(RosterHealth,MATCH(U14,RosterOfficer,0))/OfficerBonusH)*(OfficerBonusH+S13),0)</f>
        <v>0</v>
      </c>
      <c r="K18" s="621"/>
      <c r="L18" s="134" t="str">
        <f>IFERROR(VLOOKUP(SelectedShipB&amp;"Bonuses",ShipList,4,FALSE),"")</f>
        <v/>
      </c>
      <c r="M18" s="134" t="str">
        <f>IFERROR(VLOOKUP(SelectedShipB&amp;"Bonuses",ShipList,6,FALSE),"")</f>
        <v/>
      </c>
      <c r="N18" s="134" t="str">
        <f>IFERROR(VLOOKUP(SelectedShipB&amp;"Bonuses",ShipList,8,FALSE),"")</f>
        <v/>
      </c>
      <c r="O18" s="134" t="str">
        <f>IFERROR(VLOOKUP(SelectedShipB&amp;"Bonuses",ShipList,10,FALSE),"")</f>
        <v/>
      </c>
      <c r="P18" s="134" t="str">
        <f>IFERROR(VLOOKUP(SelectedShipB&amp;"Bonuses",ShipList,12,FALSE),"")</f>
        <v/>
      </c>
      <c r="Q18" s="134" t="str">
        <f>IFERROR(VLOOKUP(SelectedShipB&amp;"Bonuses",ShipList,14,FALSE),"")</f>
        <v/>
      </c>
      <c r="R18" s="134" t="str">
        <f>IFERROR(VLOOKUP(SelectedShipB&amp;"Bonuses",ShipList,16,FALSE),"")</f>
        <v/>
      </c>
      <c r="S18" s="134" t="str">
        <f>IFERROR(VLOOKUP(SelectedShipB&amp;"Bonuses",ShipList,18,FALSE),"")</f>
        <v/>
      </c>
      <c r="T18" s="134" t="str">
        <f>IFERROR(VLOOKUP(SelectedShipB&amp;"Bonuses",ShipList,20,FALSE),"")</f>
        <v/>
      </c>
      <c r="U18" s="134" t="str">
        <f>IFERROR(VLOOKUP(SelectedShipB&amp;"Bonuses",ShipList,22,FALSE),"")</f>
        <v/>
      </c>
      <c r="V18" s="140">
        <f>IF(J18&gt;U18,VLOOKUP(SelectedShipB&amp;"Bonuses",ShipList,23,FALSE),IF(J18&gt;T18,VLOOKUP(SelectedShipB&amp;"Bonuses",ShipList,21,FALSE),IF(J18&gt;S18,VLOOKUP(SelectedShipB&amp;"Bonuses",ShipList,19,FALSE),IF(J18&gt;R18,VLOOKUP(SelectedShipB&amp;"Bonuses",ShipList,17,FALSE),IF(J18&gt;Q18,VLOOKUP(SelectedShipB&amp;"Bonuses",ShipList,15,FALSE),IF(J18&gt;P18,VLOOKUP(SelectedShipB&amp;"Bonuses",ShipList,13,FALSE),IF(J18&gt;O18,VLOOKUP(SelectedShipB&amp;"Bonuses",ShipList,11,FALSE),IF(J18&gt;N18,VLOOKUP(SelectedShipB&amp;"Bonuses",ShipList,9,FALSE),IF(J18&gt;M18,VLOOKUP(SelectedShipB&amp;"Bonuses",ShipList,7,FALSE),IF(J18&gt;L18,VLOOKUP(SelectedShipB&amp;"Bonuses",ShipList,5,FALSE),0))))))))))</f>
        <v>0</v>
      </c>
      <c r="W18" s="141"/>
      <c r="X18" s="113"/>
      <c r="Y18" s="143" t="str">
        <f>Roster!B38</f>
        <v>C</v>
      </c>
      <c r="Z18" s="143" t="str">
        <f>Roster!C38</f>
        <v>Cadet McCoy</v>
      </c>
      <c r="AA18" s="144">
        <f ca="1">Roster!D38</f>
        <v>0</v>
      </c>
      <c r="AB18" s="144">
        <f ca="1">Roster!E38</f>
        <v>0</v>
      </c>
      <c r="AC18" s="144">
        <f ca="1">Roster!F38</f>
        <v>0</v>
      </c>
      <c r="AD18" s="144">
        <f ca="1">Roster!G38</f>
        <v>0</v>
      </c>
      <c r="AE18" s="144">
        <f ca="1">Roster!H38</f>
        <v>0</v>
      </c>
    </row>
    <row r="19" spans="1:31" x14ac:dyDescent="0.25">
      <c r="A19" s="112"/>
      <c r="B19" s="113"/>
      <c r="C19" s="113"/>
      <c r="D19" s="113"/>
      <c r="E19" s="113"/>
      <c r="F19" s="113"/>
      <c r="G19" s="113"/>
      <c r="H19" s="113"/>
      <c r="I19" s="113"/>
      <c r="J19" s="113"/>
      <c r="K19" s="113"/>
      <c r="L19" s="113"/>
      <c r="M19" s="113"/>
      <c r="N19" s="113"/>
      <c r="O19" s="113"/>
      <c r="P19" s="113"/>
      <c r="Q19" s="113"/>
      <c r="R19" s="113"/>
      <c r="S19" s="113"/>
      <c r="T19" s="113"/>
      <c r="U19" s="113"/>
      <c r="V19" s="113"/>
      <c r="W19" s="113"/>
      <c r="X19" s="113"/>
      <c r="Y19" s="143" t="str">
        <f>Roster!B39</f>
        <v>C</v>
      </c>
      <c r="Z19" s="143" t="str">
        <f>Roster!C39</f>
        <v>Cadet Scotty</v>
      </c>
      <c r="AA19" s="144">
        <f ca="1">Roster!D39</f>
        <v>0</v>
      </c>
      <c r="AB19" s="144">
        <f ca="1">Roster!E39</f>
        <v>0</v>
      </c>
      <c r="AC19" s="144">
        <f ca="1">Roster!F39</f>
        <v>0</v>
      </c>
      <c r="AD19" s="144">
        <f ca="1">Roster!G39</f>
        <v>0</v>
      </c>
      <c r="AE19" s="144">
        <f ca="1">Roster!H39</f>
        <v>0</v>
      </c>
    </row>
    <row r="20" spans="1:31" ht="17.25" thickBot="1" x14ac:dyDescent="0.3">
      <c r="A20" s="112"/>
      <c r="B20" s="113"/>
      <c r="C20" s="632" t="s">
        <v>719</v>
      </c>
      <c r="D20" s="633"/>
      <c r="E20" s="115"/>
      <c r="F20" s="115"/>
      <c r="G20" s="115"/>
      <c r="H20" s="115"/>
      <c r="I20" s="115"/>
      <c r="J20" s="115"/>
      <c r="K20" s="115"/>
      <c r="L20" s="115"/>
      <c r="M20" s="115"/>
      <c r="N20" s="115"/>
      <c r="O20" s="115"/>
      <c r="P20" s="115"/>
      <c r="Q20" s="116" t="s">
        <v>130</v>
      </c>
      <c r="R20" s="117">
        <f>References!B19+References!D19</f>
        <v>0</v>
      </c>
      <c r="S20" s="118">
        <f>References!C19+References!E19</f>
        <v>0</v>
      </c>
      <c r="T20" s="119" t="s">
        <v>671</v>
      </c>
      <c r="U20" s="120" t="s">
        <v>672</v>
      </c>
      <c r="V20" s="115"/>
      <c r="W20" s="121"/>
      <c r="X20" s="113"/>
      <c r="Y20" s="143" t="str">
        <f>Roster!B40</f>
        <v>C</v>
      </c>
      <c r="Z20" s="143" t="str">
        <f>Roster!C40</f>
        <v>Cadet Sulu</v>
      </c>
      <c r="AA20" s="144">
        <f ca="1">Roster!D40</f>
        <v>0</v>
      </c>
      <c r="AB20" s="144">
        <f ca="1">Roster!E40</f>
        <v>0</v>
      </c>
      <c r="AC20" s="144">
        <f ca="1">Roster!F40</f>
        <v>0</v>
      </c>
      <c r="AD20" s="144">
        <f ca="1">Roster!G40</f>
        <v>0</v>
      </c>
      <c r="AE20" s="144">
        <f ca="1">Roster!H40</f>
        <v>0</v>
      </c>
    </row>
    <row r="21" spans="1:31" ht="17.25" thickTop="1" x14ac:dyDescent="0.25">
      <c r="A21" s="112"/>
      <c r="B21" s="113"/>
      <c r="C21" s="634"/>
      <c r="D21" s="635"/>
      <c r="E21" s="636" t="s">
        <v>130</v>
      </c>
      <c r="F21" s="637"/>
      <c r="G21" s="122"/>
      <c r="H21" s="122"/>
      <c r="I21" s="123"/>
      <c r="J21" s="123"/>
      <c r="K21" s="638" t="s">
        <v>131</v>
      </c>
      <c r="L21" s="639"/>
      <c r="M21" s="123"/>
      <c r="N21" s="123"/>
      <c r="O21" s="112"/>
      <c r="P21" s="112"/>
      <c r="Q21" s="123"/>
      <c r="R21" s="124">
        <f>References!B20+References!D20</f>
        <v>0</v>
      </c>
      <c r="S21" s="124">
        <f>References!C20+References!E20</f>
        <v>0</v>
      </c>
      <c r="T21" s="125"/>
      <c r="U21" s="126" t="s">
        <v>673</v>
      </c>
      <c r="V21" s="123"/>
      <c r="W21" s="127"/>
      <c r="X21" s="113"/>
      <c r="Y21" s="143" t="str">
        <f>Roster!B41</f>
        <v>C</v>
      </c>
      <c r="Z21" s="143" t="str">
        <f>Roster!C41</f>
        <v>Cadet Uhura</v>
      </c>
      <c r="AA21" s="144">
        <f ca="1">Roster!D41</f>
        <v>0</v>
      </c>
      <c r="AB21" s="144">
        <f ca="1">Roster!E41</f>
        <v>0</v>
      </c>
      <c r="AC21" s="144">
        <f ca="1">Roster!F41</f>
        <v>0</v>
      </c>
      <c r="AD21" s="144">
        <f ca="1">Roster!G41</f>
        <v>0</v>
      </c>
      <c r="AE21" s="144">
        <f ca="1">Roster!H41</f>
        <v>0</v>
      </c>
    </row>
    <row r="22" spans="1:31" x14ac:dyDescent="0.25">
      <c r="A22" s="112"/>
      <c r="B22" s="113"/>
      <c r="C22" s="640" t="str">
        <f>IFERROR(IF(AND(VLOOKUP(C23,OfficerSkillsFull,11,FALSE) = VLOOKUP(E23,OfficerSkillsFull,11,FALSE), VLOOKUP(C23,OfficerSkillsFull,12,FALSE) = VLOOKUP(E23,OfficerSkillsFull,12,FALSE)),IF(OR(E23="TOS Chekov", E23="TOS Scotty", E23="Michael Burnham"),VLOOKUP(E23,OfficerSkillsFull,14,FALSE)&amp;"---------",VLOOKUP(E23,OfficerSkillsFull,14,FALSE)*100&amp;"% -------"),IF(VLOOKUP(C23,OfficerSkillsFull,11,FALSE) = VLOOKUP(E23,OfficerSkillsFull,11,FALSE),IF(OR(E23="TOS Chekov", E23="TOS Scotty", E23="Michael Burnham"),VLOOKUP(E23,OfficerSkillsFull,13,FALSE)&amp;"=======",VLOOKUP(E23,OfficerSkillsFull,13,FALSE)*100&amp;"% ====="),"")),"")</f>
        <v/>
      </c>
      <c r="D22" s="641"/>
      <c r="E22" s="642" t="str">
        <f>IFERROR(IF(OR(E23="TOS Chekov", E23="TOS Scotty", E23="Michael Burnham", E23="Origins Burnham", E23="Origins Saru", E23="Origins Stamets", E23="Rom"),VLOOKUP(E23,OfficerSkillsFull,10,FALSE),VLOOKUP(E23,OfficerSkillsFull,10,FALSE)*100 &amp; "%"),"")</f>
        <v/>
      </c>
      <c r="F22" s="642"/>
      <c r="G22" s="643" t="str">
        <f>IFERROR(IF(AND(VLOOKUP(G23,OfficerSkillsFull,11,FALSE) = VLOOKUP(E23,OfficerSkillsFull,11,FALSE), OR(VLOOKUP(G23,OfficerSkillsFull,12,FALSE) = VLOOKUP(E23,OfficerSkillsFull,12,FALSE),AND(VLOOKUP(G23,OfficerSkillsFull,11,FALSE) = VLOOKUP(C23,OfficerSkillsFull,11,FALSE),VLOOKUP(G23,OfficerSkillsFull,12,FALSE) = IFERROR(VLOOKUP(C23,OfficerSkillsFull,12,FALSE),"")))),"------- " &amp; IF(OR(E23="TOS Chekov", E23="TOS Scotty", E23="Michael Burnham"),VLOOKUP(E23,OfficerSkillsFull,14,FALSE),VLOOKUP(E23,OfficerSkillsFull,14,FALSE)*100),IF(VLOOKUP(G23,OfficerSkillsFull,11,FALSE) = VLOOKUP(E23,OfficerSkillsFull,11,FALSE),"===== " &amp; IF(OR(E23="TOS Chekov", E23="TOS Scotty", E23="Michael Burnham"),VLOOKUP(E23,OfficerSkillsFull,13,FALSE),VLOOKUP(E23,OfficerSkillsFull,13,FALSE)*100),"")),"")</f>
        <v/>
      </c>
      <c r="H22" s="643"/>
      <c r="I22" s="122"/>
      <c r="J22" s="122"/>
      <c r="K22" s="122"/>
      <c r="L22" s="128"/>
      <c r="M22" s="122"/>
      <c r="N22" s="128"/>
      <c r="O22" s="123"/>
      <c r="P22" s="123"/>
      <c r="Q22" s="123"/>
      <c r="R22" s="129">
        <f>References!B21+References!D21</f>
        <v>0</v>
      </c>
      <c r="S22" s="129">
        <f>References!C21+References!E21</f>
        <v>0</v>
      </c>
      <c r="T22" s="130"/>
      <c r="U22" s="126" t="s">
        <v>674</v>
      </c>
      <c r="V22" s="123"/>
      <c r="W22" s="127"/>
      <c r="X22" s="113"/>
      <c r="Y22" s="143" t="str">
        <f>Roster!B42</f>
        <v>R</v>
      </c>
      <c r="Z22" s="143" t="str">
        <f>Roster!C42</f>
        <v>Captain Tilly</v>
      </c>
      <c r="AA22" s="144">
        <f ca="1">Roster!D42</f>
        <v>0</v>
      </c>
      <c r="AB22" s="144">
        <f ca="1">Roster!E42</f>
        <v>0</v>
      </c>
      <c r="AC22" s="144">
        <f ca="1">Roster!F42</f>
        <v>0</v>
      </c>
      <c r="AD22" s="144">
        <f ca="1">Roster!G42</f>
        <v>0</v>
      </c>
      <c r="AE22" s="144">
        <f ca="1">Roster!H42</f>
        <v>0</v>
      </c>
    </row>
    <row r="23" spans="1:31" x14ac:dyDescent="0.25">
      <c r="A23" s="112"/>
      <c r="B23" s="113"/>
      <c r="C23" s="644"/>
      <c r="D23" s="645"/>
      <c r="E23" s="646"/>
      <c r="F23" s="647"/>
      <c r="G23" s="648"/>
      <c r="H23" s="645"/>
      <c r="I23" s="625"/>
      <c r="J23" s="626"/>
      <c r="K23" s="622"/>
      <c r="L23" s="623"/>
      <c r="M23" s="622"/>
      <c r="N23" s="623"/>
      <c r="O23" s="622"/>
      <c r="P23" s="623"/>
      <c r="Q23" s="622"/>
      <c r="R23" s="624"/>
      <c r="S23" s="622"/>
      <c r="T23" s="623"/>
      <c r="U23" s="625"/>
      <c r="V23" s="626"/>
      <c r="W23" s="131"/>
      <c r="X23" s="113"/>
      <c r="Y23" s="143" t="str">
        <f>Roster!B43</f>
        <v>E</v>
      </c>
      <c r="Z23" s="143" t="str">
        <f>Roster!C43</f>
        <v>Carol</v>
      </c>
      <c r="AA23" s="144">
        <f ca="1">Roster!D43</f>
        <v>0</v>
      </c>
      <c r="AB23" s="144">
        <f ca="1">Roster!E43</f>
        <v>0</v>
      </c>
      <c r="AC23" s="144">
        <f ca="1">Roster!F43</f>
        <v>0</v>
      </c>
      <c r="AD23" s="144">
        <f ca="1">Roster!G43</f>
        <v>0</v>
      </c>
      <c r="AE23" s="144">
        <f ca="1">Roster!H43</f>
        <v>0</v>
      </c>
    </row>
    <row r="24" spans="1:31" x14ac:dyDescent="0.25">
      <c r="A24" s="112"/>
      <c r="B24" s="113"/>
      <c r="C24" s="132"/>
      <c r="D24" s="128"/>
      <c r="E24" s="128"/>
      <c r="F24" s="123"/>
      <c r="G24" s="123"/>
      <c r="H24" s="627"/>
      <c r="I24" s="628"/>
      <c r="J24" s="627"/>
      <c r="K24" s="629"/>
      <c r="L24" s="627"/>
      <c r="M24" s="629"/>
      <c r="N24" s="128"/>
      <c r="O24" s="123"/>
      <c r="P24" s="123"/>
      <c r="Q24" s="123"/>
      <c r="R24" s="123"/>
      <c r="S24" s="123"/>
      <c r="T24" s="123"/>
      <c r="U24" s="123"/>
      <c r="V24" s="123"/>
      <c r="W24" s="127"/>
      <c r="X24" s="113"/>
      <c r="Y24" s="143" t="str">
        <f>Roster!B44</f>
        <v>R</v>
      </c>
      <c r="Z24" s="143" t="str">
        <f>Roster!C44</f>
        <v>Cath</v>
      </c>
      <c r="AA24" s="144">
        <f ca="1">Roster!D44</f>
        <v>0</v>
      </c>
      <c r="AB24" s="144">
        <f ca="1">Roster!E44</f>
        <v>0</v>
      </c>
      <c r="AC24" s="144">
        <f ca="1">Roster!F44</f>
        <v>0</v>
      </c>
      <c r="AD24" s="144">
        <f ca="1">Roster!G44</f>
        <v>0</v>
      </c>
      <c r="AE24" s="144">
        <f ca="1">Roster!H44</f>
        <v>0</v>
      </c>
    </row>
    <row r="25" spans="1:31" x14ac:dyDescent="0.25">
      <c r="A25" s="112"/>
      <c r="B25" s="113"/>
      <c r="C25" s="133" t="s">
        <v>211</v>
      </c>
      <c r="D25" s="123"/>
      <c r="E25" s="630"/>
      <c r="F25" s="631"/>
      <c r="G25" s="123"/>
      <c r="H25" s="133" t="s">
        <v>208</v>
      </c>
      <c r="I25" s="123"/>
      <c r="J25" s="618">
        <f>IFERROR((INDEX(RosterAttack,MATCH(C23,RosterOfficer,0))/OfficerBonusA)*(OfficerBonusAB+SUM(R20:S20)),0)+IFERROR((INDEX(RosterAttack,MATCH(E23,RosterOfficer,0))/OfficerBonusA)*(OfficerBonusAC+SUM(R20:S20)),0)+IFERROR((INDEX(RosterAttack,MATCH(G23,RosterOfficer,0))/OfficerBonusA)*(OfficerBonusAB+SUM(R20:S20)),0)+IFERROR((INDEX(RosterAttack,MATCH(I23,RosterOfficer,0))/OfficerBonusA)*(OfficerBonusA+S20),0)+IFERROR((INDEX(RosterAttack,MATCH(K23,RosterOfficer,0))/OfficerBonusA)*(OfficerBonusA+S20),0)+IFERROR((INDEX(RosterAttack,MATCH(M23,RosterOfficer,0))/OfficerBonusA)*(OfficerBonusA+S20),0)+IFERROR((INDEX(RosterAttack,MATCH(O23,RosterOfficer,0))/OfficerBonusA)*(OfficerBonusA+S20),0)+IFERROR((INDEX(RosterAttack,MATCH(Q23,RosterOfficer,0))/OfficerBonusA)*(OfficerBonusA+S20),0)+IFERROR((INDEX(RosterAttack,MATCH(S23,RosterOfficer,0))/OfficerBonusA)*(OfficerBonusA+S20),0)+IFERROR((INDEX(RosterAttack,MATCH(U23,RosterOfficer,0))/OfficerBonusA)*(OfficerBonusA+S20),0)</f>
        <v>0</v>
      </c>
      <c r="K25" s="619"/>
      <c r="L25" s="134" t="str">
        <f>IFERROR(VLOOKUP(SelectedShipC&amp;"Bonuses",ShipList,4,FALSE),"")</f>
        <v/>
      </c>
      <c r="M25" s="134" t="str">
        <f>IFERROR(VLOOKUP(SelectedShipC&amp;"Bonuses",ShipList,6,FALSE),"")</f>
        <v/>
      </c>
      <c r="N25" s="134" t="str">
        <f>IFERROR(VLOOKUP(SelectedShipC&amp;"Bonuses",ShipList,8,FALSE),"")</f>
        <v/>
      </c>
      <c r="O25" s="134" t="str">
        <f>IFERROR(VLOOKUP(SelectedShipC&amp;"Bonuses",ShipList,10,FALSE),"")</f>
        <v/>
      </c>
      <c r="P25" s="134" t="str">
        <f>IFERROR(VLOOKUP(SelectedShipC&amp;"Bonuses",ShipList,12,FALSE),"")</f>
        <v/>
      </c>
      <c r="Q25" s="134" t="str">
        <f>IFERROR(VLOOKUP(SelectedShipC&amp;"Bonuses",ShipList,14,FALSE),"")</f>
        <v/>
      </c>
      <c r="R25" s="134" t="str">
        <f>IFERROR(VLOOKUP(SelectedShipC&amp;"Bonuses",ShipList,16,FALSE),"")</f>
        <v/>
      </c>
      <c r="S25" s="134" t="str">
        <f>IFERROR(VLOOKUP(SelectedShipC&amp;"Bonuses",ShipList,18,FALSE),"")</f>
        <v/>
      </c>
      <c r="T25" s="134" t="str">
        <f>IFERROR(VLOOKUP(SelectedShipC&amp;"Bonuses",ShipList,20,FALSE),"")</f>
        <v/>
      </c>
      <c r="U25" s="134" t="str">
        <f>IFERROR(VLOOKUP(SelectedShipC&amp;"Bonuses",ShipList,22,FALSE),"")</f>
        <v/>
      </c>
      <c r="V25" s="135">
        <f>IF(J25&gt;U25,VLOOKUP(SelectedShipC&amp;"Bonuses",ShipList,23,FALSE),IF(J25&gt;T25,VLOOKUP(SelectedShipC&amp;"Bonuses",ShipList,21,FALSE),IF(J25&gt;S25,VLOOKUP(SelectedShipC&amp;"Bonuses",ShipList,19,FALSE),IF(J25&gt;R25,VLOOKUP(SelectedShipC&amp;"Bonuses",ShipList,17,FALSE),IF(J25&gt;Q25,VLOOKUP(SelectedShipC&amp;"Bonuses",ShipList,15,FALSE),IF(J25&gt;P25,VLOOKUP(SelectedShipC&amp;"Bonuses",ShipList,13,FALSE),IF(J25&gt;O25,VLOOKUP(SelectedShipC&amp;"Bonuses",ShipList,11,FALSE),IF(J25&gt;N25,VLOOKUP(SelectedShipC&amp;"Bonuses",ShipList,9,FALSE),IF(J25&gt;M25,VLOOKUP(SelectedShipC&amp;"Bonuses",ShipList,7,FALSE),IF(J25&gt;L25,VLOOKUP(SelectedShipC&amp;"Bonuses",ShipList,5,FALSE),0))))))))))</f>
        <v>0</v>
      </c>
      <c r="W25" s="136"/>
      <c r="X25" s="113"/>
      <c r="Y25" s="143" t="str">
        <f>Roster!B45</f>
        <v>R</v>
      </c>
      <c r="Z25" s="143" t="str">
        <f>Roster!C45</f>
        <v>Chang</v>
      </c>
      <c r="AA25" s="144">
        <f ca="1">Roster!D45</f>
        <v>0</v>
      </c>
      <c r="AB25" s="144">
        <f ca="1">Roster!E45</f>
        <v>0</v>
      </c>
      <c r="AC25" s="144">
        <f ca="1">Roster!F45</f>
        <v>0</v>
      </c>
      <c r="AD25" s="144">
        <f ca="1">Roster!G45</f>
        <v>0</v>
      </c>
      <c r="AE25" s="144">
        <f ca="1">Roster!H45</f>
        <v>0</v>
      </c>
    </row>
    <row r="26" spans="1:31" x14ac:dyDescent="0.25">
      <c r="A26" s="112"/>
      <c r="B26" s="113"/>
      <c r="C26" s="137"/>
      <c r="D26" s="123"/>
      <c r="E26" s="123"/>
      <c r="F26" s="123"/>
      <c r="G26" s="123"/>
      <c r="H26" s="133" t="s">
        <v>209</v>
      </c>
      <c r="I26" s="123"/>
      <c r="J26" s="618">
        <f>IFERROR((INDEX(RosterDefence,MATCH(C23,RosterOfficer,0))/OfficerBonusD)*(OfficerBonusDB+SUM(R21:S21)),0)+IFERROR((INDEX(RosterDefence,MATCH(E23,RosterOfficer,0))/OfficerBonusD)*(OfficerBonusDC+SUM(R21:S21)),0)+IFERROR((INDEX(RosterDefence,MATCH(G23,RosterOfficer,0))/OfficerBonusD)*(OfficerBonusDB+SUM(R21:S21)),0)+IFERROR((INDEX(RosterDefence,MATCH(I23,RosterOfficer,0))/OfficerBonusD)*(OfficerBonusD+S21),0)+IFERROR((INDEX(RosterDefence,MATCH(K23,RosterOfficer,0))/OfficerBonusD)*(OfficerBonusD+S21),0)+IFERROR((INDEX(RosterDefence,MATCH(M23,RosterOfficer,0))/OfficerBonusD)*(OfficerBonusD+S21),0)+IFERROR((INDEX(RosterDefence,MATCH(O23,RosterOfficer,0))/OfficerBonusD)*(OfficerBonusD+S21),0)+IFERROR((INDEX(RosterDefence,MATCH(Q23,RosterOfficer,0))/OfficerBonusD)*(OfficerBonusD+S21),0)+IFERROR((INDEX(RosterDefence,MATCH(S23,RosterOfficer,0))/OfficerBonusD)*(OfficerBonusD+S21),0)+IFERROR((INDEX(RosterDefence,MATCH(U23,RosterOfficer,0))/OfficerBonusD)*(OfficerBonusD+S21),0)</f>
        <v>0</v>
      </c>
      <c r="K26" s="619"/>
      <c r="L26" s="134" t="str">
        <f>IFERROR(VLOOKUP(SelectedShipC&amp;"Bonuses",ShipList,4,FALSE),"")</f>
        <v/>
      </c>
      <c r="M26" s="134" t="str">
        <f>IFERROR(VLOOKUP(SelectedShipC&amp;"Bonuses",ShipList,6,FALSE),"")</f>
        <v/>
      </c>
      <c r="N26" s="134" t="str">
        <f>IFERROR(VLOOKUP(SelectedShipC&amp;"Bonuses",ShipList,8,FALSE),"")</f>
        <v/>
      </c>
      <c r="O26" s="134" t="str">
        <f>IFERROR(VLOOKUP(SelectedShipC&amp;"Bonuses",ShipList,10,FALSE),"")</f>
        <v/>
      </c>
      <c r="P26" s="134" t="str">
        <f>IFERROR(VLOOKUP(SelectedShipC&amp;"Bonuses",ShipList,12,FALSE),"")</f>
        <v/>
      </c>
      <c r="Q26" s="134" t="str">
        <f>IFERROR(VLOOKUP(SelectedShipC&amp;"Bonuses",ShipList,14,FALSE),"")</f>
        <v/>
      </c>
      <c r="R26" s="134" t="str">
        <f>IFERROR(VLOOKUP(SelectedShipC&amp;"Bonuses",ShipList,16,FALSE),"")</f>
        <v/>
      </c>
      <c r="S26" s="134" t="str">
        <f>IFERROR(VLOOKUP(SelectedShipC&amp;"Bonuses",ShipList,18,FALSE),"")</f>
        <v/>
      </c>
      <c r="T26" s="134" t="str">
        <f>IFERROR(VLOOKUP(SelectedShipC&amp;"Bonuses",ShipList,20,FALSE),"")</f>
        <v/>
      </c>
      <c r="U26" s="134" t="str">
        <f>IFERROR(VLOOKUP(SelectedShipC&amp;"Bonuses",ShipList,22,FALSE),"")</f>
        <v/>
      </c>
      <c r="V26" s="135">
        <f>IF(J26&gt;U26,VLOOKUP(SelectedShipC&amp;"Bonuses",ShipList,23,FALSE),IF(J26&gt;T26,VLOOKUP(SelectedShipC&amp;"Bonuses",ShipList,21,FALSE),IF(J26&gt;S26,VLOOKUP(SelectedShipC&amp;"Bonuses",ShipList,19,FALSE),IF(J26&gt;R26,VLOOKUP(SelectedShipC&amp;"Bonuses",ShipList,17,FALSE),IF(J26&gt;Q26,VLOOKUP(SelectedShipC&amp;"Bonuses",ShipList,15,FALSE),IF(J26&gt;P26,VLOOKUP(SelectedShipC&amp;"Bonuses",ShipList,13,FALSE),IF(J26&gt;O26,VLOOKUP(SelectedShipC&amp;"Bonuses",ShipList,11,FALSE),IF(J26&gt;N26,VLOOKUP(SelectedShipC&amp;"Bonuses",ShipList,9,FALSE),IF(J26&gt;M26,VLOOKUP(SelectedShipC&amp;"Bonuses",ShipList,7,FALSE),IF(J26&gt;L26,VLOOKUP(SelectedShipC&amp;"Bonuses",ShipList,5,FALSE),0))))))))))</f>
        <v>0</v>
      </c>
      <c r="W26" s="136"/>
      <c r="X26" s="113"/>
      <c r="Y26" s="143" t="str">
        <f>Roster!B46</f>
        <v>E</v>
      </c>
      <c r="Z26" s="143" t="str">
        <f>Roster!C46</f>
        <v>Charvanek</v>
      </c>
      <c r="AA26" s="144">
        <f ca="1">Roster!D46</f>
        <v>0</v>
      </c>
      <c r="AB26" s="144">
        <f ca="1">Roster!E46</f>
        <v>0</v>
      </c>
      <c r="AC26" s="144">
        <f ca="1">Roster!F46</f>
        <v>0</v>
      </c>
      <c r="AD26" s="144">
        <f ca="1">Roster!G46</f>
        <v>0</v>
      </c>
      <c r="AE26" s="144">
        <f ca="1">Roster!H46</f>
        <v>0</v>
      </c>
    </row>
    <row r="27" spans="1:31" x14ac:dyDescent="0.25">
      <c r="A27" s="112"/>
      <c r="B27" s="113"/>
      <c r="C27" s="138"/>
      <c r="D27" s="139"/>
      <c r="E27" s="139"/>
      <c r="F27" s="139"/>
      <c r="G27" s="139"/>
      <c r="H27" s="133" t="s">
        <v>210</v>
      </c>
      <c r="I27" s="139"/>
      <c r="J27" s="620">
        <f>IFERROR((INDEX(RosterHealth,MATCH(C23,RosterOfficer,0))/OfficerBonusH)*(OfficerBonusHB+SUM(R22:S22)),0)+IFERROR((INDEX(RosterHealth,MATCH(E23,RosterOfficer,0))/OfficerBonusH)*(OfficerBonusHC+SUM(R22:S22)),0)+IFERROR((INDEX(RosterHealth,MATCH(G23,RosterOfficer,0))/OfficerBonusH)*(OfficerBonusHB+SUM(R22:S22)),0)+IFERROR((INDEX(RosterHealth,MATCH(I23,RosterOfficer,0))/OfficerBonusH)*(OfficerBonusH+S22),0)+IFERROR((INDEX(RosterHealth,MATCH(K23,RosterOfficer,0))/OfficerBonusH)*(OfficerBonusH+S22),0)+IFERROR((INDEX(RosterHealth,MATCH(M23,RosterOfficer,0))/OfficerBonusH)*(OfficerBonusH+S22),0)+IFERROR((INDEX(RosterHealth,MATCH(O23,RosterOfficer,0))/OfficerBonusH)*(OfficerBonusH+S22),0)+IFERROR((INDEX(RosterHealth,MATCH(Q23,RosterOfficer,0))/OfficerBonusH)*(OfficerBonusH+S22),0)+IFERROR((INDEX(RosterHealth,MATCH(S23,RosterOfficer,0))/OfficerBonusH)*(OfficerBonusH+S22),0)+IFERROR((INDEX(RosterHealth,MATCH(U23,RosterOfficer,0))/OfficerBonusH)*(OfficerBonusH+S22),0)</f>
        <v>0</v>
      </c>
      <c r="K27" s="621"/>
      <c r="L27" s="134" t="str">
        <f>IFERROR(VLOOKUP(SelectedShipC&amp;"Bonuses",ShipList,4,FALSE),"")</f>
        <v/>
      </c>
      <c r="M27" s="134" t="str">
        <f>IFERROR(VLOOKUP(SelectedShipC&amp;"Bonuses",ShipList,6,FALSE),"")</f>
        <v/>
      </c>
      <c r="N27" s="134" t="str">
        <f>IFERROR(VLOOKUP(SelectedShipC&amp;"Bonuses",ShipList,8,FALSE),"")</f>
        <v/>
      </c>
      <c r="O27" s="134" t="str">
        <f>IFERROR(VLOOKUP(SelectedShipC&amp;"Bonuses",ShipList,10,FALSE),"")</f>
        <v/>
      </c>
      <c r="P27" s="134" t="str">
        <f>IFERROR(VLOOKUP(SelectedShipC&amp;"Bonuses",ShipList,12,FALSE),"")</f>
        <v/>
      </c>
      <c r="Q27" s="134" t="str">
        <f>IFERROR(VLOOKUP(SelectedShipC&amp;"Bonuses",ShipList,14,FALSE),"")</f>
        <v/>
      </c>
      <c r="R27" s="134" t="str">
        <f>IFERROR(VLOOKUP(SelectedShipC&amp;"Bonuses",ShipList,16,FALSE),"")</f>
        <v/>
      </c>
      <c r="S27" s="134" t="str">
        <f>IFERROR(VLOOKUP(SelectedShipC&amp;"Bonuses",ShipList,18,FALSE),"")</f>
        <v/>
      </c>
      <c r="T27" s="134" t="str">
        <f>IFERROR(VLOOKUP(SelectedShipC&amp;"Bonuses",ShipList,20,FALSE),"")</f>
        <v/>
      </c>
      <c r="U27" s="134" t="str">
        <f>IFERROR(VLOOKUP(SelectedShipC&amp;"Bonuses",ShipList,22,FALSE),"")</f>
        <v/>
      </c>
      <c r="V27" s="140">
        <f>IF(J27&gt;U27,VLOOKUP(SelectedShipC&amp;"Bonuses",ShipList,23,FALSE),IF(J27&gt;T27,VLOOKUP(SelectedShipC&amp;"Bonuses",ShipList,21,FALSE),IF(J27&gt;S27,VLOOKUP(SelectedShipC&amp;"Bonuses",ShipList,19,FALSE),IF(J27&gt;R27,VLOOKUP(SelectedShipC&amp;"Bonuses",ShipList,17,FALSE),IF(J27&gt;Q27,VLOOKUP(SelectedShipC&amp;"Bonuses",ShipList,15,FALSE),IF(J27&gt;P27,VLOOKUP(SelectedShipC&amp;"Bonuses",ShipList,13,FALSE),IF(J27&gt;O27,VLOOKUP(SelectedShipC&amp;"Bonuses",ShipList,11,FALSE),IF(J27&gt;N27,VLOOKUP(SelectedShipC&amp;"Bonuses",ShipList,9,FALSE),IF(J27&gt;M27,VLOOKUP(SelectedShipC&amp;"Bonuses",ShipList,7,FALSE),IF(J27&gt;L27,VLOOKUP(SelectedShipC&amp;"Bonuses",ShipList,5,FALSE),0))))))))))</f>
        <v>0</v>
      </c>
      <c r="W27" s="141"/>
      <c r="X27" s="113"/>
      <c r="Y27" s="143" t="str">
        <f>Roster!B47</f>
        <v>U</v>
      </c>
      <c r="Z27" s="143" t="str">
        <f>Roster!C47</f>
        <v>Chen</v>
      </c>
      <c r="AA27" s="144">
        <f ca="1">Roster!D47</f>
        <v>0</v>
      </c>
      <c r="AB27" s="144">
        <f ca="1">Roster!E47</f>
        <v>0</v>
      </c>
      <c r="AC27" s="144">
        <f ca="1">Roster!F47</f>
        <v>0</v>
      </c>
      <c r="AD27" s="144">
        <f ca="1">Roster!G47</f>
        <v>0</v>
      </c>
      <c r="AE27" s="144">
        <f ca="1">Roster!H47</f>
        <v>0</v>
      </c>
    </row>
    <row r="28" spans="1:31" x14ac:dyDescent="0.25">
      <c r="A28" s="112"/>
      <c r="B28" s="113"/>
      <c r="C28" s="113"/>
      <c r="D28" s="113"/>
      <c r="E28" s="113"/>
      <c r="F28" s="113"/>
      <c r="G28" s="113"/>
      <c r="H28" s="113"/>
      <c r="I28" s="113"/>
      <c r="J28" s="113"/>
      <c r="K28" s="113"/>
      <c r="L28" s="113"/>
      <c r="M28" s="113"/>
      <c r="N28" s="113"/>
      <c r="O28" s="113"/>
      <c r="P28" s="113"/>
      <c r="Q28" s="113"/>
      <c r="R28" s="113"/>
      <c r="S28" s="113"/>
      <c r="T28" s="113"/>
      <c r="U28" s="113"/>
      <c r="V28" s="113"/>
      <c r="W28" s="113"/>
      <c r="X28" s="113"/>
      <c r="Y28" s="143" t="str">
        <f>Roster!B48</f>
        <v>U</v>
      </c>
      <c r="Z28" s="143" t="str">
        <f>Roster!C48</f>
        <v>Culber</v>
      </c>
      <c r="AA28" s="144">
        <f ca="1">Roster!D48</f>
        <v>0</v>
      </c>
      <c r="AB28" s="144">
        <f ca="1">Roster!E48</f>
        <v>0</v>
      </c>
      <c r="AC28" s="144">
        <f ca="1">Roster!F48</f>
        <v>0</v>
      </c>
      <c r="AD28" s="144">
        <f ca="1">Roster!G48</f>
        <v>0</v>
      </c>
      <c r="AE28" s="144">
        <f ca="1">Roster!H48</f>
        <v>0</v>
      </c>
    </row>
    <row r="29" spans="1:31" ht="17.25" thickBot="1" x14ac:dyDescent="0.3">
      <c r="A29" s="112"/>
      <c r="B29" s="113"/>
      <c r="C29" s="632" t="s">
        <v>718</v>
      </c>
      <c r="D29" s="633"/>
      <c r="E29" s="115"/>
      <c r="F29" s="115"/>
      <c r="G29" s="115"/>
      <c r="H29" s="115"/>
      <c r="I29" s="115"/>
      <c r="J29" s="115"/>
      <c r="K29" s="115"/>
      <c r="L29" s="115"/>
      <c r="M29" s="115"/>
      <c r="N29" s="115"/>
      <c r="O29" s="115"/>
      <c r="P29" s="115"/>
      <c r="Q29" s="116" t="s">
        <v>130</v>
      </c>
      <c r="R29" s="117">
        <f>References!B23+References!D23</f>
        <v>0</v>
      </c>
      <c r="S29" s="118">
        <f>References!C23+References!E23</f>
        <v>0</v>
      </c>
      <c r="T29" s="119" t="s">
        <v>671</v>
      </c>
      <c r="U29" s="120" t="s">
        <v>672</v>
      </c>
      <c r="V29" s="115"/>
      <c r="W29" s="121"/>
      <c r="X29" s="113"/>
      <c r="Y29" s="143" t="str">
        <f>Roster!B49</f>
        <v>C</v>
      </c>
      <c r="Z29" s="143" t="str">
        <f>Roster!C49</f>
        <v>Darwin</v>
      </c>
      <c r="AA29" s="144">
        <f ca="1">Roster!D49</f>
        <v>0</v>
      </c>
      <c r="AB29" s="144">
        <f ca="1">Roster!E49</f>
        <v>0</v>
      </c>
      <c r="AC29" s="144">
        <f ca="1">Roster!F49</f>
        <v>0</v>
      </c>
      <c r="AD29" s="144">
        <f ca="1">Roster!G49</f>
        <v>0</v>
      </c>
      <c r="AE29" s="144">
        <f ca="1">Roster!H49</f>
        <v>0</v>
      </c>
    </row>
    <row r="30" spans="1:31" ht="17.25" thickTop="1" x14ac:dyDescent="0.25">
      <c r="A30" s="112"/>
      <c r="B30" s="113"/>
      <c r="C30" s="634"/>
      <c r="D30" s="635"/>
      <c r="E30" s="636" t="s">
        <v>130</v>
      </c>
      <c r="F30" s="637"/>
      <c r="G30" s="122"/>
      <c r="H30" s="122"/>
      <c r="I30" s="123"/>
      <c r="J30" s="123"/>
      <c r="K30" s="638" t="s">
        <v>131</v>
      </c>
      <c r="L30" s="639"/>
      <c r="M30" s="123"/>
      <c r="N30" s="123"/>
      <c r="O30" s="112"/>
      <c r="P30" s="112"/>
      <c r="Q30" s="123"/>
      <c r="R30" s="124">
        <f>References!B24+References!D24</f>
        <v>0</v>
      </c>
      <c r="S30" s="124">
        <f>References!C24+References!E24</f>
        <v>0</v>
      </c>
      <c r="T30" s="125"/>
      <c r="U30" s="126" t="s">
        <v>673</v>
      </c>
      <c r="V30" s="123"/>
      <c r="W30" s="127"/>
      <c r="X30" s="113"/>
      <c r="Y30" s="143" t="str">
        <f>Roster!B50</f>
        <v>E</v>
      </c>
      <c r="Z30" s="143" t="str">
        <f>Roster!C50</f>
        <v>Data</v>
      </c>
      <c r="AA30" s="144">
        <f ca="1">Roster!D50</f>
        <v>0</v>
      </c>
      <c r="AB30" s="144">
        <f ca="1">Roster!E50</f>
        <v>0</v>
      </c>
      <c r="AC30" s="144">
        <f ca="1">Roster!F50</f>
        <v>0</v>
      </c>
      <c r="AD30" s="144">
        <f ca="1">Roster!G50</f>
        <v>0</v>
      </c>
      <c r="AE30" s="144">
        <f ca="1">Roster!H50</f>
        <v>0</v>
      </c>
    </row>
    <row r="31" spans="1:31" x14ac:dyDescent="0.25">
      <c r="A31" s="112"/>
      <c r="B31" s="113"/>
      <c r="C31" s="640" t="str">
        <f>IFERROR(IF(AND(VLOOKUP(C32,OfficerSkillsFull,11,FALSE) = VLOOKUP(E32,OfficerSkillsFull,11,FALSE), VLOOKUP(C32,OfficerSkillsFull,12,FALSE) = VLOOKUP(E32,OfficerSkillsFull,12,FALSE)),IF(OR(E32="TOS Chekov", E32="TOS Scotty", E32="Michael Burnham"),VLOOKUP(E32,OfficerSkillsFull,14,FALSE)&amp;"---------",VLOOKUP(E32,OfficerSkillsFull,14,FALSE)*100&amp;"% -------"),IF(VLOOKUP(C32,OfficerSkillsFull,11,FALSE) = VLOOKUP(E32,OfficerSkillsFull,11,FALSE),IF(OR(E32="TOS Chekov", E32="TOS Scotty", E32="Michael Burnham"),VLOOKUP(E32,OfficerSkillsFull,13,FALSE)&amp;"=======",VLOOKUP(E32,OfficerSkillsFull,13,FALSE)*100&amp;"% ====="),"")),"")</f>
        <v/>
      </c>
      <c r="D31" s="641"/>
      <c r="E31" s="642" t="str">
        <f>IFERROR(IF(OR(E32="TOS Chekov", E32="TOS Scotty", E32="Michael Burnham", E32="Origins Burnham", E32="Origins Saru", E32="Origins Stamets", E32="Rom"),VLOOKUP(E32,OfficerSkillsFull,10,FALSE),VLOOKUP(E32,OfficerSkillsFull,10,FALSE)*100 &amp; "%"),"")</f>
        <v/>
      </c>
      <c r="F31" s="642"/>
      <c r="G31" s="643" t="str">
        <f>IFERROR(IF(AND(VLOOKUP(G32,OfficerSkillsFull,11,FALSE) = VLOOKUP(E32,OfficerSkillsFull,11,FALSE), OR(VLOOKUP(G32,OfficerSkillsFull,12,FALSE) = VLOOKUP(E32,OfficerSkillsFull,12,FALSE),AND(VLOOKUP(G32,OfficerSkillsFull,11,FALSE) = VLOOKUP(C32,OfficerSkillsFull,11,FALSE),VLOOKUP(G32,OfficerSkillsFull,12,FALSE) = IFERROR(VLOOKUP(C32,OfficerSkillsFull,12,FALSE),"")))),"------- " &amp; IF(OR(E32="TOS Chekov", E32="TOS Scotty", E32="Michael Burnham"),VLOOKUP(E32,OfficerSkillsFull,14,FALSE),VLOOKUP(E32,OfficerSkillsFull,14,FALSE)*100),IF(VLOOKUP(G32,OfficerSkillsFull,11,FALSE) = VLOOKUP(E32,OfficerSkillsFull,11,FALSE),"===== " &amp; IF(OR(E32="TOS Chekov", E32="TOS Scotty", E32="Michael Burnham"),VLOOKUP(E32,OfficerSkillsFull,13,FALSE),VLOOKUP(E32,OfficerSkillsFull,13,FALSE)*100),"")),"")</f>
        <v/>
      </c>
      <c r="H31" s="643"/>
      <c r="I31" s="122"/>
      <c r="J31" s="122"/>
      <c r="K31" s="122"/>
      <c r="L31" s="128"/>
      <c r="M31" s="122"/>
      <c r="N31" s="128"/>
      <c r="O31" s="123"/>
      <c r="P31" s="123"/>
      <c r="Q31" s="123"/>
      <c r="R31" s="129">
        <f>References!B25+References!D25</f>
        <v>0</v>
      </c>
      <c r="S31" s="129">
        <f>References!C25+References!E25</f>
        <v>0</v>
      </c>
      <c r="T31" s="130"/>
      <c r="U31" s="126" t="s">
        <v>674</v>
      </c>
      <c r="V31" s="123"/>
      <c r="W31" s="127"/>
      <c r="X31" s="113"/>
      <c r="Y31" s="143" t="str">
        <f>Roster!B51</f>
        <v>E</v>
      </c>
      <c r="Z31" s="143" t="str">
        <f>Roster!C51</f>
        <v>Deanna Troi</v>
      </c>
      <c r="AA31" s="144">
        <f ca="1">Roster!D51</f>
        <v>0</v>
      </c>
      <c r="AB31" s="144">
        <f ca="1">Roster!E51</f>
        <v>0</v>
      </c>
      <c r="AC31" s="144">
        <f ca="1">Roster!F51</f>
        <v>0</v>
      </c>
      <c r="AD31" s="144">
        <f ca="1">Roster!G51</f>
        <v>0</v>
      </c>
      <c r="AE31" s="144">
        <f ca="1">Roster!H51</f>
        <v>0</v>
      </c>
    </row>
    <row r="32" spans="1:31" x14ac:dyDescent="0.25">
      <c r="A32" s="112"/>
      <c r="B32" s="113"/>
      <c r="C32" s="644"/>
      <c r="D32" s="645"/>
      <c r="E32" s="646"/>
      <c r="F32" s="647"/>
      <c r="G32" s="648"/>
      <c r="H32" s="645"/>
      <c r="I32" s="625"/>
      <c r="J32" s="626"/>
      <c r="K32" s="622"/>
      <c r="L32" s="623"/>
      <c r="M32" s="622"/>
      <c r="N32" s="623"/>
      <c r="O32" s="622"/>
      <c r="P32" s="623"/>
      <c r="Q32" s="622"/>
      <c r="R32" s="624"/>
      <c r="S32" s="622"/>
      <c r="T32" s="623"/>
      <c r="U32" s="625"/>
      <c r="V32" s="626"/>
      <c r="W32" s="131"/>
      <c r="X32" s="113"/>
      <c r="Y32" s="143" t="str">
        <f>Roster!B52</f>
        <v>R</v>
      </c>
      <c r="Z32" s="143" t="str">
        <f>Roster!C52</f>
        <v>Decius</v>
      </c>
      <c r="AA32" s="144">
        <f ca="1">Roster!D52</f>
        <v>0</v>
      </c>
      <c r="AB32" s="144">
        <f ca="1">Roster!E52</f>
        <v>0</v>
      </c>
      <c r="AC32" s="144">
        <f ca="1">Roster!F52</f>
        <v>0</v>
      </c>
      <c r="AD32" s="144">
        <f ca="1">Roster!G52</f>
        <v>0</v>
      </c>
      <c r="AE32" s="144">
        <f ca="1">Roster!H52</f>
        <v>0</v>
      </c>
    </row>
    <row r="33" spans="1:31" x14ac:dyDescent="0.25">
      <c r="A33" s="112"/>
      <c r="B33" s="113"/>
      <c r="C33" s="132"/>
      <c r="D33" s="128"/>
      <c r="E33" s="128"/>
      <c r="F33" s="123"/>
      <c r="G33" s="123"/>
      <c r="H33" s="627"/>
      <c r="I33" s="628"/>
      <c r="J33" s="627"/>
      <c r="K33" s="629"/>
      <c r="L33" s="627"/>
      <c r="M33" s="629"/>
      <c r="N33" s="128"/>
      <c r="O33" s="123"/>
      <c r="P33" s="123"/>
      <c r="Q33" s="123"/>
      <c r="R33" s="123"/>
      <c r="S33" s="123"/>
      <c r="T33" s="123"/>
      <c r="U33" s="123"/>
      <c r="V33" s="123"/>
      <c r="W33" s="127"/>
      <c r="X33" s="113"/>
      <c r="Y33" s="143" t="str">
        <f>Roster!B53</f>
        <v>U</v>
      </c>
      <c r="Z33" s="143" t="str">
        <f>Roster!C53</f>
        <v>D'Jaoki</v>
      </c>
      <c r="AA33" s="144">
        <f ca="1">Roster!D53</f>
        <v>0</v>
      </c>
      <c r="AB33" s="144">
        <f ca="1">Roster!E53</f>
        <v>0</v>
      </c>
      <c r="AC33" s="144">
        <f ca="1">Roster!F53</f>
        <v>0</v>
      </c>
      <c r="AD33" s="144">
        <f ca="1">Roster!G53</f>
        <v>0</v>
      </c>
      <c r="AE33" s="144">
        <f ca="1">Roster!H53</f>
        <v>0</v>
      </c>
    </row>
    <row r="34" spans="1:31" x14ac:dyDescent="0.25">
      <c r="A34" s="112"/>
      <c r="B34" s="113"/>
      <c r="C34" s="133" t="s">
        <v>211</v>
      </c>
      <c r="D34" s="123"/>
      <c r="E34" s="630"/>
      <c r="F34" s="631"/>
      <c r="G34" s="123"/>
      <c r="H34" s="133" t="s">
        <v>208</v>
      </c>
      <c r="I34" s="123"/>
      <c r="J34" s="618">
        <f>IFERROR((INDEX(RosterAttack,MATCH(C32,RosterOfficer,0))/OfficerBonusA)*(OfficerBonusAB+SUM(R29:S29)),0)+IFERROR((INDEX(RosterAttack,MATCH(E32,RosterOfficer,0))/OfficerBonusA)*(OfficerBonusAC+SUM(R29:S29)),0)+IFERROR((INDEX(RosterAttack,MATCH(G32,RosterOfficer,0))/OfficerBonusA)*(OfficerBonusAB+SUM(R29:S29)),0)+IFERROR((INDEX(RosterAttack,MATCH(I32,RosterOfficer,0))/OfficerBonusA)*(OfficerBonusA+S29),0)+IFERROR((INDEX(RosterAttack,MATCH(K32,RosterOfficer,0))/OfficerBonusA)*(OfficerBonusA+S29),0)+IFERROR((INDEX(RosterAttack,MATCH(M32,RosterOfficer,0))/OfficerBonusA)*(OfficerBonusA+S29),0)+IFERROR((INDEX(RosterAttack,MATCH(O32,RosterOfficer,0))/OfficerBonusA)*(OfficerBonusA+S29),0)+IFERROR((INDEX(RosterAttack,MATCH(Q32,RosterOfficer,0))/OfficerBonusA)*(OfficerBonusA+S29),0)+IFERROR((INDEX(RosterAttack,MATCH(S32,RosterOfficer,0))/OfficerBonusA)*(OfficerBonusA+S29),0)+IFERROR((INDEX(RosterAttack,MATCH(U32,RosterOfficer,0))/OfficerBonusA)*(OfficerBonusA+S29),0)</f>
        <v>0</v>
      </c>
      <c r="K34" s="619"/>
      <c r="L34" s="134" t="str">
        <f>IFERROR(VLOOKUP(SelectedShipD&amp;"Bonuses",ShipList,4,FALSE),"")</f>
        <v/>
      </c>
      <c r="M34" s="134" t="str">
        <f>IFERROR(VLOOKUP(SelectedShipD&amp;"Bonuses",ShipList,6,FALSE),"")</f>
        <v/>
      </c>
      <c r="N34" s="134" t="str">
        <f>IFERROR(VLOOKUP(SelectedShipD&amp;"Bonuses",ShipList,8,FALSE),"")</f>
        <v/>
      </c>
      <c r="O34" s="134" t="str">
        <f>IFERROR(VLOOKUP(SelectedShipD&amp;"Bonuses",ShipList,10,FALSE),"")</f>
        <v/>
      </c>
      <c r="P34" s="134" t="str">
        <f>IFERROR(VLOOKUP(SelectedShipD&amp;"Bonuses",ShipList,12,FALSE),"")</f>
        <v/>
      </c>
      <c r="Q34" s="134" t="str">
        <f>IFERROR(VLOOKUP(SelectedShipD&amp;"Bonuses",ShipList,14,FALSE),"")</f>
        <v/>
      </c>
      <c r="R34" s="134" t="str">
        <f>IFERROR(VLOOKUP(SelectedShipD&amp;"Bonuses",ShipList,16,FALSE),"")</f>
        <v/>
      </c>
      <c r="S34" s="134" t="str">
        <f>IFERROR(VLOOKUP(SelectedShipD&amp;"Bonuses",ShipList,18,FALSE),"")</f>
        <v/>
      </c>
      <c r="T34" s="134" t="str">
        <f>IFERROR(VLOOKUP(SelectedShipD&amp;"Bonuses",ShipList,20,FALSE),"")</f>
        <v/>
      </c>
      <c r="U34" s="134" t="str">
        <f>IFERROR(VLOOKUP(SelectedShipD&amp;"Bonuses",ShipList,22,FALSE),"")</f>
        <v/>
      </c>
      <c r="V34" s="135">
        <f>IF(J34&gt;U34,VLOOKUP(SelectedShipD&amp;"Bonuses",ShipList,23,FALSE),IF(J34&gt;T34,VLOOKUP(SelectedShipD&amp;"Bonuses",ShipList,21,FALSE),IF(J34&gt;S34,VLOOKUP(SelectedShipD&amp;"Bonuses",ShipList,19,FALSE),IF(J34&gt;R34,VLOOKUP(SelectedShipD&amp;"Bonuses",ShipList,17,FALSE),IF(J34&gt;Q34,VLOOKUP(SelectedShipD&amp;"Bonuses",ShipList,15,FALSE),IF(J34&gt;P34,VLOOKUP(SelectedShipD&amp;"Bonuses",ShipList,13,FALSE),IF(J34&gt;O34,VLOOKUP(SelectedShipD&amp;"Bonuses",ShipList,11,FALSE),IF(J34&gt;N34,VLOOKUP(SelectedShipD&amp;"Bonuses",ShipList,9,FALSE),IF(J34&gt;M34,VLOOKUP(SelectedShipD&amp;"Bonuses",ShipList,7,FALSE),IF(J34&gt;L34,VLOOKUP(SelectedShipD&amp;"Bonuses",ShipList,5,FALSE),0))))))))))</f>
        <v>0</v>
      </c>
      <c r="W34" s="136"/>
      <c r="X34" s="113"/>
      <c r="Y34" s="143" t="str">
        <f>Roster!B54</f>
        <v>C</v>
      </c>
      <c r="Z34" s="143" t="str">
        <f>Roster!C54</f>
        <v>Domitia</v>
      </c>
      <c r="AA34" s="144">
        <f ca="1">Roster!D54</f>
        <v>0</v>
      </c>
      <c r="AB34" s="144">
        <f ca="1">Roster!E54</f>
        <v>0</v>
      </c>
      <c r="AC34" s="144">
        <f ca="1">Roster!F54</f>
        <v>0</v>
      </c>
      <c r="AD34" s="144">
        <f ca="1">Roster!G54</f>
        <v>0</v>
      </c>
      <c r="AE34" s="144">
        <f ca="1">Roster!H54</f>
        <v>0</v>
      </c>
    </row>
    <row r="35" spans="1:31" x14ac:dyDescent="0.25">
      <c r="A35" s="112"/>
      <c r="B35" s="113"/>
      <c r="C35" s="137"/>
      <c r="D35" s="123"/>
      <c r="E35" s="123"/>
      <c r="F35" s="123"/>
      <c r="G35" s="123"/>
      <c r="H35" s="133" t="s">
        <v>209</v>
      </c>
      <c r="I35" s="123"/>
      <c r="J35" s="618">
        <f>IFERROR((INDEX(RosterDefence,MATCH(C32,RosterOfficer,0))/OfficerBonusD)*(OfficerBonusDB+SUM(R30:S30)),0)+IFERROR((INDEX(RosterDefence,MATCH(E32,RosterOfficer,0))/OfficerBonusD)*(OfficerBonusDC+SUM(R30:S30)),0)+IFERROR((INDEX(RosterDefence,MATCH(G32,RosterOfficer,0))/OfficerBonusD)*(OfficerBonusDB+SUM(R30:S30)),0)+IFERROR((INDEX(RosterDefence,MATCH(I32,RosterOfficer,0))/OfficerBonusD)*(OfficerBonusD+S30),0)+IFERROR((INDEX(RosterDefence,MATCH(K32,RosterOfficer,0))/OfficerBonusD)*(OfficerBonusD+S30),0)+IFERROR((INDEX(RosterDefence,MATCH(M32,RosterOfficer,0))/OfficerBonusD)*(OfficerBonusD+S30),0)+IFERROR((INDEX(RosterDefence,MATCH(O32,RosterOfficer,0))/OfficerBonusD)*(OfficerBonusD+S30),0)+IFERROR((INDEX(RosterDefence,MATCH(Q32,RosterOfficer,0))/OfficerBonusD)*(OfficerBonusD+S30),0)+IFERROR((INDEX(RosterDefence,MATCH(S32,RosterOfficer,0))/OfficerBonusD)*(OfficerBonusD+S30),0)+IFERROR((INDEX(RosterDefence,MATCH(U32,RosterOfficer,0))/OfficerBonusD)*(OfficerBonusD+S30),0)</f>
        <v>0</v>
      </c>
      <c r="K35" s="619"/>
      <c r="L35" s="134" t="str">
        <f>IFERROR(VLOOKUP(SelectedShipD&amp;"Bonuses",ShipList,4,FALSE),"")</f>
        <v/>
      </c>
      <c r="M35" s="134" t="str">
        <f>IFERROR(VLOOKUP(SelectedShipD&amp;"Bonuses",ShipList,6,FALSE),"")</f>
        <v/>
      </c>
      <c r="N35" s="134" t="str">
        <f>IFERROR(VLOOKUP(SelectedShipD&amp;"Bonuses",ShipList,8,FALSE),"")</f>
        <v/>
      </c>
      <c r="O35" s="134" t="str">
        <f>IFERROR(VLOOKUP(SelectedShipD&amp;"Bonuses",ShipList,10,FALSE),"")</f>
        <v/>
      </c>
      <c r="P35" s="134" t="str">
        <f>IFERROR(VLOOKUP(SelectedShipD&amp;"Bonuses",ShipList,12,FALSE),"")</f>
        <v/>
      </c>
      <c r="Q35" s="134" t="str">
        <f>IFERROR(VLOOKUP(SelectedShipD&amp;"Bonuses",ShipList,14,FALSE),"")</f>
        <v/>
      </c>
      <c r="R35" s="134" t="str">
        <f>IFERROR(VLOOKUP(SelectedShipD&amp;"Bonuses",ShipList,16,FALSE),"")</f>
        <v/>
      </c>
      <c r="S35" s="134" t="str">
        <f>IFERROR(VLOOKUP(SelectedShipD&amp;"Bonuses",ShipList,18,FALSE),"")</f>
        <v/>
      </c>
      <c r="T35" s="134" t="str">
        <f>IFERROR(VLOOKUP(SelectedShipD&amp;"Bonuses",ShipList,20,FALSE),"")</f>
        <v/>
      </c>
      <c r="U35" s="134" t="str">
        <f>IFERROR(VLOOKUP(SelectedShipD&amp;"Bonuses",ShipList,22,FALSE),"")</f>
        <v/>
      </c>
      <c r="V35" s="135">
        <f>IF(J35&gt;U35,VLOOKUP(SelectedShipD&amp;"Bonuses",ShipList,23,FALSE),IF(J35&gt;T35,VLOOKUP(SelectedShipD&amp;"Bonuses",ShipList,21,FALSE),IF(J35&gt;S35,VLOOKUP(SelectedShipD&amp;"Bonuses",ShipList,19,FALSE),IF(J35&gt;R35,VLOOKUP(SelectedShipD&amp;"Bonuses",ShipList,17,FALSE),IF(J35&gt;Q35,VLOOKUP(SelectedShipD&amp;"Bonuses",ShipList,15,FALSE),IF(J35&gt;P35,VLOOKUP(SelectedShipD&amp;"Bonuses",ShipList,13,FALSE),IF(J35&gt;O35,VLOOKUP(SelectedShipD&amp;"Bonuses",ShipList,11,FALSE),IF(J35&gt;N35,VLOOKUP(SelectedShipD&amp;"Bonuses",ShipList,9,FALSE),IF(J35&gt;M35,VLOOKUP(SelectedShipD&amp;"Bonuses",ShipList,7,FALSE),IF(J35&gt;L35,VLOOKUP(SelectedShipD&amp;"Bonuses",ShipList,5,FALSE),0))))))))))</f>
        <v>0</v>
      </c>
      <c r="W35" s="136"/>
      <c r="X35" s="113"/>
      <c r="Y35" s="143" t="str">
        <f>Roster!B55</f>
        <v>R</v>
      </c>
      <c r="Z35" s="143" t="str">
        <f>Roster!C55</f>
        <v>Dupont</v>
      </c>
      <c r="AA35" s="144">
        <f ca="1">Roster!D55</f>
        <v>0</v>
      </c>
      <c r="AB35" s="144">
        <f ca="1">Roster!E55</f>
        <v>0</v>
      </c>
      <c r="AC35" s="144">
        <f ca="1">Roster!F55</f>
        <v>0</v>
      </c>
      <c r="AD35" s="144">
        <f ca="1">Roster!G55</f>
        <v>0</v>
      </c>
      <c r="AE35" s="144">
        <f ca="1">Roster!H55</f>
        <v>0</v>
      </c>
    </row>
    <row r="36" spans="1:31" x14ac:dyDescent="0.25">
      <c r="A36" s="112"/>
      <c r="B36" s="113"/>
      <c r="C36" s="138"/>
      <c r="D36" s="139"/>
      <c r="E36" s="139"/>
      <c r="F36" s="139"/>
      <c r="G36" s="139"/>
      <c r="H36" s="133" t="s">
        <v>210</v>
      </c>
      <c r="I36" s="139"/>
      <c r="J36" s="620">
        <f>IFERROR((INDEX(RosterHealth,MATCH(C32,RosterOfficer,0))/OfficerBonusH)*(OfficerBonusHB+SUM(R31:S31)),0)+IFERROR((INDEX(RosterHealth,MATCH(E32,RosterOfficer,0))/OfficerBonusH)*(OfficerBonusHC+SUM(R31:S31)),0)+IFERROR((INDEX(RosterHealth,MATCH(G32,RosterOfficer,0))/OfficerBonusH)*(OfficerBonusHB+SUM(R31:S31)),0)+IFERROR((INDEX(RosterHealth,MATCH(I32,RosterOfficer,0))/OfficerBonusH)*(OfficerBonusH+S31),0)+IFERROR((INDEX(RosterHealth,MATCH(K32,RosterOfficer,0))/OfficerBonusH)*(OfficerBonusH+S31),0)+IFERROR((INDEX(RosterHealth,MATCH(M32,RosterOfficer,0))/OfficerBonusH)*(OfficerBonusH+S31),0)+IFERROR((INDEX(RosterHealth,MATCH(O32,RosterOfficer,0))/OfficerBonusH)*(OfficerBonusH+S31),0)+IFERROR((INDEX(RosterHealth,MATCH(Q32,RosterOfficer,0))/OfficerBonusH)*(OfficerBonusH+S31),0)+IFERROR((INDEX(RosterHealth,MATCH(S32,RosterOfficer,0))/OfficerBonusH)*(OfficerBonusH+S31),0)+IFERROR((INDEX(RosterHealth,MATCH(U32,RosterOfficer,0))/OfficerBonusH)*(OfficerBonusH+S31),0)</f>
        <v>0</v>
      </c>
      <c r="K36" s="621"/>
      <c r="L36" s="134" t="str">
        <f>IFERROR(VLOOKUP(SelectedShipD&amp;"Bonuses",ShipList,4,FALSE),"")</f>
        <v/>
      </c>
      <c r="M36" s="134" t="str">
        <f>IFERROR(VLOOKUP(SelectedShipD&amp;"Bonuses",ShipList,6,FALSE),"")</f>
        <v/>
      </c>
      <c r="N36" s="134" t="str">
        <f>IFERROR(VLOOKUP(SelectedShipD&amp;"Bonuses",ShipList,8,FALSE),"")</f>
        <v/>
      </c>
      <c r="O36" s="134" t="str">
        <f>IFERROR(VLOOKUP(SelectedShipD&amp;"Bonuses",ShipList,10,FALSE),"")</f>
        <v/>
      </c>
      <c r="P36" s="134" t="str">
        <f>IFERROR(VLOOKUP(SelectedShipD&amp;"Bonuses",ShipList,12,FALSE),"")</f>
        <v/>
      </c>
      <c r="Q36" s="134" t="str">
        <f>IFERROR(VLOOKUP(SelectedShipD&amp;"Bonuses",ShipList,14,FALSE),"")</f>
        <v/>
      </c>
      <c r="R36" s="134" t="str">
        <f>IFERROR(VLOOKUP(SelectedShipD&amp;"Bonuses",ShipList,16,FALSE),"")</f>
        <v/>
      </c>
      <c r="S36" s="134" t="str">
        <f>IFERROR(VLOOKUP(SelectedShipD&amp;"Bonuses",ShipList,18,FALSE),"")</f>
        <v/>
      </c>
      <c r="T36" s="134" t="str">
        <f>IFERROR(VLOOKUP(SelectedShipD&amp;"Bonuses",ShipList,20,FALSE),"")</f>
        <v/>
      </c>
      <c r="U36" s="134" t="str">
        <f>IFERROR(VLOOKUP(SelectedShipD&amp;"Bonuses",ShipList,22,FALSE),"")</f>
        <v/>
      </c>
      <c r="V36" s="140">
        <f>IF(J36&gt;U36,VLOOKUP(SelectedShipD&amp;"Bonuses",ShipList,23,FALSE),IF(J36&gt;T36,VLOOKUP(SelectedShipD&amp;"Bonuses",ShipList,21,FALSE),IF(J36&gt;S36,VLOOKUP(SelectedShipD&amp;"Bonuses",ShipList,19,FALSE),IF(J36&gt;R36,VLOOKUP(SelectedShipD&amp;"Bonuses",ShipList,17,FALSE),IF(J36&gt;Q36,VLOOKUP(SelectedShipD&amp;"Bonuses",ShipList,15,FALSE),IF(J36&gt;P36,VLOOKUP(SelectedShipD&amp;"Bonuses",ShipList,13,FALSE),IF(J36&gt;O36,VLOOKUP(SelectedShipD&amp;"Bonuses",ShipList,11,FALSE),IF(J36&gt;N36,VLOOKUP(SelectedShipD&amp;"Bonuses",ShipList,9,FALSE),IF(J36&gt;M36,VLOOKUP(SelectedShipD&amp;"Bonuses",ShipList,7,FALSE),IF(J36&gt;L36,VLOOKUP(SelectedShipD&amp;"Bonuses",ShipList,5,FALSE),0))))))))))</f>
        <v>0</v>
      </c>
      <c r="W36" s="141"/>
      <c r="X36" s="113"/>
      <c r="Y36" s="143" t="str">
        <f>Roster!B56</f>
        <v>U</v>
      </c>
      <c r="Z36" s="143" t="str">
        <f>Roster!C56</f>
        <v>Eight Of Eleven</v>
      </c>
      <c r="AA36" s="144">
        <f ca="1">Roster!D56</f>
        <v>0</v>
      </c>
      <c r="AB36" s="144">
        <f ca="1">Roster!E56</f>
        <v>0</v>
      </c>
      <c r="AC36" s="144">
        <f ca="1">Roster!F56</f>
        <v>0</v>
      </c>
      <c r="AD36" s="144">
        <f ca="1">Roster!G56</f>
        <v>0</v>
      </c>
      <c r="AE36" s="144">
        <f ca="1">Roster!H56</f>
        <v>0</v>
      </c>
    </row>
    <row r="37" spans="1:31" x14ac:dyDescent="0.25">
      <c r="A37" s="112"/>
      <c r="B37" s="113"/>
      <c r="C37" s="113"/>
      <c r="D37" s="113"/>
      <c r="E37" s="113"/>
      <c r="F37" s="113"/>
      <c r="G37" s="113"/>
      <c r="H37" s="113"/>
      <c r="I37" s="113"/>
      <c r="J37" s="113"/>
      <c r="K37" s="113"/>
      <c r="L37" s="113"/>
      <c r="M37" s="113"/>
      <c r="N37" s="113"/>
      <c r="O37" s="113"/>
      <c r="P37" s="113"/>
      <c r="Q37" s="113"/>
      <c r="R37" s="113"/>
      <c r="S37" s="113"/>
      <c r="T37" s="113"/>
      <c r="U37" s="113"/>
      <c r="V37" s="113"/>
      <c r="W37" s="113"/>
      <c r="X37" s="113"/>
      <c r="Y37" s="143" t="str">
        <f>Roster!B57</f>
        <v>E</v>
      </c>
      <c r="Z37" s="143" t="str">
        <f>Roster!C57</f>
        <v>Eleven Of Eleven</v>
      </c>
      <c r="AA37" s="144">
        <f ca="1">Roster!D57</f>
        <v>0</v>
      </c>
      <c r="AB37" s="144">
        <f ca="1">Roster!E57</f>
        <v>0</v>
      </c>
      <c r="AC37" s="144">
        <f ca="1">Roster!F57</f>
        <v>0</v>
      </c>
      <c r="AD37" s="144">
        <f ca="1">Roster!G57</f>
        <v>0</v>
      </c>
      <c r="AE37" s="144">
        <f ca="1">Roster!H57</f>
        <v>0</v>
      </c>
    </row>
    <row r="38" spans="1:31" ht="17.25" thickBot="1" x14ac:dyDescent="0.3">
      <c r="A38" s="112"/>
      <c r="B38" s="113"/>
      <c r="C38" s="632" t="s">
        <v>717</v>
      </c>
      <c r="D38" s="633"/>
      <c r="E38" s="115"/>
      <c r="F38" s="115"/>
      <c r="G38" s="115"/>
      <c r="H38" s="115"/>
      <c r="I38" s="115"/>
      <c r="J38" s="115"/>
      <c r="K38" s="115"/>
      <c r="L38" s="115"/>
      <c r="M38" s="115"/>
      <c r="N38" s="115"/>
      <c r="O38" s="115"/>
      <c r="P38" s="115"/>
      <c r="Q38" s="116" t="s">
        <v>130</v>
      </c>
      <c r="R38" s="117">
        <f>References!B27+References!D27</f>
        <v>0</v>
      </c>
      <c r="S38" s="118">
        <f>References!C27+References!E27</f>
        <v>0</v>
      </c>
      <c r="T38" s="119" t="s">
        <v>671</v>
      </c>
      <c r="U38" s="120" t="s">
        <v>672</v>
      </c>
      <c r="V38" s="115"/>
      <c r="W38" s="121"/>
      <c r="X38" s="113"/>
      <c r="Y38" s="143" t="str">
        <f>Roster!B58</f>
        <v>R</v>
      </c>
      <c r="Z38" s="143" t="str">
        <f>Roster!C58</f>
        <v>Emperor Georgiou</v>
      </c>
      <c r="AA38" s="144">
        <f ca="1">Roster!D58</f>
        <v>0</v>
      </c>
      <c r="AB38" s="144">
        <f ca="1">Roster!E58</f>
        <v>0</v>
      </c>
      <c r="AC38" s="144">
        <f ca="1">Roster!F58</f>
        <v>0</v>
      </c>
      <c r="AD38" s="144">
        <f ca="1">Roster!G58</f>
        <v>0</v>
      </c>
      <c r="AE38" s="144">
        <f ca="1">Roster!H58</f>
        <v>0</v>
      </c>
    </row>
    <row r="39" spans="1:31" ht="17.25" thickTop="1" x14ac:dyDescent="0.25">
      <c r="A39" s="112"/>
      <c r="B39" s="113"/>
      <c r="C39" s="634"/>
      <c r="D39" s="635"/>
      <c r="E39" s="636" t="s">
        <v>130</v>
      </c>
      <c r="F39" s="637"/>
      <c r="G39" s="122"/>
      <c r="H39" s="122"/>
      <c r="I39" s="123"/>
      <c r="J39" s="123"/>
      <c r="K39" s="638" t="s">
        <v>131</v>
      </c>
      <c r="L39" s="639"/>
      <c r="M39" s="123"/>
      <c r="N39" s="123"/>
      <c r="O39" s="112"/>
      <c r="P39" s="112"/>
      <c r="Q39" s="123"/>
      <c r="R39" s="124">
        <f>References!B28+References!D28</f>
        <v>0</v>
      </c>
      <c r="S39" s="124">
        <f>References!C28+References!E28</f>
        <v>0</v>
      </c>
      <c r="T39" s="125"/>
      <c r="U39" s="126" t="s">
        <v>673</v>
      </c>
      <c r="V39" s="123"/>
      <c r="W39" s="127"/>
      <c r="X39" s="113"/>
      <c r="Y39" s="143" t="str">
        <f>Roster!B59</f>
        <v>E</v>
      </c>
      <c r="Z39" s="143" t="str">
        <f>Roster!C59</f>
        <v>Eurydice</v>
      </c>
      <c r="AA39" s="144">
        <f ca="1">Roster!D59</f>
        <v>0</v>
      </c>
      <c r="AB39" s="144">
        <f ca="1">Roster!E59</f>
        <v>0</v>
      </c>
      <c r="AC39" s="144">
        <f ca="1">Roster!F59</f>
        <v>0</v>
      </c>
      <c r="AD39" s="144">
        <f ca="1">Roster!G59</f>
        <v>0</v>
      </c>
      <c r="AE39" s="144">
        <f ca="1">Roster!H59</f>
        <v>0</v>
      </c>
    </row>
    <row r="40" spans="1:31" x14ac:dyDescent="0.25">
      <c r="A40" s="112"/>
      <c r="B40" s="113"/>
      <c r="C40" s="640" t="str">
        <f>IFERROR(IF(AND(VLOOKUP(C41,OfficerSkillsFull,11,FALSE) = VLOOKUP(E41,OfficerSkillsFull,11,FALSE), VLOOKUP(C41,OfficerSkillsFull,12,FALSE) = VLOOKUP(E41,OfficerSkillsFull,12,FALSE)),IF(OR(E41="TOS Chekov", E41="TOS Scotty", E41="Michael Burnham"),VLOOKUP(E41,OfficerSkillsFull,14,FALSE)&amp;"---------",VLOOKUP(E41,OfficerSkillsFull,14,FALSE)*100&amp;"% -------"),IF(VLOOKUP(C41,OfficerSkillsFull,11,FALSE) = VLOOKUP(E41,OfficerSkillsFull,11,FALSE),IF(OR(E41="TOS Chekov", E41="TOS Scotty", E41="Michael Burnham"),VLOOKUP(E41,OfficerSkillsFull,13,FALSE)&amp;"=======",VLOOKUP(E41,OfficerSkillsFull,13,FALSE)*100&amp;"% ====="),"")),"")</f>
        <v/>
      </c>
      <c r="D40" s="641"/>
      <c r="E40" s="642" t="str">
        <f>IFERROR(IF(OR(E41="TOS Chekov", E41="TOS Scotty", E41="Michael Burnham", E41="Origins Burnham", E41="Origins Saru", E41="Origins Stamets", E41="Rom"),VLOOKUP(E41,OfficerSkillsFull,10,FALSE),VLOOKUP(E41,OfficerSkillsFull,10,FALSE)*100 &amp; "%"),"")</f>
        <v/>
      </c>
      <c r="F40" s="642"/>
      <c r="G40" s="643" t="str">
        <f>IFERROR(IF(AND(VLOOKUP(G41,OfficerSkillsFull,11,FALSE) = VLOOKUP(E41,OfficerSkillsFull,11,FALSE), OR(VLOOKUP(G41,OfficerSkillsFull,12,FALSE) = VLOOKUP(E41,OfficerSkillsFull,12,FALSE),AND(VLOOKUP(G41,OfficerSkillsFull,11,FALSE) = VLOOKUP(C41,OfficerSkillsFull,11,FALSE),VLOOKUP(G41,OfficerSkillsFull,12,FALSE) = IFERROR(VLOOKUP(C41,OfficerSkillsFull,12,FALSE),"")))),"------- " &amp; IF(OR(E41="TOS Chekov", E41="TOS Scotty", E41="Michael Burnham"),VLOOKUP(E41,OfficerSkillsFull,14,FALSE),VLOOKUP(E41,OfficerSkillsFull,14,FALSE)*100),IF(VLOOKUP(G41,OfficerSkillsFull,11,FALSE) = VLOOKUP(E41,OfficerSkillsFull,11,FALSE),"===== " &amp; IF(OR(E41="TOS Chekov", E41="TOS Scotty", E41="Michael Burnham"),VLOOKUP(E41,OfficerSkillsFull,13,FALSE),VLOOKUP(E41,OfficerSkillsFull,13,FALSE)*100),"")),"")</f>
        <v/>
      </c>
      <c r="H40" s="643"/>
      <c r="I40" s="122"/>
      <c r="J40" s="122"/>
      <c r="K40" s="122"/>
      <c r="L40" s="128"/>
      <c r="M40" s="122"/>
      <c r="N40" s="128"/>
      <c r="O40" s="123"/>
      <c r="P40" s="123"/>
      <c r="Q40" s="123"/>
      <c r="R40" s="129">
        <f>References!B29+References!D29</f>
        <v>0</v>
      </c>
      <c r="S40" s="129">
        <f>References!C29+References!E29</f>
        <v>0</v>
      </c>
      <c r="T40" s="130"/>
      <c r="U40" s="126" t="s">
        <v>674</v>
      </c>
      <c r="V40" s="123"/>
      <c r="W40" s="127"/>
      <c r="X40" s="113"/>
      <c r="Y40" s="143" t="str">
        <f>Roster!B60</f>
        <v>R</v>
      </c>
      <c r="Z40" s="143" t="str">
        <f>Roster!C60</f>
        <v>Fess</v>
      </c>
      <c r="AA40" s="144">
        <f ca="1">Roster!D60</f>
        <v>0</v>
      </c>
      <c r="AB40" s="144">
        <f ca="1">Roster!E60</f>
        <v>0</v>
      </c>
      <c r="AC40" s="144">
        <f ca="1">Roster!F60</f>
        <v>0</v>
      </c>
      <c r="AD40" s="144">
        <f ca="1">Roster!G60</f>
        <v>0</v>
      </c>
      <c r="AE40" s="144">
        <f ca="1">Roster!H60</f>
        <v>0</v>
      </c>
    </row>
    <row r="41" spans="1:31" x14ac:dyDescent="0.25">
      <c r="A41" s="112"/>
      <c r="B41" s="113"/>
      <c r="C41" s="644"/>
      <c r="D41" s="645"/>
      <c r="E41" s="646"/>
      <c r="F41" s="647"/>
      <c r="G41" s="648"/>
      <c r="H41" s="645"/>
      <c r="I41" s="625"/>
      <c r="J41" s="626"/>
      <c r="K41" s="622"/>
      <c r="L41" s="623"/>
      <c r="M41" s="622"/>
      <c r="N41" s="623"/>
      <c r="O41" s="622"/>
      <c r="P41" s="623"/>
      <c r="Q41" s="622"/>
      <c r="R41" s="624"/>
      <c r="S41" s="622"/>
      <c r="T41" s="623"/>
      <c r="U41" s="625"/>
      <c r="V41" s="626"/>
      <c r="W41" s="131"/>
      <c r="X41" s="113"/>
      <c r="Y41" s="143" t="str">
        <f>Roster!B61</f>
        <v>E</v>
      </c>
      <c r="Z41" s="143" t="str">
        <f>Roster!C61</f>
        <v>Five Of Eleven</v>
      </c>
      <c r="AA41" s="144">
        <f ca="1">Roster!D61</f>
        <v>0</v>
      </c>
      <c r="AB41" s="144">
        <f ca="1">Roster!E61</f>
        <v>0</v>
      </c>
      <c r="AC41" s="144">
        <f ca="1">Roster!F61</f>
        <v>0</v>
      </c>
      <c r="AD41" s="144">
        <f ca="1">Roster!G61</f>
        <v>0</v>
      </c>
      <c r="AE41" s="144">
        <f ca="1">Roster!H61</f>
        <v>0</v>
      </c>
    </row>
    <row r="42" spans="1:31" x14ac:dyDescent="0.25">
      <c r="A42" s="112"/>
      <c r="B42" s="113"/>
      <c r="C42" s="132"/>
      <c r="D42" s="128"/>
      <c r="E42" s="128"/>
      <c r="F42" s="123"/>
      <c r="G42" s="123"/>
      <c r="H42" s="627"/>
      <c r="I42" s="628"/>
      <c r="J42" s="627"/>
      <c r="K42" s="629"/>
      <c r="L42" s="627"/>
      <c r="M42" s="629"/>
      <c r="N42" s="128"/>
      <c r="O42" s="123"/>
      <c r="P42" s="123"/>
      <c r="Q42" s="123"/>
      <c r="R42" s="123"/>
      <c r="S42" s="123"/>
      <c r="T42" s="123"/>
      <c r="U42" s="123"/>
      <c r="V42" s="123"/>
      <c r="W42" s="127"/>
      <c r="X42" s="113"/>
      <c r="Y42" s="143" t="str">
        <f>Roster!B62</f>
        <v>E</v>
      </c>
      <c r="Z42" s="143" t="str">
        <f>Roster!C62</f>
        <v>Four Of Eleven</v>
      </c>
      <c r="AA42" s="144">
        <f ca="1">Roster!D62</f>
        <v>0</v>
      </c>
      <c r="AB42" s="144">
        <f ca="1">Roster!E62</f>
        <v>0</v>
      </c>
      <c r="AC42" s="144">
        <f ca="1">Roster!F62</f>
        <v>0</v>
      </c>
      <c r="AD42" s="144">
        <f ca="1">Roster!G62</f>
        <v>0</v>
      </c>
      <c r="AE42" s="144">
        <f ca="1">Roster!H62</f>
        <v>0</v>
      </c>
    </row>
    <row r="43" spans="1:31" x14ac:dyDescent="0.25">
      <c r="A43" s="112"/>
      <c r="B43" s="113"/>
      <c r="C43" s="133" t="s">
        <v>211</v>
      </c>
      <c r="D43" s="123"/>
      <c r="E43" s="630"/>
      <c r="F43" s="631"/>
      <c r="G43" s="123"/>
      <c r="H43" s="133" t="s">
        <v>208</v>
      </c>
      <c r="I43" s="123"/>
      <c r="J43" s="618">
        <f>IFERROR((INDEX(RosterAttack,MATCH(C41,RosterOfficer,0))/OfficerBonusA)*(OfficerBonusAB+SUM(R38:S38)),0)+IFERROR((INDEX(RosterAttack,MATCH(E41,RosterOfficer,0))/OfficerBonusA)*(OfficerBonusAC+SUM(R38:S38)),0)+IFERROR((INDEX(RosterAttack,MATCH(G41,RosterOfficer,0))/OfficerBonusA)*(OfficerBonusAB+SUM(R38:S38)),0)+IFERROR((INDEX(RosterAttack,MATCH(I41,RosterOfficer,0))/OfficerBonusA)*(OfficerBonusA+S38),0)+IFERROR((INDEX(RosterAttack,MATCH(K41,RosterOfficer,0))/OfficerBonusA)*(OfficerBonusA+S38),0)+IFERROR((INDEX(RosterAttack,MATCH(M41,RosterOfficer,0))/OfficerBonusA)*(OfficerBonusA+S38),0)+IFERROR((INDEX(RosterAttack,MATCH(O41,RosterOfficer,0))/OfficerBonusA)*(OfficerBonusA+S38),0)+IFERROR((INDEX(RosterAttack,MATCH(Q41,RosterOfficer,0))/OfficerBonusA)*(OfficerBonusA+S38),0)+IFERROR((INDEX(RosterAttack,MATCH(S41,RosterOfficer,0))/OfficerBonusA)*(OfficerBonusA+S38),0)+IFERROR((INDEX(RosterAttack,MATCH(U41,RosterOfficer,0))/OfficerBonusA)*(OfficerBonusA+S38),0)</f>
        <v>0</v>
      </c>
      <c r="K43" s="619"/>
      <c r="L43" s="134" t="str">
        <f>IFERROR(VLOOKUP(SelectedShipE&amp;"Bonuses",ShipList,4,FALSE),"")</f>
        <v/>
      </c>
      <c r="M43" s="134" t="str">
        <f>IFERROR(VLOOKUP(SelectedShipE&amp;"Bonuses",ShipList,6,FALSE),"")</f>
        <v/>
      </c>
      <c r="N43" s="134" t="str">
        <f>IFERROR(VLOOKUP(SelectedShipE&amp;"Bonuses",ShipList,8,FALSE),"")</f>
        <v/>
      </c>
      <c r="O43" s="134" t="str">
        <f>IFERROR(VLOOKUP(SelectedShipE&amp;"Bonuses",ShipList,10,FALSE),"")</f>
        <v/>
      </c>
      <c r="P43" s="134" t="str">
        <f>IFERROR(VLOOKUP(SelectedShipE&amp;"Bonuses",ShipList,12,FALSE),"")</f>
        <v/>
      </c>
      <c r="Q43" s="134" t="str">
        <f>IFERROR(VLOOKUP(SelectedShipE&amp;"Bonuses",ShipList,14,FALSE),"")</f>
        <v/>
      </c>
      <c r="R43" s="134" t="str">
        <f>IFERROR(VLOOKUP(SelectedShipE&amp;"Bonuses",ShipList,16,FALSE),"")</f>
        <v/>
      </c>
      <c r="S43" s="134" t="str">
        <f>IFERROR(VLOOKUP(SelectedShipE&amp;"Bonuses",ShipList,18,FALSE),"")</f>
        <v/>
      </c>
      <c r="T43" s="134" t="str">
        <f>IFERROR(VLOOKUP(SelectedShipE&amp;"Bonuses",ShipList,20,FALSE),"")</f>
        <v/>
      </c>
      <c r="U43" s="134" t="str">
        <f>IFERROR(VLOOKUP(SelectedShipE&amp;"Bonuses",ShipList,22,FALSE),"")</f>
        <v/>
      </c>
      <c r="V43" s="135">
        <f>IF(J43&gt;U43,VLOOKUP(SelectedShipE&amp;"Bonuses",ShipList,23,FALSE),IF(J43&gt;T43,VLOOKUP(SelectedShipE&amp;"Bonuses",ShipList,21,FALSE),IF(J43&gt;S43,VLOOKUP(SelectedShipE&amp;"Bonuses",ShipList,19,FALSE),IF(J43&gt;R43,VLOOKUP(SelectedShipE&amp;"Bonuses",ShipList,17,FALSE),IF(J43&gt;Q43,VLOOKUP(SelectedShipE&amp;"Bonuses",ShipList,15,FALSE),IF(J43&gt;P43,VLOOKUP(SelectedShipE&amp;"Bonuses",ShipList,13,FALSE),IF(J43&gt;O43,VLOOKUP(SelectedShipE&amp;"Bonuses",ShipList,11,FALSE),IF(J43&gt;N43,VLOOKUP(SelectedShipE&amp;"Bonuses",ShipList,9,FALSE),IF(J43&gt;M43,VLOOKUP(SelectedShipE&amp;"Bonuses",ShipList,7,FALSE),IF(J43&gt;L43,VLOOKUP(SelectedShipE&amp;"Bonuses",ShipList,5,FALSE),0))))))))))</f>
        <v>0</v>
      </c>
      <c r="W43" s="136"/>
      <c r="X43" s="113"/>
      <c r="Y43" s="143" t="str">
        <f>Roster!B63</f>
        <v>C</v>
      </c>
      <c r="Z43" s="143" t="str">
        <f>Roster!C63</f>
        <v>Gaila</v>
      </c>
      <c r="AA43" s="144">
        <f ca="1">Roster!D63</f>
        <v>0</v>
      </c>
      <c r="AB43" s="144">
        <f ca="1">Roster!E63</f>
        <v>0</v>
      </c>
      <c r="AC43" s="144">
        <f ca="1">Roster!F63</f>
        <v>0</v>
      </c>
      <c r="AD43" s="144">
        <f ca="1">Roster!G63</f>
        <v>0</v>
      </c>
      <c r="AE43" s="144">
        <f ca="1">Roster!H63</f>
        <v>0</v>
      </c>
    </row>
    <row r="44" spans="1:31" x14ac:dyDescent="0.25">
      <c r="A44" s="112"/>
      <c r="B44" s="113"/>
      <c r="C44" s="137"/>
      <c r="D44" s="123"/>
      <c r="E44" s="123"/>
      <c r="F44" s="123"/>
      <c r="G44" s="123"/>
      <c r="H44" s="133" t="s">
        <v>209</v>
      </c>
      <c r="I44" s="123"/>
      <c r="J44" s="618">
        <f>IFERROR((INDEX(RosterDefence,MATCH(C41,RosterOfficer,0))/OfficerBonusD)*(OfficerBonusDB+SUM(R39:S39)),0)+IFERROR((INDEX(RosterDefence,MATCH(E41,RosterOfficer,0))/OfficerBonusD)*(OfficerBonusDC+SUM(R39:S39)),0)+IFERROR((INDEX(RosterDefence,MATCH(G41,RosterOfficer,0))/OfficerBonusD)*(OfficerBonusDB+SUM(R39:S39)),0)+IFERROR((INDEX(RosterDefence,MATCH(I41,RosterOfficer,0))/OfficerBonusD)*(OfficerBonusD+S39),0)+IFERROR((INDEX(RosterDefence,MATCH(K41,RosterOfficer,0))/OfficerBonusD)*(OfficerBonusD+S39),0)+IFERROR((INDEX(RosterDefence,MATCH(M41,RosterOfficer,0))/OfficerBonusD)*(OfficerBonusD+S39),0)+IFERROR((INDEX(RosterDefence,MATCH(O41,RosterOfficer,0))/OfficerBonusD)*(OfficerBonusD+S39),0)+IFERROR((INDEX(RosterDefence,MATCH(Q41,RosterOfficer,0))/OfficerBonusD)*(OfficerBonusD+S39),0)+IFERROR((INDEX(RosterDefence,MATCH(S41,RosterOfficer,0))/OfficerBonusD)*(OfficerBonusD+S39),0)+IFERROR((INDEX(RosterDefence,MATCH(U41,RosterOfficer,0))/OfficerBonusD)*(OfficerBonusD+S39),0)</f>
        <v>0</v>
      </c>
      <c r="K44" s="619"/>
      <c r="L44" s="134" t="str">
        <f>IFERROR(VLOOKUP(SelectedShipE&amp;"Bonuses",ShipList,4,FALSE),"")</f>
        <v/>
      </c>
      <c r="M44" s="134" t="str">
        <f>IFERROR(VLOOKUP(SelectedShipE&amp;"Bonuses",ShipList,6,FALSE),"")</f>
        <v/>
      </c>
      <c r="N44" s="134" t="str">
        <f>IFERROR(VLOOKUP(SelectedShipE&amp;"Bonuses",ShipList,8,FALSE),"")</f>
        <v/>
      </c>
      <c r="O44" s="134" t="str">
        <f>IFERROR(VLOOKUP(SelectedShipE&amp;"Bonuses",ShipList,10,FALSE),"")</f>
        <v/>
      </c>
      <c r="P44" s="134" t="str">
        <f>IFERROR(VLOOKUP(SelectedShipE&amp;"Bonuses",ShipList,12,FALSE),"")</f>
        <v/>
      </c>
      <c r="Q44" s="134" t="str">
        <f>IFERROR(VLOOKUP(SelectedShipE&amp;"Bonuses",ShipList,14,FALSE),"")</f>
        <v/>
      </c>
      <c r="R44" s="134" t="str">
        <f>IFERROR(VLOOKUP(SelectedShipE&amp;"Bonuses",ShipList,16,FALSE),"")</f>
        <v/>
      </c>
      <c r="S44" s="134" t="str">
        <f>IFERROR(VLOOKUP(SelectedShipE&amp;"Bonuses",ShipList,18,FALSE),"")</f>
        <v/>
      </c>
      <c r="T44" s="134" t="str">
        <f>IFERROR(VLOOKUP(SelectedShipE&amp;"Bonuses",ShipList,20,FALSE),"")</f>
        <v/>
      </c>
      <c r="U44" s="134" t="str">
        <f>IFERROR(VLOOKUP(SelectedShipE&amp;"Bonuses",ShipList,22,FALSE),"")</f>
        <v/>
      </c>
      <c r="V44" s="135">
        <f>IF(J44&gt;U44,VLOOKUP(SelectedShipE&amp;"Bonuses",ShipList,23,FALSE),IF(J44&gt;T44,VLOOKUP(SelectedShipE&amp;"Bonuses",ShipList,21,FALSE),IF(J44&gt;S44,VLOOKUP(SelectedShipE&amp;"Bonuses",ShipList,19,FALSE),IF(J44&gt;R44,VLOOKUP(SelectedShipE&amp;"Bonuses",ShipList,17,FALSE),IF(J44&gt;Q44,VLOOKUP(SelectedShipE&amp;"Bonuses",ShipList,15,FALSE),IF(J44&gt;P44,VLOOKUP(SelectedShipE&amp;"Bonuses",ShipList,13,FALSE),IF(J44&gt;O44,VLOOKUP(SelectedShipE&amp;"Bonuses",ShipList,11,FALSE),IF(J44&gt;N44,VLOOKUP(SelectedShipE&amp;"Bonuses",ShipList,9,FALSE),IF(J44&gt;M44,VLOOKUP(SelectedShipE&amp;"Bonuses",ShipList,7,FALSE),IF(J44&gt;L44,VLOOKUP(SelectedShipE&amp;"Bonuses",ShipList,5,FALSE),0))))))))))</f>
        <v>0</v>
      </c>
      <c r="W44" s="136"/>
      <c r="X44" s="113"/>
      <c r="Y44" s="143" t="str">
        <f>Roster!B64</f>
        <v>E</v>
      </c>
      <c r="Z44" s="143" t="str">
        <f>Roster!C64</f>
        <v>Geordi La Forge</v>
      </c>
      <c r="AA44" s="144">
        <f ca="1">Roster!D64</f>
        <v>0</v>
      </c>
      <c r="AB44" s="144">
        <f ca="1">Roster!E64</f>
        <v>0</v>
      </c>
      <c r="AC44" s="144">
        <f ca="1">Roster!F64</f>
        <v>0</v>
      </c>
      <c r="AD44" s="144">
        <f ca="1">Roster!G64</f>
        <v>0</v>
      </c>
      <c r="AE44" s="144">
        <f ca="1">Roster!H64</f>
        <v>0</v>
      </c>
    </row>
    <row r="45" spans="1:31" x14ac:dyDescent="0.25">
      <c r="A45" s="112"/>
      <c r="B45" s="113"/>
      <c r="C45" s="138"/>
      <c r="D45" s="139"/>
      <c r="E45" s="139"/>
      <c r="F45" s="139"/>
      <c r="G45" s="139"/>
      <c r="H45" s="133" t="s">
        <v>210</v>
      </c>
      <c r="I45" s="139"/>
      <c r="J45" s="620">
        <f>IFERROR((INDEX(RosterHealth,MATCH(C41,RosterOfficer,0))/OfficerBonusH)*(OfficerBonusHB+SUM(R40:S40)),0)+IFERROR((INDEX(RosterHealth,MATCH(E41,RosterOfficer,0))/OfficerBonusH)*(OfficerBonusHC+SUM(R40:S40)),0)+IFERROR((INDEX(RosterHealth,MATCH(G41,RosterOfficer,0))/OfficerBonusH)*(OfficerBonusHB+SUM(R40:S40)),0)+IFERROR((INDEX(RosterHealth,MATCH(I41,RosterOfficer,0))/OfficerBonusH)*(OfficerBonusH+S40),0)+IFERROR((INDEX(RosterHealth,MATCH(K41,RosterOfficer,0))/OfficerBonusH)*(OfficerBonusH+S40),0)+IFERROR((INDEX(RosterHealth,MATCH(M41,RosterOfficer,0))/OfficerBonusH)*(OfficerBonusH+S40),0)+IFERROR((INDEX(RosterHealth,MATCH(O41,RosterOfficer,0))/OfficerBonusH)*(OfficerBonusH+S40),0)+IFERROR((INDEX(RosterHealth,MATCH(Q41,RosterOfficer,0))/OfficerBonusH)*(OfficerBonusH+S40),0)+IFERROR((INDEX(RosterHealth,MATCH(S41,RosterOfficer,0))/OfficerBonusH)*(OfficerBonusH+S40),0)+IFERROR((INDEX(RosterHealth,MATCH(U41,RosterOfficer,0))/OfficerBonusH)*(OfficerBonusH+S40),0)</f>
        <v>0</v>
      </c>
      <c r="K45" s="621"/>
      <c r="L45" s="134" t="str">
        <f>IFERROR(VLOOKUP(SelectedShipE&amp;"Bonuses",ShipList,4,FALSE),"")</f>
        <v/>
      </c>
      <c r="M45" s="134" t="str">
        <f>IFERROR(VLOOKUP(SelectedShipE&amp;"Bonuses",ShipList,6,FALSE),"")</f>
        <v/>
      </c>
      <c r="N45" s="134" t="str">
        <f>IFERROR(VLOOKUP(SelectedShipE&amp;"Bonuses",ShipList,8,FALSE),"")</f>
        <v/>
      </c>
      <c r="O45" s="134" t="str">
        <f>IFERROR(VLOOKUP(SelectedShipE&amp;"Bonuses",ShipList,10,FALSE),"")</f>
        <v/>
      </c>
      <c r="P45" s="134" t="str">
        <f>IFERROR(VLOOKUP(SelectedShipE&amp;"Bonuses",ShipList,12,FALSE),"")</f>
        <v/>
      </c>
      <c r="Q45" s="134" t="str">
        <f>IFERROR(VLOOKUP(SelectedShipE&amp;"Bonuses",ShipList,14,FALSE),"")</f>
        <v/>
      </c>
      <c r="R45" s="134" t="str">
        <f>IFERROR(VLOOKUP(SelectedShipE&amp;"Bonuses",ShipList,16,FALSE),"")</f>
        <v/>
      </c>
      <c r="S45" s="134" t="str">
        <f>IFERROR(VLOOKUP(SelectedShipE&amp;"Bonuses",ShipList,18,FALSE),"")</f>
        <v/>
      </c>
      <c r="T45" s="134" t="str">
        <f>IFERROR(VLOOKUP(SelectedShipE&amp;"Bonuses",ShipList,20,FALSE),"")</f>
        <v/>
      </c>
      <c r="U45" s="134" t="str">
        <f>IFERROR(VLOOKUP(SelectedShipE&amp;"Bonuses",ShipList,22,FALSE),"")</f>
        <v/>
      </c>
      <c r="V45" s="140">
        <f>IF(J45&gt;U45,VLOOKUP(SelectedShipE&amp;"Bonuses",ShipList,23,FALSE),IF(J45&gt;T45,VLOOKUP(SelectedShipE&amp;"Bonuses",ShipList,21,FALSE),IF(J45&gt;S45,VLOOKUP(SelectedShipE&amp;"Bonuses",ShipList,19,FALSE),IF(J45&gt;R45,VLOOKUP(SelectedShipE&amp;"Bonuses",ShipList,17,FALSE),IF(J45&gt;Q45,VLOOKUP(SelectedShipE&amp;"Bonuses",ShipList,15,FALSE),IF(J45&gt;P45,VLOOKUP(SelectedShipE&amp;"Bonuses",ShipList,13,FALSE),IF(J45&gt;O45,VLOOKUP(SelectedShipE&amp;"Bonuses",ShipList,11,FALSE),IF(J45&gt;N45,VLOOKUP(SelectedShipE&amp;"Bonuses",ShipList,9,FALSE),IF(J45&gt;M45,VLOOKUP(SelectedShipE&amp;"Bonuses",ShipList,7,FALSE),IF(J45&gt;L45,VLOOKUP(SelectedShipE&amp;"Bonuses",ShipList,5,FALSE),0))))))))))</f>
        <v>0</v>
      </c>
      <c r="W45" s="141"/>
      <c r="X45" s="113"/>
      <c r="Y45" s="143" t="str">
        <f>Roster!B65</f>
        <v>E</v>
      </c>
      <c r="Z45" s="143" t="str">
        <f>Roster!C65</f>
        <v>Georgiou</v>
      </c>
      <c r="AA45" s="144">
        <f ca="1">Roster!D65</f>
        <v>0</v>
      </c>
      <c r="AB45" s="144">
        <f ca="1">Roster!E65</f>
        <v>0</v>
      </c>
      <c r="AC45" s="144">
        <f ca="1">Roster!F65</f>
        <v>0</v>
      </c>
      <c r="AD45" s="144">
        <f ca="1">Roster!G65</f>
        <v>0</v>
      </c>
      <c r="AE45" s="144">
        <f ca="1">Roster!H65</f>
        <v>0</v>
      </c>
    </row>
    <row r="46" spans="1:31" x14ac:dyDescent="0.25">
      <c r="A46" s="112"/>
      <c r="B46" s="113"/>
      <c r="C46" s="113"/>
      <c r="D46" s="113"/>
      <c r="E46" s="113"/>
      <c r="F46" s="113"/>
      <c r="G46" s="113"/>
      <c r="H46" s="113"/>
      <c r="I46" s="113"/>
      <c r="J46" s="113"/>
      <c r="K46" s="113"/>
      <c r="L46" s="113"/>
      <c r="M46" s="113"/>
      <c r="N46" s="113"/>
      <c r="O46" s="113"/>
      <c r="P46" s="113"/>
      <c r="Q46" s="113"/>
      <c r="R46" s="113"/>
      <c r="S46" s="113"/>
      <c r="T46" s="113"/>
      <c r="U46" s="113"/>
      <c r="V46" s="113"/>
      <c r="W46" s="113"/>
      <c r="X46" s="113"/>
      <c r="Y46" s="143" t="str">
        <f>Roster!B66</f>
        <v>E</v>
      </c>
      <c r="Z46" s="143" t="str">
        <f>Roster!C66</f>
        <v>Ghrush</v>
      </c>
      <c r="AA46" s="144">
        <f ca="1">Roster!D66</f>
        <v>0</v>
      </c>
      <c r="AB46" s="144">
        <f ca="1">Roster!E66</f>
        <v>0</v>
      </c>
      <c r="AC46" s="144">
        <f ca="1">Roster!F66</f>
        <v>0</v>
      </c>
      <c r="AD46" s="144">
        <f ca="1">Roster!G66</f>
        <v>0</v>
      </c>
      <c r="AE46" s="144">
        <f ca="1">Roster!H66</f>
        <v>0</v>
      </c>
    </row>
    <row r="47" spans="1:31" ht="17.25" thickBot="1" x14ac:dyDescent="0.3">
      <c r="A47" s="112"/>
      <c r="B47" s="113"/>
      <c r="C47" s="632" t="s">
        <v>716</v>
      </c>
      <c r="D47" s="633"/>
      <c r="E47" s="115"/>
      <c r="F47" s="115"/>
      <c r="G47" s="115"/>
      <c r="H47" s="115"/>
      <c r="I47" s="115"/>
      <c r="J47" s="115"/>
      <c r="K47" s="115"/>
      <c r="L47" s="115"/>
      <c r="M47" s="115"/>
      <c r="N47" s="115"/>
      <c r="O47" s="115"/>
      <c r="P47" s="115"/>
      <c r="Q47" s="116" t="s">
        <v>130</v>
      </c>
      <c r="R47" s="117">
        <f>References!B31+References!D31</f>
        <v>0</v>
      </c>
      <c r="S47" s="118">
        <f>References!C31+References!E31</f>
        <v>0</v>
      </c>
      <c r="T47" s="119" t="s">
        <v>671</v>
      </c>
      <c r="U47" s="120" t="s">
        <v>672</v>
      </c>
      <c r="V47" s="115"/>
      <c r="W47" s="121"/>
      <c r="X47" s="113"/>
      <c r="Y47" s="143" t="str">
        <f>Roster!B67</f>
        <v>U</v>
      </c>
      <c r="Z47" s="143" t="str">
        <f>Roster!C67</f>
        <v>Gonzales</v>
      </c>
      <c r="AA47" s="144">
        <f ca="1">Roster!D67</f>
        <v>0</v>
      </c>
      <c r="AB47" s="144">
        <f ca="1">Roster!E67</f>
        <v>0</v>
      </c>
      <c r="AC47" s="144">
        <f ca="1">Roster!F67</f>
        <v>0</v>
      </c>
      <c r="AD47" s="144">
        <f ca="1">Roster!G67</f>
        <v>0</v>
      </c>
      <c r="AE47" s="144">
        <f ca="1">Roster!H67</f>
        <v>0</v>
      </c>
    </row>
    <row r="48" spans="1:31" ht="17.25" thickTop="1" x14ac:dyDescent="0.25">
      <c r="A48" s="112"/>
      <c r="B48" s="113"/>
      <c r="C48" s="634"/>
      <c r="D48" s="635"/>
      <c r="E48" s="636" t="s">
        <v>130</v>
      </c>
      <c r="F48" s="637"/>
      <c r="G48" s="122"/>
      <c r="H48" s="122"/>
      <c r="I48" s="123"/>
      <c r="J48" s="123"/>
      <c r="K48" s="638" t="s">
        <v>131</v>
      </c>
      <c r="L48" s="639"/>
      <c r="M48" s="123"/>
      <c r="N48" s="123"/>
      <c r="O48" s="112"/>
      <c r="P48" s="112"/>
      <c r="Q48" s="123"/>
      <c r="R48" s="124">
        <f>References!B32+References!D32</f>
        <v>0</v>
      </c>
      <c r="S48" s="124">
        <f>References!C32+References!E32</f>
        <v>0</v>
      </c>
      <c r="T48" s="125"/>
      <c r="U48" s="126" t="s">
        <v>673</v>
      </c>
      <c r="V48" s="123"/>
      <c r="W48" s="127"/>
      <c r="X48" s="113"/>
      <c r="Y48" s="143" t="str">
        <f>Roster!B68</f>
        <v>U</v>
      </c>
      <c r="Z48" s="143" t="str">
        <f>Roster!C68</f>
        <v>Goon</v>
      </c>
      <c r="AA48" s="144">
        <f ca="1">Roster!D68</f>
        <v>0</v>
      </c>
      <c r="AB48" s="144">
        <f ca="1">Roster!E68</f>
        <v>0</v>
      </c>
      <c r="AC48" s="144">
        <f ca="1">Roster!F68</f>
        <v>0</v>
      </c>
      <c r="AD48" s="144">
        <f ca="1">Roster!G68</f>
        <v>0</v>
      </c>
      <c r="AE48" s="144">
        <f ca="1">Roster!H68</f>
        <v>0</v>
      </c>
    </row>
    <row r="49" spans="1:31" x14ac:dyDescent="0.25">
      <c r="A49" s="112"/>
      <c r="B49" s="113"/>
      <c r="C49" s="640" t="str">
        <f>IFERROR(IF(AND(VLOOKUP(C50,OfficerSkillsFull,11,FALSE) = VLOOKUP(E50,OfficerSkillsFull,11,FALSE), VLOOKUP(C50,OfficerSkillsFull,12,FALSE) = VLOOKUP(E50,OfficerSkillsFull,12,FALSE)),IF(OR(E50="TOS Chekov", E50="TOS Scotty", E50="Michael Burnham"),VLOOKUP(E50,OfficerSkillsFull,14,FALSE)&amp;"---------",VLOOKUP(E50,OfficerSkillsFull,14,FALSE)*100&amp;"% -------"),IF(VLOOKUP(C50,OfficerSkillsFull,11,FALSE) = VLOOKUP(E50,OfficerSkillsFull,11,FALSE),IF(OR(E50="TOS Chekov", E50="TOS Scotty", E50="Michael Burnham"),VLOOKUP(E50,OfficerSkillsFull,13,FALSE)&amp;"=======",VLOOKUP(E50,OfficerSkillsFull,13,FALSE)*100&amp;"% ====="),"")),"")</f>
        <v/>
      </c>
      <c r="D49" s="641"/>
      <c r="E49" s="642" t="str">
        <f>IFERROR(IF(OR(E50="TOS Chekov", E50="TOS Scotty", E50="Michael Burnham", E50="Origins Burnham", E50="Origins Saru", E50="Origins Stamets", E50="Rom"),VLOOKUP(E50,OfficerSkillsFull,10,FALSE),VLOOKUP(E50,OfficerSkillsFull,10,FALSE)*100 &amp; "%"),"")</f>
        <v/>
      </c>
      <c r="F49" s="642"/>
      <c r="G49" s="643" t="str">
        <f>IFERROR(IF(AND(VLOOKUP(G50,OfficerSkillsFull,11,FALSE) = VLOOKUP(E50,OfficerSkillsFull,11,FALSE), OR(VLOOKUP(G50,OfficerSkillsFull,12,FALSE) = VLOOKUP(E50,OfficerSkillsFull,12,FALSE),AND(VLOOKUP(G50,OfficerSkillsFull,11,FALSE) = VLOOKUP(C50,OfficerSkillsFull,11,FALSE),VLOOKUP(G50,OfficerSkillsFull,12,FALSE) = IFERROR(VLOOKUP(C50,OfficerSkillsFull,12,FALSE),"")))),"------- " &amp; IF(OR(E50="TOS Chekov", E50="TOS Scotty", E50="Michael Burnham"),VLOOKUP(E50,OfficerSkillsFull,14,FALSE),VLOOKUP(E50,OfficerSkillsFull,14,FALSE)*100),IF(VLOOKUP(G50,OfficerSkillsFull,11,FALSE) = VLOOKUP(E50,OfficerSkillsFull,11,FALSE),"===== " &amp; IF(OR(E50="TOS Chekov", E50="TOS Scotty", E50="Michael Burnham"),VLOOKUP(E50,OfficerSkillsFull,13,FALSE),VLOOKUP(E50,OfficerSkillsFull,13,FALSE)*100),"")),"")</f>
        <v/>
      </c>
      <c r="H49" s="643"/>
      <c r="I49" s="122"/>
      <c r="J49" s="122"/>
      <c r="K49" s="122"/>
      <c r="L49" s="128"/>
      <c r="M49" s="122"/>
      <c r="N49" s="128"/>
      <c r="O49" s="123"/>
      <c r="P49" s="123"/>
      <c r="Q49" s="123"/>
      <c r="R49" s="129">
        <f>References!B33+References!D33</f>
        <v>0</v>
      </c>
      <c r="S49" s="129">
        <f>References!C33+References!E33</f>
        <v>0</v>
      </c>
      <c r="T49" s="130"/>
      <c r="U49" s="126" t="s">
        <v>674</v>
      </c>
      <c r="V49" s="123"/>
      <c r="W49" s="127"/>
      <c r="X49" s="113"/>
      <c r="Y49" s="143" t="str">
        <f>Roster!B69</f>
        <v>E</v>
      </c>
      <c r="Z49" s="143" t="str">
        <f>Roster!C69</f>
        <v>Gorkon</v>
      </c>
      <c r="AA49" s="144">
        <f ca="1">Roster!D69</f>
        <v>0</v>
      </c>
      <c r="AB49" s="144">
        <f ca="1">Roster!E69</f>
        <v>0</v>
      </c>
      <c r="AC49" s="144">
        <f ca="1">Roster!F69</f>
        <v>0</v>
      </c>
      <c r="AD49" s="144">
        <f ca="1">Roster!G69</f>
        <v>0</v>
      </c>
      <c r="AE49" s="144">
        <f ca="1">Roster!H69</f>
        <v>0</v>
      </c>
    </row>
    <row r="50" spans="1:31" x14ac:dyDescent="0.25">
      <c r="A50" s="112"/>
      <c r="B50" s="113"/>
      <c r="C50" s="644"/>
      <c r="D50" s="645"/>
      <c r="E50" s="646"/>
      <c r="F50" s="647"/>
      <c r="G50" s="648"/>
      <c r="H50" s="645"/>
      <c r="I50" s="625"/>
      <c r="J50" s="626"/>
      <c r="K50" s="622"/>
      <c r="L50" s="623"/>
      <c r="M50" s="622"/>
      <c r="N50" s="623"/>
      <c r="O50" s="622"/>
      <c r="P50" s="623"/>
      <c r="Q50" s="622"/>
      <c r="R50" s="624"/>
      <c r="S50" s="622"/>
      <c r="T50" s="623"/>
      <c r="U50" s="625"/>
      <c r="V50" s="626"/>
      <c r="W50" s="131"/>
      <c r="X50" s="113"/>
      <c r="Y50" s="143" t="str">
        <f>Roster!B70</f>
        <v>R</v>
      </c>
      <c r="Z50" s="143" t="str">
        <f>Roster!C70</f>
        <v>Gowron</v>
      </c>
      <c r="AA50" s="144">
        <f ca="1">Roster!D70</f>
        <v>0</v>
      </c>
      <c r="AB50" s="144">
        <f ca="1">Roster!E70</f>
        <v>0</v>
      </c>
      <c r="AC50" s="144">
        <f ca="1">Roster!F70</f>
        <v>0</v>
      </c>
      <c r="AD50" s="144">
        <f ca="1">Roster!G70</f>
        <v>0</v>
      </c>
      <c r="AE50" s="144">
        <f ca="1">Roster!H70</f>
        <v>0</v>
      </c>
    </row>
    <row r="51" spans="1:31" x14ac:dyDescent="0.25">
      <c r="A51" s="112"/>
      <c r="B51" s="113"/>
      <c r="C51" s="132"/>
      <c r="D51" s="128"/>
      <c r="E51" s="128"/>
      <c r="F51" s="123"/>
      <c r="G51" s="123"/>
      <c r="H51" s="627"/>
      <c r="I51" s="628"/>
      <c r="J51" s="627"/>
      <c r="K51" s="629"/>
      <c r="L51" s="627"/>
      <c r="M51" s="629"/>
      <c r="N51" s="128"/>
      <c r="O51" s="123"/>
      <c r="P51" s="123"/>
      <c r="Q51" s="123"/>
      <c r="R51" s="123"/>
      <c r="S51" s="123"/>
      <c r="T51" s="123"/>
      <c r="U51" s="123"/>
      <c r="V51" s="123"/>
      <c r="W51" s="127"/>
      <c r="X51" s="113"/>
      <c r="Y51" s="143" t="str">
        <f>Roster!B71</f>
        <v>C</v>
      </c>
      <c r="Z51" s="143" t="str">
        <f>Roster!C71</f>
        <v>Hadley</v>
      </c>
      <c r="AA51" s="144">
        <f ca="1">Roster!D71</f>
        <v>0</v>
      </c>
      <c r="AB51" s="144">
        <f ca="1">Roster!E71</f>
        <v>0</v>
      </c>
      <c r="AC51" s="144">
        <f ca="1">Roster!F71</f>
        <v>0</v>
      </c>
      <c r="AD51" s="144">
        <f ca="1">Roster!G71</f>
        <v>0</v>
      </c>
      <c r="AE51" s="144">
        <f ca="1">Roster!H71</f>
        <v>0</v>
      </c>
    </row>
    <row r="52" spans="1:31" x14ac:dyDescent="0.25">
      <c r="A52" s="112"/>
      <c r="B52" s="113"/>
      <c r="C52" s="133" t="s">
        <v>211</v>
      </c>
      <c r="D52" s="123"/>
      <c r="E52" s="630"/>
      <c r="F52" s="631"/>
      <c r="G52" s="123"/>
      <c r="H52" s="133" t="s">
        <v>208</v>
      </c>
      <c r="I52" s="123"/>
      <c r="J52" s="618">
        <f>IFERROR((INDEX(RosterAttack,MATCH(C50,RosterOfficer,0))/OfficerBonusA)*(OfficerBonusAB+SUM(R47:S47)),0)+IFERROR((INDEX(RosterAttack,MATCH(E50,RosterOfficer,0))/OfficerBonusA)*(OfficerBonusAC+SUM(R47:S47)),0)+IFERROR((INDEX(RosterAttack,MATCH(G50,RosterOfficer,0))/OfficerBonusA)*(OfficerBonusAB+SUM(R47:S47)),0)+IFERROR((INDEX(RosterAttack,MATCH(I50,RosterOfficer,0))/OfficerBonusA)*(OfficerBonusA+S47),0)+IFERROR((INDEX(RosterAttack,MATCH(K50,RosterOfficer,0))/OfficerBonusA)*(OfficerBonusA+S47),0)+IFERROR((INDEX(RosterAttack,MATCH(M50,RosterOfficer,0))/OfficerBonusA)*(OfficerBonusA+S47),0)+IFERROR((INDEX(RosterAttack,MATCH(O50,RosterOfficer,0))/OfficerBonusA)*(OfficerBonusA+S47),0)+IFERROR((INDEX(RosterAttack,MATCH(Q50,RosterOfficer,0))/OfficerBonusA)*(OfficerBonusA+S47),0)+IFERROR((INDEX(RosterAttack,MATCH(S50,RosterOfficer,0))/OfficerBonusA)*(OfficerBonusA+S47),0)+IFERROR((INDEX(RosterAttack,MATCH(U50,RosterOfficer,0))/OfficerBonusA)*(OfficerBonusA+S47),0)</f>
        <v>0</v>
      </c>
      <c r="K52" s="619"/>
      <c r="L52" s="134" t="str">
        <f>IFERROR(VLOOKUP(SelectedShipF&amp;"Bonuses",ShipList,4,FALSE),"")</f>
        <v/>
      </c>
      <c r="M52" s="134" t="str">
        <f>IFERROR(VLOOKUP(SelectedShipF&amp;"Bonuses",ShipList,6,FALSE),"")</f>
        <v/>
      </c>
      <c r="N52" s="134" t="str">
        <f>IFERROR(VLOOKUP(SelectedShipF&amp;"Bonuses",ShipList,8,FALSE),"")</f>
        <v/>
      </c>
      <c r="O52" s="134" t="str">
        <f>IFERROR(VLOOKUP(SelectedShipF&amp;"Bonuses",ShipList,10,FALSE),"")</f>
        <v/>
      </c>
      <c r="P52" s="134" t="str">
        <f>IFERROR(VLOOKUP(SelectedShipF&amp;"Bonuses",ShipList,12,FALSE),"")</f>
        <v/>
      </c>
      <c r="Q52" s="134" t="str">
        <f>IFERROR(VLOOKUP(SelectedShipF&amp;"Bonuses",ShipList,14,FALSE),"")</f>
        <v/>
      </c>
      <c r="R52" s="134" t="str">
        <f>IFERROR(VLOOKUP(SelectedShipF&amp;"Bonuses",ShipList,16,FALSE),"")</f>
        <v/>
      </c>
      <c r="S52" s="134" t="str">
        <f>IFERROR(VLOOKUP(SelectedShipF&amp;"Bonuses",ShipList,18,FALSE),"")</f>
        <v/>
      </c>
      <c r="T52" s="134" t="str">
        <f>IFERROR(VLOOKUP(SelectedShipF&amp;"Bonuses",ShipList,20,FALSE),"")</f>
        <v/>
      </c>
      <c r="U52" s="134" t="str">
        <f>IFERROR(VLOOKUP(SelectedShipF&amp;"Bonuses",ShipList,22,FALSE),"")</f>
        <v/>
      </c>
      <c r="V52" s="135">
        <f>IF(J52&gt;U52,VLOOKUP(SelectedShipF&amp;"Bonuses",ShipList,23,FALSE),IF(J52&gt;T52,VLOOKUP(SelectedShipF&amp;"Bonuses",ShipList,21,FALSE),IF(J52&gt;S52,VLOOKUP(SelectedShipF&amp;"Bonuses",ShipList,19,FALSE),IF(J52&gt;R52,VLOOKUP(SelectedShipF&amp;"Bonuses",ShipList,17,FALSE),IF(J52&gt;Q52,VLOOKUP(SelectedShipF&amp;"Bonuses",ShipList,15,FALSE),IF(J52&gt;P52,VLOOKUP(SelectedShipF&amp;"Bonuses",ShipList,13,FALSE),IF(J52&gt;O52,VLOOKUP(SelectedShipF&amp;"Bonuses",ShipList,11,FALSE),IF(J52&gt;N52,VLOOKUP(SelectedShipF&amp;"Bonuses",ShipList,9,FALSE),IF(J52&gt;M52,VLOOKUP(SelectedShipF&amp;"Bonuses",ShipList,7,FALSE),IF(J52&gt;L52,VLOOKUP(SelectedShipF&amp;"Bonuses",ShipList,5,FALSE),0))))))))))</f>
        <v>0</v>
      </c>
      <c r="W52" s="136"/>
      <c r="X52" s="113"/>
      <c r="Y52" s="143" t="str">
        <f>Roster!B72</f>
        <v>R</v>
      </c>
      <c r="Z52" s="143" t="str">
        <f>Roster!C72</f>
        <v>Harrison</v>
      </c>
      <c r="AA52" s="144">
        <f ca="1">Roster!D72</f>
        <v>0</v>
      </c>
      <c r="AB52" s="144">
        <f ca="1">Roster!E72</f>
        <v>0</v>
      </c>
      <c r="AC52" s="144">
        <f ca="1">Roster!F72</f>
        <v>0</v>
      </c>
      <c r="AD52" s="144">
        <f ca="1">Roster!G72</f>
        <v>0</v>
      </c>
      <c r="AE52" s="144">
        <f ca="1">Roster!H72</f>
        <v>0</v>
      </c>
    </row>
    <row r="53" spans="1:31" x14ac:dyDescent="0.25">
      <c r="A53" s="112"/>
      <c r="B53" s="113"/>
      <c r="C53" s="137"/>
      <c r="D53" s="123"/>
      <c r="E53" s="123"/>
      <c r="F53" s="123"/>
      <c r="G53" s="123"/>
      <c r="H53" s="133" t="s">
        <v>209</v>
      </c>
      <c r="I53" s="123"/>
      <c r="J53" s="618">
        <f>IFERROR((INDEX(RosterDefence,MATCH(C50,RosterOfficer,0))/OfficerBonusD)*(OfficerBonusDB+SUM(R48:S48)),0)+IFERROR((INDEX(RosterDefence,MATCH(E50,RosterOfficer,0))/OfficerBonusD)*(OfficerBonusDC+SUM(R48:S48)),0)+IFERROR((INDEX(RosterDefence,MATCH(G50,RosterOfficer,0))/OfficerBonusD)*(OfficerBonusDB+SUM(R48:S48)),0)+IFERROR((INDEX(RosterDefence,MATCH(I50,RosterOfficer,0))/OfficerBonusD)*(OfficerBonusD+S48),0)+IFERROR((INDEX(RosterDefence,MATCH(K50,RosterOfficer,0))/OfficerBonusD)*(OfficerBonusD+S48),0)+IFERROR((INDEX(RosterDefence,MATCH(M50,RosterOfficer,0))/OfficerBonusD)*(OfficerBonusD+S48),0)+IFERROR((INDEX(RosterDefence,MATCH(O50,RosterOfficer,0))/OfficerBonusD)*(OfficerBonusD+S48),0)+IFERROR((INDEX(RosterDefence,MATCH(Q50,RosterOfficer,0))/OfficerBonusD)*(OfficerBonusD+S48),0)+IFERROR((INDEX(RosterDefence,MATCH(S50,RosterOfficer,0))/OfficerBonusD)*(OfficerBonusD+S48),0)+IFERROR((INDEX(RosterDefence,MATCH(U50,RosterOfficer,0))/OfficerBonusD)*(OfficerBonusD+S48),0)</f>
        <v>0</v>
      </c>
      <c r="K53" s="619"/>
      <c r="L53" s="134" t="str">
        <f>IFERROR(VLOOKUP(SelectedShipF&amp;"Bonuses",ShipList,4,FALSE),"")</f>
        <v/>
      </c>
      <c r="M53" s="134" t="str">
        <f>IFERROR(VLOOKUP(SelectedShipF&amp;"Bonuses",ShipList,6,FALSE),"")</f>
        <v/>
      </c>
      <c r="N53" s="134" t="str">
        <f>IFERROR(VLOOKUP(SelectedShipF&amp;"Bonuses",ShipList,8,FALSE),"")</f>
        <v/>
      </c>
      <c r="O53" s="134" t="str">
        <f>IFERROR(VLOOKUP(SelectedShipF&amp;"Bonuses",ShipList,10,FALSE),"")</f>
        <v/>
      </c>
      <c r="P53" s="134" t="str">
        <f>IFERROR(VLOOKUP(SelectedShipF&amp;"Bonuses",ShipList,12,FALSE),"")</f>
        <v/>
      </c>
      <c r="Q53" s="134" t="str">
        <f>IFERROR(VLOOKUP(SelectedShipF&amp;"Bonuses",ShipList,14,FALSE),"")</f>
        <v/>
      </c>
      <c r="R53" s="134" t="str">
        <f>IFERROR(VLOOKUP(SelectedShipF&amp;"Bonuses",ShipList,16,FALSE),"")</f>
        <v/>
      </c>
      <c r="S53" s="134" t="str">
        <f>IFERROR(VLOOKUP(SelectedShipF&amp;"Bonuses",ShipList,18,FALSE),"")</f>
        <v/>
      </c>
      <c r="T53" s="134" t="str">
        <f>IFERROR(VLOOKUP(SelectedShipF&amp;"Bonuses",ShipList,20,FALSE),"")</f>
        <v/>
      </c>
      <c r="U53" s="134" t="str">
        <f>IFERROR(VLOOKUP(SelectedShipF&amp;"Bonuses",ShipList,22,FALSE),"")</f>
        <v/>
      </c>
      <c r="V53" s="135">
        <f>IF(J53&gt;U53,VLOOKUP(SelectedShipF&amp;"Bonuses",ShipList,23,FALSE),IF(J53&gt;T53,VLOOKUP(SelectedShipF&amp;"Bonuses",ShipList,21,FALSE),IF(J53&gt;S53,VLOOKUP(SelectedShipF&amp;"Bonuses",ShipList,19,FALSE),IF(J53&gt;R53,VLOOKUP(SelectedShipF&amp;"Bonuses",ShipList,17,FALSE),IF(J53&gt;Q53,VLOOKUP(SelectedShipF&amp;"Bonuses",ShipList,15,FALSE),IF(J53&gt;P53,VLOOKUP(SelectedShipF&amp;"Bonuses",ShipList,13,FALSE),IF(J53&gt;O53,VLOOKUP(SelectedShipF&amp;"Bonuses",ShipList,11,FALSE),IF(J53&gt;N53,VLOOKUP(SelectedShipF&amp;"Bonuses",ShipList,9,FALSE),IF(J53&gt;M53,VLOOKUP(SelectedShipF&amp;"Bonuses",ShipList,7,FALSE),IF(J53&gt;L53,VLOOKUP(SelectedShipF&amp;"Bonuses",ShipList,5,FALSE),0))))))))))</f>
        <v>0</v>
      </c>
      <c r="W53" s="136"/>
      <c r="X53" s="113"/>
      <c r="Y53" s="143" t="str">
        <f>Roster!B73</f>
        <v>E</v>
      </c>
      <c r="Z53" s="143" t="str">
        <f>Roster!C73</f>
        <v>Harry Mudd</v>
      </c>
      <c r="AA53" s="144">
        <f ca="1">Roster!D73</f>
        <v>0</v>
      </c>
      <c r="AB53" s="144">
        <f ca="1">Roster!E73</f>
        <v>0</v>
      </c>
      <c r="AC53" s="144">
        <f ca="1">Roster!F73</f>
        <v>0</v>
      </c>
      <c r="AD53" s="144">
        <f ca="1">Roster!G73</f>
        <v>0</v>
      </c>
      <c r="AE53" s="144">
        <f ca="1">Roster!H73</f>
        <v>0</v>
      </c>
    </row>
    <row r="54" spans="1:31" x14ac:dyDescent="0.25">
      <c r="A54" s="112"/>
      <c r="B54" s="113"/>
      <c r="C54" s="138"/>
      <c r="D54" s="139"/>
      <c r="E54" s="139"/>
      <c r="F54" s="139"/>
      <c r="G54" s="139"/>
      <c r="H54" s="133" t="s">
        <v>210</v>
      </c>
      <c r="I54" s="139"/>
      <c r="J54" s="620">
        <f>IFERROR((INDEX(RosterHealth,MATCH(C50,RosterOfficer,0))/OfficerBonusH)*(OfficerBonusHB+SUM(R49:S49)),0)+IFERROR((INDEX(RosterHealth,MATCH(E50,RosterOfficer,0))/OfficerBonusH)*(OfficerBonusHC+SUM(R49:S49)),0)+IFERROR((INDEX(RosterHealth,MATCH(G50,RosterOfficer,0))/OfficerBonusH)*(OfficerBonusHB+SUM(R49:S49)),0)+IFERROR((INDEX(RosterHealth,MATCH(I50,RosterOfficer,0))/OfficerBonusH)*(OfficerBonusH+S49),0)+IFERROR((INDEX(RosterHealth,MATCH(K50,RosterOfficer,0))/OfficerBonusH)*(OfficerBonusH+S49),0)+IFERROR((INDEX(RosterHealth,MATCH(M50,RosterOfficer,0))/OfficerBonusH)*(OfficerBonusH+S49),0)+IFERROR((INDEX(RosterHealth,MATCH(O50,RosterOfficer,0))/OfficerBonusH)*(OfficerBonusH+S49),0)+IFERROR((INDEX(RosterHealth,MATCH(Q50,RosterOfficer,0))/OfficerBonusH)*(OfficerBonusH+S49),0)+IFERROR((INDEX(RosterHealth,MATCH(S50,RosterOfficer,0))/OfficerBonusH)*(OfficerBonusH+S49),0)+IFERROR((INDEX(RosterHealth,MATCH(U50,RosterOfficer,0))/OfficerBonusH)*(OfficerBonusH+S49),0)</f>
        <v>0</v>
      </c>
      <c r="K54" s="621"/>
      <c r="L54" s="134" t="str">
        <f>IFERROR(VLOOKUP(SelectedShipF&amp;"Bonuses",ShipList,4,FALSE),"")</f>
        <v/>
      </c>
      <c r="M54" s="134" t="str">
        <f>IFERROR(VLOOKUP(SelectedShipF&amp;"Bonuses",ShipList,6,FALSE),"")</f>
        <v/>
      </c>
      <c r="N54" s="134" t="str">
        <f>IFERROR(VLOOKUP(SelectedShipF&amp;"Bonuses",ShipList,8,FALSE),"")</f>
        <v/>
      </c>
      <c r="O54" s="134" t="str">
        <f>IFERROR(VLOOKUP(SelectedShipF&amp;"Bonuses",ShipList,10,FALSE),"")</f>
        <v/>
      </c>
      <c r="P54" s="134" t="str">
        <f>IFERROR(VLOOKUP(SelectedShipF&amp;"Bonuses",ShipList,12,FALSE),"")</f>
        <v/>
      </c>
      <c r="Q54" s="134" t="str">
        <f>IFERROR(VLOOKUP(SelectedShipF&amp;"Bonuses",ShipList,14,FALSE),"")</f>
        <v/>
      </c>
      <c r="R54" s="134" t="str">
        <f>IFERROR(VLOOKUP(SelectedShipF&amp;"Bonuses",ShipList,16,FALSE),"")</f>
        <v/>
      </c>
      <c r="S54" s="134" t="str">
        <f>IFERROR(VLOOKUP(SelectedShipF&amp;"Bonuses",ShipList,18,FALSE),"")</f>
        <v/>
      </c>
      <c r="T54" s="134" t="str">
        <f>IFERROR(VLOOKUP(SelectedShipF&amp;"Bonuses",ShipList,20,FALSE),"")</f>
        <v/>
      </c>
      <c r="U54" s="134" t="str">
        <f>IFERROR(VLOOKUP(SelectedShipF&amp;"Bonuses",ShipList,22,FALSE),"")</f>
        <v/>
      </c>
      <c r="V54" s="140">
        <f>IF(J54&gt;U54,VLOOKUP(SelectedShipF&amp;"Bonuses",ShipList,23,FALSE),IF(J54&gt;T54,VLOOKUP(SelectedShipF&amp;"Bonuses",ShipList,21,FALSE),IF(J54&gt;S54,VLOOKUP(SelectedShipF&amp;"Bonuses",ShipList,19,FALSE),IF(J54&gt;R54,VLOOKUP(SelectedShipF&amp;"Bonuses",ShipList,17,FALSE),IF(J54&gt;Q54,VLOOKUP(SelectedShipF&amp;"Bonuses",ShipList,15,FALSE),IF(J54&gt;P54,VLOOKUP(SelectedShipF&amp;"Bonuses",ShipList,13,FALSE),IF(J54&gt;O54,VLOOKUP(SelectedShipF&amp;"Bonuses",ShipList,11,FALSE),IF(J54&gt;N54,VLOOKUP(SelectedShipF&amp;"Bonuses",ShipList,9,FALSE),IF(J54&gt;M54,VLOOKUP(SelectedShipF&amp;"Bonuses",ShipList,7,FALSE),IF(J54&gt;L54,VLOOKUP(SelectedShipF&amp;"Bonuses",ShipList,5,FALSE),0))))))))))</f>
        <v>0</v>
      </c>
      <c r="W54" s="141"/>
      <c r="X54" s="113"/>
      <c r="Y54" s="143" t="str">
        <f>Roster!B74</f>
        <v>C</v>
      </c>
      <c r="Z54" s="143" t="str">
        <f>Roster!C74</f>
        <v>Helvia</v>
      </c>
      <c r="AA54" s="144">
        <f ca="1">Roster!D74</f>
        <v>0</v>
      </c>
      <c r="AB54" s="144">
        <f ca="1">Roster!E74</f>
        <v>0</v>
      </c>
      <c r="AC54" s="144">
        <f ca="1">Roster!F74</f>
        <v>0</v>
      </c>
      <c r="AD54" s="144">
        <f ca="1">Roster!G74</f>
        <v>0</v>
      </c>
      <c r="AE54" s="144">
        <f ca="1">Roster!H74</f>
        <v>0</v>
      </c>
    </row>
    <row r="55" spans="1:31" x14ac:dyDescent="0.25">
      <c r="A55" s="112"/>
      <c r="B55" s="113"/>
      <c r="C55" s="113"/>
      <c r="D55" s="113"/>
      <c r="E55" s="113"/>
      <c r="F55" s="113"/>
      <c r="G55" s="113"/>
      <c r="H55" s="113"/>
      <c r="I55" s="113"/>
      <c r="J55" s="113"/>
      <c r="K55" s="113"/>
      <c r="L55" s="113"/>
      <c r="M55" s="113"/>
      <c r="N55" s="113"/>
      <c r="O55" s="113"/>
      <c r="P55" s="113"/>
      <c r="Q55" s="113"/>
      <c r="R55" s="113"/>
      <c r="S55" s="113"/>
      <c r="T55" s="113"/>
      <c r="U55" s="113"/>
      <c r="V55" s="113"/>
      <c r="W55" s="113"/>
      <c r="X55" s="113"/>
      <c r="Y55" s="143" t="str">
        <f>Roster!B75</f>
        <v>U</v>
      </c>
      <c r="Z55" s="143" t="str">
        <f>Roster!C75</f>
        <v>Hendorff</v>
      </c>
      <c r="AA55" s="144">
        <f ca="1">Roster!D75</f>
        <v>0</v>
      </c>
      <c r="AB55" s="144">
        <f ca="1">Roster!E75</f>
        <v>0</v>
      </c>
      <c r="AC55" s="144">
        <f ca="1">Roster!F75</f>
        <v>0</v>
      </c>
      <c r="AD55" s="144">
        <f ca="1">Roster!G75</f>
        <v>0</v>
      </c>
      <c r="AE55" s="144">
        <f ca="1">Roster!H75</f>
        <v>0</v>
      </c>
    </row>
    <row r="56" spans="1:31" ht="17.25" thickBot="1" x14ac:dyDescent="0.3">
      <c r="B56" s="113"/>
      <c r="C56" s="632" t="s">
        <v>1972</v>
      </c>
      <c r="D56" s="633"/>
      <c r="E56" s="115"/>
      <c r="F56" s="115"/>
      <c r="G56" s="115"/>
      <c r="H56" s="115"/>
      <c r="I56" s="115"/>
      <c r="J56" s="115"/>
      <c r="K56" s="115"/>
      <c r="L56" s="115"/>
      <c r="M56" s="115"/>
      <c r="N56" s="115"/>
      <c r="O56" s="115"/>
      <c r="P56" s="115"/>
      <c r="Q56" s="116" t="s">
        <v>130</v>
      </c>
      <c r="R56" s="117">
        <f>References!B35+References!D35</f>
        <v>0</v>
      </c>
      <c r="S56" s="118">
        <f>References!C35+References!E35</f>
        <v>0</v>
      </c>
      <c r="T56" s="119" t="s">
        <v>671</v>
      </c>
      <c r="U56" s="120" t="s">
        <v>672</v>
      </c>
      <c r="V56" s="115"/>
      <c r="W56" s="121"/>
      <c r="X56" s="113"/>
      <c r="Y56" s="143" t="str">
        <f>Roster!B76</f>
        <v>E</v>
      </c>
      <c r="Z56" s="143" t="str">
        <f>Roster!C76</f>
        <v>Honorguard Worf</v>
      </c>
      <c r="AA56" s="144">
        <f ca="1">Roster!D76</f>
        <v>0</v>
      </c>
      <c r="AB56" s="144">
        <f ca="1">Roster!E76</f>
        <v>0</v>
      </c>
      <c r="AC56" s="144">
        <f ca="1">Roster!F76</f>
        <v>0</v>
      </c>
      <c r="AD56" s="144">
        <f ca="1">Roster!G76</f>
        <v>0</v>
      </c>
      <c r="AE56" s="144">
        <f ca="1">Roster!H76</f>
        <v>0</v>
      </c>
    </row>
    <row r="57" spans="1:31" ht="17.25" thickTop="1" x14ac:dyDescent="0.25">
      <c r="B57" s="113"/>
      <c r="C57" s="634"/>
      <c r="D57" s="635"/>
      <c r="E57" s="636" t="s">
        <v>130</v>
      </c>
      <c r="F57" s="637"/>
      <c r="G57" s="122"/>
      <c r="H57" s="122"/>
      <c r="I57" s="123"/>
      <c r="J57" s="123"/>
      <c r="K57" s="638" t="s">
        <v>131</v>
      </c>
      <c r="L57" s="639"/>
      <c r="M57" s="123"/>
      <c r="N57" s="123"/>
      <c r="O57" s="112"/>
      <c r="P57" s="112"/>
      <c r="Q57" s="123"/>
      <c r="R57" s="124">
        <f>References!B36+References!D36</f>
        <v>0</v>
      </c>
      <c r="S57" s="124">
        <f>References!C45+References!E45</f>
        <v>0</v>
      </c>
      <c r="T57" s="125"/>
      <c r="U57" s="126" t="s">
        <v>673</v>
      </c>
      <c r="V57" s="123"/>
      <c r="W57" s="127"/>
      <c r="X57" s="113"/>
      <c r="Y57" s="143" t="str">
        <f>Roster!B77</f>
        <v>C</v>
      </c>
      <c r="Z57" s="143" t="str">
        <f>Roster!C77</f>
        <v>Instructor Spock</v>
      </c>
      <c r="AA57" s="144">
        <f ca="1">Roster!D77</f>
        <v>0</v>
      </c>
      <c r="AB57" s="144">
        <f ca="1">Roster!E77</f>
        <v>0</v>
      </c>
      <c r="AC57" s="144">
        <f ca="1">Roster!F77</f>
        <v>0</v>
      </c>
      <c r="AD57" s="144">
        <f ca="1">Roster!G77</f>
        <v>0</v>
      </c>
      <c r="AE57" s="144">
        <f ca="1">Roster!H77</f>
        <v>0</v>
      </c>
    </row>
    <row r="58" spans="1:31" x14ac:dyDescent="0.25">
      <c r="B58" s="113"/>
      <c r="C58" s="640" t="str">
        <f>IFERROR(IF(AND(VLOOKUP(C59,OfficerSkillsFull,11,FALSE) = VLOOKUP(E59,OfficerSkillsFull,11,FALSE), VLOOKUP(C59,OfficerSkillsFull,12,FALSE) = VLOOKUP(E59,OfficerSkillsFull,12,FALSE)),IF(OR(E59="TOS Chekov", E59="TOS Scotty", E59="Michael Burnham"),VLOOKUP(E59,OfficerSkillsFull,14,FALSE)&amp;"---------",VLOOKUP(E59,OfficerSkillsFull,14,FALSE)*100&amp;"% -------"),IF(VLOOKUP(C59,OfficerSkillsFull,11,FALSE) = VLOOKUP(E59,OfficerSkillsFull,11,FALSE),IF(OR(E59="TOS Chekov", E59="TOS Scotty", E59="Michael Burnham"),VLOOKUP(E59,OfficerSkillsFull,13,FALSE)&amp;"=======",VLOOKUP(E59,OfficerSkillsFull,13,FALSE)*100&amp;"% ====="),"")),"")</f>
        <v/>
      </c>
      <c r="D58" s="641"/>
      <c r="E58" s="642" t="str">
        <f>IFERROR(IF(OR(E59="TOS Chekov", E59="TOS Scotty", E59="Michael Burnham", E59="Origins Burnham", E59="Origins Saru", E59="Origins Stamets", E59="Rom"),VLOOKUP(E59,OfficerSkillsFull,10,FALSE),VLOOKUP(E59,OfficerSkillsFull,10,FALSE)*100 &amp; "%"),"")</f>
        <v/>
      </c>
      <c r="F58" s="642"/>
      <c r="G58" s="643" t="str">
        <f>IFERROR(IF(AND(VLOOKUP(G59,OfficerSkillsFull,11,FALSE) = VLOOKUP(E59,OfficerSkillsFull,11,FALSE), OR(VLOOKUP(G59,OfficerSkillsFull,12,FALSE) = VLOOKUP(E59,OfficerSkillsFull,12,FALSE),AND(VLOOKUP(G59,OfficerSkillsFull,11,FALSE) = VLOOKUP(C59,OfficerSkillsFull,11,FALSE),VLOOKUP(G59,OfficerSkillsFull,12,FALSE) = IFERROR(VLOOKUP(C59,OfficerSkillsFull,12,FALSE),"")))),"------- " &amp; IF(OR(E59="TOS Chekov", E59="TOS Scotty", E59="Michael Burnham"),VLOOKUP(E59,OfficerSkillsFull,14,FALSE),VLOOKUP(E59,OfficerSkillsFull,14,FALSE)*100),IF(VLOOKUP(G59,OfficerSkillsFull,11,FALSE) = VLOOKUP(E59,OfficerSkillsFull,11,FALSE),"===== " &amp; IF(OR(E59="TOS Chekov", E59="TOS Scotty", E59="Michael Burnham"),VLOOKUP(E59,OfficerSkillsFull,13,FALSE),VLOOKUP(E59,OfficerSkillsFull,13,FALSE)*100),"")),"")</f>
        <v/>
      </c>
      <c r="H58" s="643"/>
      <c r="I58" s="122"/>
      <c r="J58" s="122"/>
      <c r="K58" s="122"/>
      <c r="L58" s="128"/>
      <c r="M58" s="122"/>
      <c r="N58" s="128"/>
      <c r="O58" s="123"/>
      <c r="P58" s="123"/>
      <c r="Q58" s="123"/>
      <c r="R58" s="129">
        <f>References!B37+References!D37</f>
        <v>0</v>
      </c>
      <c r="S58" s="129">
        <f>References!C46+References!E46</f>
        <v>0</v>
      </c>
      <c r="T58" s="130"/>
      <c r="U58" s="126" t="s">
        <v>674</v>
      </c>
      <c r="V58" s="123"/>
      <c r="W58" s="127"/>
      <c r="X58" s="113"/>
      <c r="Y58" s="143" t="str">
        <f>Roster!B78</f>
        <v>U</v>
      </c>
      <c r="Z58" s="143" t="str">
        <f>Roster!C78</f>
        <v>Javaid</v>
      </c>
      <c r="AA58" s="144">
        <f ca="1">Roster!D78</f>
        <v>0</v>
      </c>
      <c r="AB58" s="144">
        <f ca="1">Roster!E78</f>
        <v>0</v>
      </c>
      <c r="AC58" s="144">
        <f ca="1">Roster!F78</f>
        <v>0</v>
      </c>
      <c r="AD58" s="144">
        <f ca="1">Roster!G78</f>
        <v>0</v>
      </c>
      <c r="AE58" s="144">
        <f ca="1">Roster!H78</f>
        <v>0</v>
      </c>
    </row>
    <row r="59" spans="1:31" x14ac:dyDescent="0.25">
      <c r="B59" s="113"/>
      <c r="C59" s="644"/>
      <c r="D59" s="645"/>
      <c r="E59" s="646"/>
      <c r="F59" s="647"/>
      <c r="G59" s="648"/>
      <c r="H59" s="645"/>
      <c r="I59" s="625"/>
      <c r="J59" s="626"/>
      <c r="K59" s="622"/>
      <c r="L59" s="623"/>
      <c r="M59" s="622"/>
      <c r="N59" s="623"/>
      <c r="O59" s="622"/>
      <c r="P59" s="623"/>
      <c r="Q59" s="622"/>
      <c r="R59" s="624"/>
      <c r="S59" s="622"/>
      <c r="T59" s="623"/>
      <c r="U59" s="625"/>
      <c r="V59" s="626"/>
      <c r="W59" s="131"/>
      <c r="X59" s="113"/>
      <c r="Y59" s="143" t="str">
        <f>Roster!B79</f>
        <v>E</v>
      </c>
      <c r="Z59" s="143" t="str">
        <f>Roster!C79</f>
        <v>Jaylah</v>
      </c>
      <c r="AA59" s="144">
        <f ca="1">Roster!D79</f>
        <v>0</v>
      </c>
      <c r="AB59" s="144">
        <f ca="1">Roster!E79</f>
        <v>0</v>
      </c>
      <c r="AC59" s="144">
        <f ca="1">Roster!F79</f>
        <v>0</v>
      </c>
      <c r="AD59" s="144">
        <f ca="1">Roster!G79</f>
        <v>0</v>
      </c>
      <c r="AE59" s="144">
        <f ca="1">Roster!H79</f>
        <v>0</v>
      </c>
    </row>
    <row r="60" spans="1:31" x14ac:dyDescent="0.25">
      <c r="B60" s="113"/>
      <c r="C60" s="132"/>
      <c r="D60" s="128"/>
      <c r="E60" s="128"/>
      <c r="F60" s="123"/>
      <c r="G60" s="123"/>
      <c r="H60" s="627"/>
      <c r="I60" s="628"/>
      <c r="J60" s="627"/>
      <c r="K60" s="629"/>
      <c r="L60" s="627"/>
      <c r="M60" s="629"/>
      <c r="N60" s="128"/>
      <c r="O60" s="123"/>
      <c r="P60" s="123"/>
      <c r="Q60" s="123"/>
      <c r="R60" s="123"/>
      <c r="S60" s="123"/>
      <c r="T60" s="123"/>
      <c r="U60" s="123"/>
      <c r="V60" s="123"/>
      <c r="W60" s="127"/>
      <c r="X60" s="113"/>
      <c r="Y60" s="143" t="str">
        <f>Roster!B80</f>
        <v>E</v>
      </c>
      <c r="Z60" s="143" t="str">
        <f>Roster!C80</f>
        <v>Jean-Luc Picard</v>
      </c>
      <c r="AA60" s="144">
        <f ca="1">Roster!D80</f>
        <v>0</v>
      </c>
      <c r="AB60" s="144">
        <f ca="1">Roster!E80</f>
        <v>0</v>
      </c>
      <c r="AC60" s="144">
        <f ca="1">Roster!F80</f>
        <v>0</v>
      </c>
      <c r="AD60" s="144">
        <f ca="1">Roster!G80</f>
        <v>0</v>
      </c>
      <c r="AE60" s="144">
        <f ca="1">Roster!H80</f>
        <v>0</v>
      </c>
    </row>
    <row r="61" spans="1:31" x14ac:dyDescent="0.25">
      <c r="B61" s="113"/>
      <c r="C61" s="133" t="s">
        <v>211</v>
      </c>
      <c r="D61" s="123"/>
      <c r="E61" s="630"/>
      <c r="F61" s="631"/>
      <c r="G61" s="123"/>
      <c r="H61" s="133" t="s">
        <v>208</v>
      </c>
      <c r="I61" s="123"/>
      <c r="J61" s="618">
        <f>IFERROR((INDEX(RosterAttack,MATCH(C59,RosterOfficer,0))/OfficerBonusA)*(OfficerBonusAB+SUM(R56:S56)),0)+IFERROR((INDEX(RosterAttack,MATCH(E59,RosterOfficer,0))/OfficerBonusA)*(OfficerBonusAC+SUM(R56:S56)),0)+IFERROR((INDEX(RosterAttack,MATCH(G59,RosterOfficer,0))/OfficerBonusA)*(OfficerBonusAB+SUM(R56:S56)),0)+IFERROR((INDEX(RosterAttack,MATCH(I59,RosterOfficer,0))/OfficerBonusA)*(OfficerBonusA+S56),0)+IFERROR((INDEX(RosterAttack,MATCH(K59,RosterOfficer,0))/OfficerBonusA)*(OfficerBonusA+S56),0)+IFERROR((INDEX(RosterAttack,MATCH(M59,RosterOfficer,0))/OfficerBonusA)*(OfficerBonusA+S56),0)+IFERROR((INDEX(RosterAttack,MATCH(O59,RosterOfficer,0))/OfficerBonusA)*(OfficerBonusA+S56),0)+IFERROR((INDEX(RosterAttack,MATCH(Q59,RosterOfficer,0))/OfficerBonusA)*(OfficerBonusA+S56),0)+IFERROR((INDEX(RosterAttack,MATCH(S59,RosterOfficer,0))/OfficerBonusA)*(OfficerBonusA+S56),0)+IFERROR((INDEX(RosterAttack,MATCH(U59,RosterOfficer,0))/OfficerBonusA)*(OfficerBonusA+S56),0)</f>
        <v>0</v>
      </c>
      <c r="K61" s="619"/>
      <c r="L61" s="134" t="str">
        <f>IFERROR(VLOOKUP(SelectedShipG&amp;"Bonuses",ShipList,4,FALSE),"")</f>
        <v/>
      </c>
      <c r="M61" s="134" t="str">
        <f>IFERROR(VLOOKUP(SelectedShipG&amp;"Bonuses",ShipList,6,FALSE),"")</f>
        <v/>
      </c>
      <c r="N61" s="134" t="str">
        <f>IFERROR(VLOOKUP(SelectedShipG&amp;"Bonuses",ShipList,8,FALSE),"")</f>
        <v/>
      </c>
      <c r="O61" s="134" t="str">
        <f>IFERROR(VLOOKUP(SelectedShipG&amp;"Bonuses",ShipList,10,FALSE),"")</f>
        <v/>
      </c>
      <c r="P61" s="134" t="str">
        <f>IFERROR(VLOOKUP(SelectedShipG&amp;"Bonuses",ShipList,12,FALSE),"")</f>
        <v/>
      </c>
      <c r="Q61" s="134" t="str">
        <f>IFERROR(VLOOKUP(SelectedShipG&amp;"Bonuses",ShipList,14,FALSE),"")</f>
        <v/>
      </c>
      <c r="R61" s="134" t="str">
        <f>IFERROR(VLOOKUP(SelectedShipG&amp;"Bonuses",ShipList,16,FALSE),"")</f>
        <v/>
      </c>
      <c r="S61" s="134" t="str">
        <f>IFERROR(VLOOKUP(SelectedShipG&amp;"Bonuses",ShipList,18,FALSE),"")</f>
        <v/>
      </c>
      <c r="T61" s="134" t="str">
        <f>IFERROR(VLOOKUP(SelectedShipG&amp;"Bonuses",ShipList,20,FALSE),"")</f>
        <v/>
      </c>
      <c r="U61" s="134" t="str">
        <f>IFERROR(VLOOKUP(SelectedShipG&amp;"Bonuses",ShipList,22,FALSE),"")</f>
        <v/>
      </c>
      <c r="V61" s="135">
        <f>IF(J61&gt;U61,VLOOKUP(SelectedShipG&amp;"Bonuses",ShipList,23,FALSE),IF(J61&gt;T61,VLOOKUP(SelectedShipG&amp;"Bonuses",ShipList,21,FALSE),IF(J61&gt;S61,VLOOKUP(SelectedShipG&amp;"Bonuses",ShipList,19,FALSE),IF(J61&gt;R61,VLOOKUP(SelectedShipG&amp;"Bonuses",ShipList,17,FALSE),IF(J61&gt;Q61,VLOOKUP(SelectedShipG&amp;"Bonuses",ShipList,15,FALSE),IF(J61&gt;P61,VLOOKUP(SelectedShipG&amp;"Bonuses",ShipList,13,FALSE),IF(J61&gt;O61,VLOOKUP(SelectedShipG&amp;"Bonuses",ShipList,11,FALSE),IF(J61&gt;N61,VLOOKUP(SelectedShipG&amp;"Bonuses",ShipList,9,FALSE),IF(J61&gt;M61,VLOOKUP(SelectedShipG&amp;"Bonuses",ShipList,7,FALSE),IF(J61&gt;L61,VLOOKUP(SelectedShipG&amp;"Bonuses",ShipList,5,FALSE),0))))))))))</f>
        <v>0</v>
      </c>
      <c r="W61" s="136"/>
      <c r="X61" s="113"/>
      <c r="Y61" s="143" t="str">
        <f>Roster!B81</f>
        <v>R</v>
      </c>
      <c r="Z61" s="143" t="str">
        <f>Roster!C81</f>
        <v>Joachim</v>
      </c>
      <c r="AA61" s="144">
        <f ca="1">Roster!D81</f>
        <v>0</v>
      </c>
      <c r="AB61" s="144">
        <f ca="1">Roster!E81</f>
        <v>0</v>
      </c>
      <c r="AC61" s="144">
        <f ca="1">Roster!F81</f>
        <v>0</v>
      </c>
      <c r="AD61" s="144">
        <f ca="1">Roster!G81</f>
        <v>0</v>
      </c>
      <c r="AE61" s="144">
        <f ca="1">Roster!H81</f>
        <v>0</v>
      </c>
    </row>
    <row r="62" spans="1:31" x14ac:dyDescent="0.25">
      <c r="B62" s="113"/>
      <c r="C62" s="137"/>
      <c r="D62" s="123"/>
      <c r="E62" s="123"/>
      <c r="F62" s="123"/>
      <c r="G62" s="123"/>
      <c r="H62" s="133" t="s">
        <v>209</v>
      </c>
      <c r="I62" s="123"/>
      <c r="J62" s="618">
        <f>IFERROR((INDEX(RosterDefence,MATCH(C59,RosterOfficer,0))/OfficerBonusD)*(OfficerBonusDB+SUM(R57:S57)),0)+IFERROR((INDEX(RosterDefence,MATCH(E59,RosterOfficer,0))/OfficerBonusD)*(OfficerBonusDC+SUM(R57:S57)),0)+IFERROR((INDEX(RosterDefence,MATCH(G59,RosterOfficer,0))/OfficerBonusD)*(OfficerBonusDB+SUM(R57:S57)),0)+IFERROR((INDEX(RosterDefence,MATCH(I59,RosterOfficer,0))/OfficerBonusD)*(OfficerBonusD+S57),0)+IFERROR((INDEX(RosterDefence,MATCH(K59,RosterOfficer,0))/OfficerBonusD)*(OfficerBonusD+S57),0)+IFERROR((INDEX(RosterDefence,MATCH(M59,RosterOfficer,0))/OfficerBonusD)*(OfficerBonusD+S57),0)+IFERROR((INDEX(RosterDefence,MATCH(O59,RosterOfficer,0))/OfficerBonusD)*(OfficerBonusD+S57),0)+IFERROR((INDEX(RosterDefence,MATCH(Q59,RosterOfficer,0))/OfficerBonusD)*(OfficerBonusD+S57),0)+IFERROR((INDEX(RosterDefence,MATCH(S59,RosterOfficer,0))/OfficerBonusD)*(OfficerBonusD+S57),0)+IFERROR((INDEX(RosterDefence,MATCH(U59,RosterOfficer,0))/OfficerBonusD)*(OfficerBonusD+S57),0)</f>
        <v>0</v>
      </c>
      <c r="K62" s="619"/>
      <c r="L62" s="134" t="str">
        <f>IFERROR(VLOOKUP(SelectedShipG&amp;"Bonuses",ShipList,4,FALSE),"")</f>
        <v/>
      </c>
      <c r="M62" s="134" t="str">
        <f>IFERROR(VLOOKUP(SelectedShipG&amp;"Bonuses",ShipList,6,FALSE),"")</f>
        <v/>
      </c>
      <c r="N62" s="134" t="str">
        <f>IFERROR(VLOOKUP(SelectedShipG&amp;"Bonuses",ShipList,8,FALSE),"")</f>
        <v/>
      </c>
      <c r="O62" s="134" t="str">
        <f>IFERROR(VLOOKUP(SelectedShipG&amp;"Bonuses",ShipList,10,FALSE),"")</f>
        <v/>
      </c>
      <c r="P62" s="134" t="str">
        <f>IFERROR(VLOOKUP(SelectedShipG&amp;"Bonuses",ShipList,12,FALSE),"")</f>
        <v/>
      </c>
      <c r="Q62" s="134" t="str">
        <f>IFERROR(VLOOKUP(SelectedShipG&amp;"Bonuses",ShipList,14,FALSE),"")</f>
        <v/>
      </c>
      <c r="R62" s="134" t="str">
        <f>IFERROR(VLOOKUP(SelectedShipG&amp;"Bonuses",ShipList,16,FALSE),"")</f>
        <v/>
      </c>
      <c r="S62" s="134" t="str">
        <f>IFERROR(VLOOKUP(SelectedShipG&amp;"Bonuses",ShipList,18,FALSE),"")</f>
        <v/>
      </c>
      <c r="T62" s="134" t="str">
        <f>IFERROR(VLOOKUP(SelectedShipG&amp;"Bonuses",ShipList,20,FALSE),"")</f>
        <v/>
      </c>
      <c r="U62" s="134" t="str">
        <f>IFERROR(VLOOKUP(SelectedShipG&amp;"Bonuses",ShipList,22,FALSE),"")</f>
        <v/>
      </c>
      <c r="V62" s="135">
        <f>IF(J62&gt;U62,VLOOKUP(SelectedShipG&amp;"Bonuses",ShipList,23,FALSE),IF(J62&gt;T62,VLOOKUP(SelectedShipG&amp;"Bonuses",ShipList,21,FALSE),IF(J62&gt;S62,VLOOKUP(SelectedShipG&amp;"Bonuses",ShipList,19,FALSE),IF(J62&gt;R62,VLOOKUP(SelectedShipG&amp;"Bonuses",ShipList,17,FALSE),IF(J62&gt;Q62,VLOOKUP(SelectedShipG&amp;"Bonuses",ShipList,15,FALSE),IF(J62&gt;P62,VLOOKUP(SelectedShipG&amp;"Bonuses",ShipList,13,FALSE),IF(J62&gt;O62,VLOOKUP(SelectedShipG&amp;"Bonuses",ShipList,11,FALSE),IF(J62&gt;N62,VLOOKUP(SelectedShipG&amp;"Bonuses",ShipList,9,FALSE),IF(J62&gt;M62,VLOOKUP(SelectedShipG&amp;"Bonuses",ShipList,7,FALSE),IF(J62&gt;L62,VLOOKUP(SelectedShipG&amp;"Bonuses",ShipList,5,FALSE),0))))))))))</f>
        <v>0</v>
      </c>
      <c r="W62" s="136"/>
      <c r="X62" s="113"/>
      <c r="Y62" s="143" t="str">
        <f>Roster!B82</f>
        <v>U</v>
      </c>
      <c r="Z62" s="143" t="str">
        <f>Roster!C82</f>
        <v>Joaquin</v>
      </c>
      <c r="AA62" s="144">
        <f ca="1">Roster!D82</f>
        <v>0</v>
      </c>
      <c r="AB62" s="144">
        <f ca="1">Roster!E82</f>
        <v>0</v>
      </c>
      <c r="AC62" s="144">
        <f ca="1">Roster!F82</f>
        <v>0</v>
      </c>
      <c r="AD62" s="144">
        <f ca="1">Roster!G82</f>
        <v>0</v>
      </c>
      <c r="AE62" s="144">
        <f ca="1">Roster!H82</f>
        <v>0</v>
      </c>
    </row>
    <row r="63" spans="1:31" x14ac:dyDescent="0.25">
      <c r="B63" s="113"/>
      <c r="C63" s="138"/>
      <c r="D63" s="139"/>
      <c r="E63" s="139"/>
      <c r="F63" s="139"/>
      <c r="G63" s="139"/>
      <c r="H63" s="133" t="s">
        <v>210</v>
      </c>
      <c r="I63" s="139"/>
      <c r="J63" s="620">
        <f>IFERROR((INDEX(RosterHealth,MATCH(C59,RosterOfficer,0))/OfficerBonusH)*(OfficerBonusHB+SUM(R58:S58)),0)+IFERROR((INDEX(RosterHealth,MATCH(E59,RosterOfficer,0))/OfficerBonusH)*(OfficerBonusHC+SUM(R58:S58)),0)+IFERROR((INDEX(RosterHealth,MATCH(G59,RosterOfficer,0))/OfficerBonusH)*(OfficerBonusHB+SUM(R58:S58)),0)+IFERROR((INDEX(RosterHealth,MATCH(I59,RosterOfficer,0))/OfficerBonusH)*(OfficerBonusH+S58),0)+IFERROR((INDEX(RosterHealth,MATCH(K59,RosterOfficer,0))/OfficerBonusH)*(OfficerBonusH+S58),0)+IFERROR((INDEX(RosterHealth,MATCH(M59,RosterOfficer,0))/OfficerBonusH)*(OfficerBonusH+S58),0)+IFERROR((INDEX(RosterHealth,MATCH(O59,RosterOfficer,0))/OfficerBonusH)*(OfficerBonusH+S58),0)+IFERROR((INDEX(RosterHealth,MATCH(Q59,RosterOfficer,0))/OfficerBonusH)*(OfficerBonusH+S58),0)+IFERROR((INDEX(RosterHealth,MATCH(S59,RosterOfficer,0))/OfficerBonusH)*(OfficerBonusH+S58),0)+IFERROR((INDEX(RosterHealth,MATCH(U59,RosterOfficer,0))/OfficerBonusH)*(OfficerBonusH+S58),0)</f>
        <v>0</v>
      </c>
      <c r="K63" s="621"/>
      <c r="L63" s="134" t="str">
        <f>IFERROR(VLOOKUP(SelectedShipG&amp;"Bonuses",ShipList,4,FALSE),"")</f>
        <v/>
      </c>
      <c r="M63" s="134" t="str">
        <f>IFERROR(VLOOKUP(SelectedShipG&amp;"Bonuses",ShipList,6,FALSE),"")</f>
        <v/>
      </c>
      <c r="N63" s="134" t="str">
        <f>IFERROR(VLOOKUP(SelectedShipG&amp;"Bonuses",ShipList,8,FALSE),"")</f>
        <v/>
      </c>
      <c r="O63" s="134" t="str">
        <f>IFERROR(VLOOKUP(SelectedShipG&amp;"Bonuses",ShipList,10,FALSE),"")</f>
        <v/>
      </c>
      <c r="P63" s="134" t="str">
        <f>IFERROR(VLOOKUP(SelectedShipG&amp;"Bonuses",ShipList,12,FALSE),"")</f>
        <v/>
      </c>
      <c r="Q63" s="134" t="str">
        <f>IFERROR(VLOOKUP(SelectedShipG&amp;"Bonuses",ShipList,14,FALSE),"")</f>
        <v/>
      </c>
      <c r="R63" s="134" t="str">
        <f>IFERROR(VLOOKUP(SelectedShipG&amp;"Bonuses",ShipList,16,FALSE),"")</f>
        <v/>
      </c>
      <c r="S63" s="134" t="str">
        <f>IFERROR(VLOOKUP(SelectedShipG&amp;"Bonuses",ShipList,18,FALSE),"")</f>
        <v/>
      </c>
      <c r="T63" s="134" t="str">
        <f>IFERROR(VLOOKUP(SelectedShipG&amp;"Bonuses",ShipList,20,FALSE),"")</f>
        <v/>
      </c>
      <c r="U63" s="134" t="str">
        <f>IFERROR(VLOOKUP(SelectedShipG&amp;"Bonuses",ShipList,22,FALSE),"")</f>
        <v/>
      </c>
      <c r="V63" s="140">
        <f>IF(J63&gt;U63,VLOOKUP(SelectedShipG&amp;"Bonuses",ShipList,23,FALSE),IF(J63&gt;T63,VLOOKUP(SelectedShipG&amp;"Bonuses",ShipList,21,FALSE),IF(J63&gt;S63,VLOOKUP(SelectedShipG&amp;"Bonuses",ShipList,19,FALSE),IF(J63&gt;R63,VLOOKUP(SelectedShipG&amp;"Bonuses",ShipList,17,FALSE),IF(J63&gt;Q63,VLOOKUP(SelectedShipG&amp;"Bonuses",ShipList,15,FALSE),IF(J63&gt;P63,VLOOKUP(SelectedShipG&amp;"Bonuses",ShipList,13,FALSE),IF(J63&gt;O63,VLOOKUP(SelectedShipG&amp;"Bonuses",ShipList,11,FALSE),IF(J63&gt;N63,VLOOKUP(SelectedShipG&amp;"Bonuses",ShipList,9,FALSE),IF(J63&gt;M63,VLOOKUP(SelectedShipG&amp;"Bonuses",ShipList,7,FALSE),IF(J63&gt;L63,VLOOKUP(SelectedShipG&amp;"Bonuses",ShipList,5,FALSE),0))))))))))</f>
        <v>0</v>
      </c>
      <c r="W63" s="141"/>
      <c r="X63" s="113"/>
      <c r="Y63" s="143" t="str">
        <f>Roster!B83</f>
        <v>E</v>
      </c>
      <c r="Z63" s="143" t="str">
        <f>Roster!C83</f>
        <v>Kang</v>
      </c>
      <c r="AA63" s="144">
        <f ca="1">Roster!D83</f>
        <v>0</v>
      </c>
      <c r="AB63" s="144">
        <f ca="1">Roster!E83</f>
        <v>0</v>
      </c>
      <c r="AC63" s="144">
        <f ca="1">Roster!F83</f>
        <v>0</v>
      </c>
      <c r="AD63" s="144">
        <f ca="1">Roster!G83</f>
        <v>0</v>
      </c>
      <c r="AE63" s="144">
        <f ca="1">Roster!H83</f>
        <v>0</v>
      </c>
    </row>
    <row r="64" spans="1:31" x14ac:dyDescent="0.25">
      <c r="B64" s="113"/>
      <c r="C64" s="113"/>
      <c r="D64" s="113"/>
      <c r="E64" s="113"/>
      <c r="F64" s="113"/>
      <c r="G64" s="113"/>
      <c r="H64" s="113"/>
      <c r="I64" s="113"/>
      <c r="J64" s="113"/>
      <c r="K64" s="113"/>
      <c r="L64" s="113"/>
      <c r="M64" s="113"/>
      <c r="N64" s="113"/>
      <c r="O64" s="113"/>
      <c r="P64" s="113"/>
      <c r="Q64" s="113"/>
      <c r="R64" s="113"/>
      <c r="S64" s="113"/>
      <c r="T64" s="113"/>
      <c r="U64" s="113"/>
      <c r="V64" s="113"/>
      <c r="W64" s="113"/>
      <c r="X64" s="113"/>
      <c r="Y64" s="143" t="str">
        <f>Roster!B84</f>
        <v>U</v>
      </c>
      <c r="Z64" s="143" t="str">
        <f>Roster!C84</f>
        <v>Kati</v>
      </c>
      <c r="AA64" s="144">
        <f ca="1">Roster!D84</f>
        <v>0</v>
      </c>
      <c r="AB64" s="144">
        <f ca="1">Roster!E84</f>
        <v>0</v>
      </c>
      <c r="AC64" s="144">
        <f ca="1">Roster!F84</f>
        <v>0</v>
      </c>
      <c r="AD64" s="144">
        <f ca="1">Roster!G84</f>
        <v>0</v>
      </c>
      <c r="AE64" s="144">
        <f ca="1">Roster!H84</f>
        <v>0</v>
      </c>
    </row>
    <row r="65" spans="24:31" x14ac:dyDescent="0.25">
      <c r="X65" s="112"/>
      <c r="Y65" s="143" t="str">
        <f>Roster!B85</f>
        <v>C</v>
      </c>
      <c r="Z65" s="143" t="str">
        <f>Roster!C85</f>
        <v>K'Bisch</v>
      </c>
      <c r="AA65" s="144">
        <f ca="1">Roster!D85</f>
        <v>0</v>
      </c>
      <c r="AB65" s="144">
        <f ca="1">Roster!E85</f>
        <v>0</v>
      </c>
      <c r="AC65" s="144">
        <f ca="1">Roster!F85</f>
        <v>0</v>
      </c>
      <c r="AD65" s="144">
        <f ca="1">Roster!G85</f>
        <v>0</v>
      </c>
      <c r="AE65" s="144">
        <f ca="1">Roster!H85</f>
        <v>0</v>
      </c>
    </row>
    <row r="66" spans="24:31" x14ac:dyDescent="0.25">
      <c r="X66" s="112"/>
      <c r="Y66" s="143" t="str">
        <f>Roster!B86</f>
        <v>R</v>
      </c>
      <c r="Z66" s="143" t="str">
        <f>Roster!C86</f>
        <v>Keenser</v>
      </c>
      <c r="AA66" s="144">
        <f ca="1">Roster!D86</f>
        <v>0</v>
      </c>
      <c r="AB66" s="144">
        <f ca="1">Roster!E86</f>
        <v>0</v>
      </c>
      <c r="AC66" s="144">
        <f ca="1">Roster!F86</f>
        <v>0</v>
      </c>
      <c r="AD66" s="144">
        <f ca="1">Roster!G86</f>
        <v>0</v>
      </c>
      <c r="AE66" s="144">
        <f ca="1">Roster!H86</f>
        <v>0</v>
      </c>
    </row>
    <row r="67" spans="24:31" x14ac:dyDescent="0.25">
      <c r="X67" s="112"/>
      <c r="Y67" s="143" t="str">
        <f>Roster!B87</f>
        <v>R</v>
      </c>
      <c r="Z67" s="143" t="str">
        <f>Roster!C87</f>
        <v>Kerla</v>
      </c>
      <c r="AA67" s="144">
        <f ca="1">Roster!D87</f>
        <v>0</v>
      </c>
      <c r="AB67" s="144">
        <f ca="1">Roster!E87</f>
        <v>0</v>
      </c>
      <c r="AC67" s="144">
        <f ca="1">Roster!F87</f>
        <v>0</v>
      </c>
      <c r="AD67" s="144">
        <f ca="1">Roster!G87</f>
        <v>0</v>
      </c>
      <c r="AE67" s="144">
        <f ca="1">Roster!H87</f>
        <v>0</v>
      </c>
    </row>
    <row r="68" spans="24:31" x14ac:dyDescent="0.25">
      <c r="X68" s="112"/>
      <c r="Y68" s="143" t="str">
        <f>Roster!B88</f>
        <v>E</v>
      </c>
      <c r="Z68" s="143" t="str">
        <f>Roster!C88</f>
        <v>Khan</v>
      </c>
      <c r="AA68" s="144">
        <f ca="1">Roster!D88</f>
        <v>0</v>
      </c>
      <c r="AB68" s="144">
        <f ca="1">Roster!E88</f>
        <v>0</v>
      </c>
      <c r="AC68" s="144">
        <f ca="1">Roster!F88</f>
        <v>0</v>
      </c>
      <c r="AD68" s="144">
        <f ca="1">Roster!G88</f>
        <v>0</v>
      </c>
      <c r="AE68" s="144">
        <f ca="1">Roster!H88</f>
        <v>0</v>
      </c>
    </row>
    <row r="69" spans="24:31" x14ac:dyDescent="0.25">
      <c r="X69" s="112"/>
      <c r="Y69" s="143" t="str">
        <f>Roster!B89</f>
        <v>E</v>
      </c>
      <c r="Z69" s="143" t="str">
        <f>Roster!C89</f>
        <v>Kirk</v>
      </c>
      <c r="AA69" s="144">
        <f ca="1">Roster!D89</f>
        <v>0</v>
      </c>
      <c r="AB69" s="144">
        <f ca="1">Roster!E89</f>
        <v>0</v>
      </c>
      <c r="AC69" s="144">
        <f ca="1">Roster!F89</f>
        <v>0</v>
      </c>
      <c r="AD69" s="144">
        <f ca="1">Roster!G89</f>
        <v>0</v>
      </c>
      <c r="AE69" s="144">
        <f ca="1">Roster!H89</f>
        <v>0</v>
      </c>
    </row>
    <row r="70" spans="24:31" x14ac:dyDescent="0.25">
      <c r="X70" s="112"/>
      <c r="Y70" s="143" t="str">
        <f>Roster!B90</f>
        <v>U</v>
      </c>
      <c r="Z70" s="143" t="str">
        <f>Roster!C90</f>
        <v>Klaa</v>
      </c>
      <c r="AA70" s="144">
        <f ca="1">Roster!D90</f>
        <v>0</v>
      </c>
      <c r="AB70" s="144">
        <f ca="1">Roster!E90</f>
        <v>0</v>
      </c>
      <c r="AC70" s="144">
        <f ca="1">Roster!F90</f>
        <v>0</v>
      </c>
      <c r="AD70" s="144">
        <f ca="1">Roster!G90</f>
        <v>0</v>
      </c>
      <c r="AE70" s="144">
        <f ca="1">Roster!H90</f>
        <v>0</v>
      </c>
    </row>
    <row r="71" spans="24:31" x14ac:dyDescent="0.25">
      <c r="X71" s="112"/>
      <c r="Y71" s="143" t="str">
        <f>Roster!B91</f>
        <v>C</v>
      </c>
      <c r="Z71" s="143" t="str">
        <f>Roster!C91</f>
        <v>Komal</v>
      </c>
      <c r="AA71" s="144">
        <f ca="1">Roster!D91</f>
        <v>0</v>
      </c>
      <c r="AB71" s="144">
        <f ca="1">Roster!E91</f>
        <v>0</v>
      </c>
      <c r="AC71" s="144">
        <f ca="1">Roster!F91</f>
        <v>0</v>
      </c>
      <c r="AD71" s="144">
        <f ca="1">Roster!G91</f>
        <v>0</v>
      </c>
      <c r="AE71" s="144">
        <f ca="1">Roster!H91</f>
        <v>0</v>
      </c>
    </row>
    <row r="72" spans="24:31" x14ac:dyDescent="0.25">
      <c r="X72" s="112"/>
      <c r="Y72" s="143" t="str">
        <f>Roster!B92</f>
        <v>U</v>
      </c>
      <c r="Z72" s="143" t="str">
        <f>Roster!C92</f>
        <v>Koth</v>
      </c>
      <c r="AA72" s="144">
        <f ca="1">Roster!D92</f>
        <v>0</v>
      </c>
      <c r="AB72" s="144">
        <f ca="1">Roster!E92</f>
        <v>0</v>
      </c>
      <c r="AC72" s="144">
        <f ca="1">Roster!F92</f>
        <v>0</v>
      </c>
      <c r="AD72" s="144">
        <f ca="1">Roster!G92</f>
        <v>0</v>
      </c>
      <c r="AE72" s="144">
        <f ca="1">Roster!H92</f>
        <v>0</v>
      </c>
    </row>
    <row r="73" spans="24:31" x14ac:dyDescent="0.25">
      <c r="X73" s="112"/>
      <c r="Y73" s="143" t="str">
        <f>Roster!B93</f>
        <v>E</v>
      </c>
      <c r="Z73" s="143" t="str">
        <f>Roster!C93</f>
        <v>Kras</v>
      </c>
      <c r="AA73" s="144">
        <f ca="1">Roster!D93</f>
        <v>0</v>
      </c>
      <c r="AB73" s="144">
        <f ca="1">Roster!E93</f>
        <v>0</v>
      </c>
      <c r="AC73" s="144">
        <f ca="1">Roster!F93</f>
        <v>0</v>
      </c>
      <c r="AD73" s="144">
        <f ca="1">Roster!G93</f>
        <v>0</v>
      </c>
      <c r="AE73" s="144">
        <f ca="1">Roster!H93</f>
        <v>0</v>
      </c>
    </row>
    <row r="74" spans="24:31" x14ac:dyDescent="0.25">
      <c r="X74" s="112"/>
      <c r="Y74" s="143" t="str">
        <f>Roster!B94</f>
        <v>R</v>
      </c>
      <c r="Z74" s="143" t="str">
        <f>Roster!C94</f>
        <v>Krell</v>
      </c>
      <c r="AA74" s="144">
        <f ca="1">Roster!D94</f>
        <v>0</v>
      </c>
      <c r="AB74" s="144">
        <f ca="1">Roster!E94</f>
        <v>0</v>
      </c>
      <c r="AC74" s="144">
        <f ca="1">Roster!F94</f>
        <v>0</v>
      </c>
      <c r="AD74" s="144">
        <f ca="1">Roster!G94</f>
        <v>0</v>
      </c>
      <c r="AE74" s="144">
        <f ca="1">Roster!H94</f>
        <v>0</v>
      </c>
    </row>
    <row r="75" spans="24:31" x14ac:dyDescent="0.25">
      <c r="X75" s="112"/>
      <c r="Y75" s="143" t="str">
        <f>Roster!B95</f>
        <v>R</v>
      </c>
      <c r="Z75" s="143" t="str">
        <f>Roster!C95</f>
        <v>Kumak</v>
      </c>
      <c r="AA75" s="144">
        <f ca="1">Roster!D95</f>
        <v>0</v>
      </c>
      <c r="AB75" s="144">
        <f ca="1">Roster!E95</f>
        <v>0</v>
      </c>
      <c r="AC75" s="144">
        <f ca="1">Roster!F95</f>
        <v>0</v>
      </c>
      <c r="AD75" s="144">
        <f ca="1">Roster!G95</f>
        <v>0</v>
      </c>
      <c r="AE75" s="144">
        <f ca="1">Roster!H95</f>
        <v>0</v>
      </c>
    </row>
    <row r="76" spans="24:31" x14ac:dyDescent="0.25">
      <c r="X76" s="112"/>
      <c r="Y76" s="143" t="str">
        <f>Roster!B96</f>
        <v>R</v>
      </c>
      <c r="Z76" s="143" t="str">
        <f>Roster!C96</f>
        <v>Kuron</v>
      </c>
      <c r="AA76" s="144">
        <f ca="1">Roster!D96</f>
        <v>0</v>
      </c>
      <c r="AB76" s="144">
        <f ca="1">Roster!E96</f>
        <v>0</v>
      </c>
      <c r="AC76" s="144">
        <f ca="1">Roster!F96</f>
        <v>0</v>
      </c>
      <c r="AD76" s="144">
        <f ca="1">Roster!G96</f>
        <v>0</v>
      </c>
      <c r="AE76" s="144">
        <f ca="1">Roster!H96</f>
        <v>0</v>
      </c>
    </row>
    <row r="77" spans="24:31" x14ac:dyDescent="0.25">
      <c r="X77" s="112"/>
      <c r="Y77" s="143" t="str">
        <f>Roster!B97</f>
        <v>U</v>
      </c>
      <c r="Z77" s="143" t="str">
        <f>Roster!C97</f>
        <v>Leslie</v>
      </c>
      <c r="AA77" s="144">
        <f ca="1">Roster!D97</f>
        <v>0</v>
      </c>
      <c r="AB77" s="144">
        <f ca="1">Roster!E97</f>
        <v>0</v>
      </c>
      <c r="AC77" s="144">
        <f ca="1">Roster!F97</f>
        <v>0</v>
      </c>
      <c r="AD77" s="144">
        <f ca="1">Roster!G97</f>
        <v>0</v>
      </c>
      <c r="AE77" s="144">
        <f ca="1">Roster!H97</f>
        <v>0</v>
      </c>
    </row>
    <row r="78" spans="24:31" x14ac:dyDescent="0.25">
      <c r="X78" s="112"/>
      <c r="Y78" s="143" t="str">
        <f>Roster!B98</f>
        <v>U</v>
      </c>
      <c r="Z78" s="143" t="str">
        <f>Roster!C98</f>
        <v>Linkasa</v>
      </c>
      <c r="AA78" s="144">
        <f ca="1">Roster!D98</f>
        <v>0</v>
      </c>
      <c r="AB78" s="144">
        <f ca="1">Roster!E98</f>
        <v>0</v>
      </c>
      <c r="AC78" s="144">
        <f ca="1">Roster!F98</f>
        <v>0</v>
      </c>
      <c r="AD78" s="144">
        <f ca="1">Roster!G98</f>
        <v>0</v>
      </c>
      <c r="AE78" s="144">
        <f ca="1">Roster!H98</f>
        <v>0</v>
      </c>
    </row>
    <row r="79" spans="24:31" x14ac:dyDescent="0.25">
      <c r="X79" s="112"/>
      <c r="Y79" s="143" t="str">
        <f>Roster!B99</f>
        <v>R</v>
      </c>
      <c r="Z79" s="143" t="str">
        <f>Roster!C99</f>
        <v>Livis</v>
      </c>
      <c r="AA79" s="144">
        <f ca="1">Roster!D99</f>
        <v>0</v>
      </c>
      <c r="AB79" s="144">
        <f ca="1">Roster!E99</f>
        <v>0</v>
      </c>
      <c r="AC79" s="144">
        <f ca="1">Roster!F99</f>
        <v>0</v>
      </c>
      <c r="AD79" s="144">
        <f ca="1">Roster!G99</f>
        <v>0</v>
      </c>
      <c r="AE79" s="144">
        <f ca="1">Roster!H99</f>
        <v>0</v>
      </c>
    </row>
    <row r="80" spans="24:31" x14ac:dyDescent="0.25">
      <c r="X80" s="112"/>
      <c r="Y80" s="143" t="str">
        <f>Roster!B100</f>
        <v>U</v>
      </c>
      <c r="Z80" s="143" t="str">
        <f>Roster!C100</f>
        <v>L'Nar</v>
      </c>
      <c r="AA80" s="144">
        <f ca="1">Roster!D100</f>
        <v>0</v>
      </c>
      <c r="AB80" s="144">
        <f ca="1">Roster!E100</f>
        <v>0</v>
      </c>
      <c r="AC80" s="144">
        <f ca="1">Roster!F100</f>
        <v>0</v>
      </c>
      <c r="AD80" s="144">
        <f ca="1">Roster!G100</f>
        <v>0</v>
      </c>
      <c r="AE80" s="144">
        <f ca="1">Roster!H100</f>
        <v>0</v>
      </c>
    </row>
    <row r="81" spans="24:31" x14ac:dyDescent="0.25">
      <c r="X81" s="112"/>
      <c r="Y81" s="143" t="str">
        <f>Roster!B101</f>
        <v>E</v>
      </c>
      <c r="Z81" s="143" t="str">
        <f>Roster!C101</f>
        <v>Lorca</v>
      </c>
      <c r="AA81" s="144">
        <f ca="1">Roster!D101</f>
        <v>0</v>
      </c>
      <c r="AB81" s="144">
        <f ca="1">Roster!E101</f>
        <v>0</v>
      </c>
      <c r="AC81" s="144">
        <f ca="1">Roster!F101</f>
        <v>0</v>
      </c>
      <c r="AD81" s="144">
        <f ca="1">Roster!G101</f>
        <v>0</v>
      </c>
      <c r="AE81" s="144">
        <f ca="1">Roster!H101</f>
        <v>0</v>
      </c>
    </row>
    <row r="82" spans="24:31" x14ac:dyDescent="0.25">
      <c r="X82" s="112"/>
      <c r="Y82" s="143" t="str">
        <f>Roster!B102</f>
        <v>U</v>
      </c>
      <c r="Z82" s="143" t="str">
        <f>Roster!C102</f>
        <v>Lursa</v>
      </c>
      <c r="AA82" s="144">
        <f ca="1">Roster!D102</f>
        <v>0</v>
      </c>
      <c r="AB82" s="144">
        <f ca="1">Roster!E102</f>
        <v>0</v>
      </c>
      <c r="AC82" s="144">
        <f ca="1">Roster!F102</f>
        <v>0</v>
      </c>
      <c r="AD82" s="144">
        <f ca="1">Roster!G102</f>
        <v>0</v>
      </c>
      <c r="AE82" s="144">
        <f ca="1">Roster!H102</f>
        <v>0</v>
      </c>
    </row>
    <row r="83" spans="24:31" x14ac:dyDescent="0.25">
      <c r="X83" s="112"/>
      <c r="Y83" s="143" t="str">
        <f>Roster!B103</f>
        <v>U</v>
      </c>
      <c r="Z83" s="143" t="str">
        <f>Roster!C103</f>
        <v>Mäkinen</v>
      </c>
      <c r="AA83" s="144">
        <f ca="1">Roster!D103</f>
        <v>0</v>
      </c>
      <c r="AB83" s="144">
        <f ca="1">Roster!E103</f>
        <v>0</v>
      </c>
      <c r="AC83" s="144">
        <f ca="1">Roster!F103</f>
        <v>0</v>
      </c>
      <c r="AD83" s="144">
        <f ca="1">Roster!G103</f>
        <v>0</v>
      </c>
      <c r="AE83" s="144">
        <f ca="1">Roster!H103</f>
        <v>0</v>
      </c>
    </row>
    <row r="84" spans="24:31" x14ac:dyDescent="0.25">
      <c r="X84" s="112"/>
      <c r="Y84" s="143" t="str">
        <f>Roster!B104</f>
        <v>R</v>
      </c>
      <c r="Z84" s="143" t="str">
        <f>Roster!C104</f>
        <v>Mara</v>
      </c>
      <c r="AA84" s="144">
        <f ca="1">Roster!D104</f>
        <v>0</v>
      </c>
      <c r="AB84" s="144">
        <f ca="1">Roster!E104</f>
        <v>0</v>
      </c>
      <c r="AC84" s="144">
        <f ca="1">Roster!F104</f>
        <v>0</v>
      </c>
      <c r="AD84" s="144">
        <f ca="1">Roster!G104</f>
        <v>0</v>
      </c>
      <c r="AE84" s="144">
        <f ca="1">Roster!H104</f>
        <v>0</v>
      </c>
    </row>
    <row r="85" spans="24:31" x14ac:dyDescent="0.25">
      <c r="X85" s="112"/>
      <c r="Y85" s="143" t="str">
        <f>Roster!B105</f>
        <v>E</v>
      </c>
      <c r="Z85" s="143" t="str">
        <f>Roster!C105</f>
        <v>Marcus</v>
      </c>
      <c r="AA85" s="144">
        <f ca="1">Roster!D105</f>
        <v>0</v>
      </c>
      <c r="AB85" s="144">
        <f ca="1">Roster!E105</f>
        <v>0</v>
      </c>
      <c r="AC85" s="144">
        <f ca="1">Roster!F105</f>
        <v>0</v>
      </c>
      <c r="AD85" s="144">
        <f ca="1">Roster!G105</f>
        <v>0</v>
      </c>
      <c r="AE85" s="144">
        <f ca="1">Roster!H105</f>
        <v>0</v>
      </c>
    </row>
    <row r="86" spans="24:31" x14ac:dyDescent="0.25">
      <c r="X86" s="112"/>
      <c r="Y86" s="143" t="str">
        <f>Roster!B106</f>
        <v>R</v>
      </c>
      <c r="Z86" s="143" t="str">
        <f>Roster!C106</f>
        <v>Marla</v>
      </c>
      <c r="AA86" s="144">
        <f ca="1">Roster!D106</f>
        <v>0</v>
      </c>
      <c r="AB86" s="144">
        <f ca="1">Roster!E106</f>
        <v>0</v>
      </c>
      <c r="AC86" s="144">
        <f ca="1">Roster!F106</f>
        <v>0</v>
      </c>
      <c r="AD86" s="144">
        <f ca="1">Roster!G106</f>
        <v>0</v>
      </c>
      <c r="AE86" s="144">
        <f ca="1">Roster!H106</f>
        <v>0</v>
      </c>
    </row>
    <row r="87" spans="24:31" x14ac:dyDescent="0.25">
      <c r="X87" s="112"/>
      <c r="Y87" s="143" t="str">
        <f>Roster!B107</f>
        <v>R</v>
      </c>
      <c r="Z87" s="143" t="str">
        <f>Roster!C107</f>
        <v>Martok</v>
      </c>
      <c r="AA87" s="144">
        <f ca="1">Roster!D107</f>
        <v>0</v>
      </c>
      <c r="AB87" s="144">
        <f ca="1">Roster!E107</f>
        <v>0</v>
      </c>
      <c r="AC87" s="144">
        <f ca="1">Roster!F107</f>
        <v>0</v>
      </c>
      <c r="AD87" s="144">
        <f ca="1">Roster!G107</f>
        <v>0</v>
      </c>
      <c r="AE87" s="144">
        <f ca="1">Roster!H107</f>
        <v>0</v>
      </c>
    </row>
    <row r="88" spans="24:31" x14ac:dyDescent="0.25">
      <c r="X88" s="112"/>
      <c r="Y88" s="143" t="str">
        <f>Roster!B108</f>
        <v>C</v>
      </c>
      <c r="Z88" s="143" t="str">
        <f>Roster!C108</f>
        <v>M'Benga</v>
      </c>
      <c r="AA88" s="144">
        <f ca="1">Roster!D108</f>
        <v>0</v>
      </c>
      <c r="AB88" s="144">
        <f ca="1">Roster!E108</f>
        <v>0</v>
      </c>
      <c r="AC88" s="144">
        <f ca="1">Roster!F108</f>
        <v>0</v>
      </c>
      <c r="AD88" s="144">
        <f ca="1">Roster!G108</f>
        <v>0</v>
      </c>
      <c r="AE88" s="144">
        <f ca="1">Roster!H108</f>
        <v>0</v>
      </c>
    </row>
    <row r="89" spans="24:31" x14ac:dyDescent="0.25">
      <c r="X89" s="112"/>
      <c r="Y89" s="143" t="str">
        <f>Roster!B109</f>
        <v>E</v>
      </c>
      <c r="Z89" s="143" t="str">
        <f>Roster!C109</f>
        <v>Michael Burnham</v>
      </c>
      <c r="AA89" s="144">
        <f ca="1">Roster!D109</f>
        <v>0</v>
      </c>
      <c r="AB89" s="144">
        <f ca="1">Roster!E109</f>
        <v>0</v>
      </c>
      <c r="AC89" s="144">
        <f ca="1">Roster!F109</f>
        <v>0</v>
      </c>
      <c r="AD89" s="144">
        <f ca="1">Roster!G109</f>
        <v>0</v>
      </c>
      <c r="AE89" s="144">
        <f ca="1">Roster!H109</f>
        <v>0</v>
      </c>
    </row>
    <row r="90" spans="24:31" x14ac:dyDescent="0.25">
      <c r="X90" s="112"/>
      <c r="Y90" s="143" t="str">
        <f>Roster!B110</f>
        <v>R</v>
      </c>
      <c r="Z90" s="143" t="str">
        <f>Roster!C110</f>
        <v>Mirek</v>
      </c>
      <c r="AA90" s="144">
        <f ca="1">Roster!D110</f>
        <v>0</v>
      </c>
      <c r="AB90" s="144">
        <f ca="1">Roster!E110</f>
        <v>0</v>
      </c>
      <c r="AC90" s="144">
        <f ca="1">Roster!F110</f>
        <v>0</v>
      </c>
      <c r="AD90" s="144">
        <f ca="1">Roster!G110</f>
        <v>0</v>
      </c>
      <c r="AE90" s="144">
        <f ca="1">Roster!H110</f>
        <v>0</v>
      </c>
    </row>
    <row r="91" spans="24:31" x14ac:dyDescent="0.25">
      <c r="X91" s="112"/>
      <c r="Y91" s="143" t="str">
        <f>Roster!B111</f>
        <v>E</v>
      </c>
      <c r="Z91" s="143" t="str">
        <f>Roster!C111</f>
        <v>Mitchell</v>
      </c>
      <c r="AA91" s="144">
        <f ca="1">Roster!D111</f>
        <v>0</v>
      </c>
      <c r="AB91" s="144">
        <f ca="1">Roster!E111</f>
        <v>0</v>
      </c>
      <c r="AC91" s="144">
        <f ca="1">Roster!F111</f>
        <v>0</v>
      </c>
      <c r="AD91" s="144">
        <f ca="1">Roster!G111</f>
        <v>0</v>
      </c>
      <c r="AE91" s="144">
        <f ca="1">Roster!H111</f>
        <v>0</v>
      </c>
    </row>
    <row r="92" spans="24:31" x14ac:dyDescent="0.25">
      <c r="X92" s="112"/>
      <c r="Y92" s="143" t="str">
        <f>Roster!B112</f>
        <v>R</v>
      </c>
      <c r="Z92" s="143" t="str">
        <f>Roster!C112</f>
        <v>Moreau</v>
      </c>
      <c r="AA92" s="144">
        <f ca="1">Roster!D112</f>
        <v>0</v>
      </c>
      <c r="AB92" s="144">
        <f ca="1">Roster!E112</f>
        <v>0</v>
      </c>
      <c r="AC92" s="144">
        <f ca="1">Roster!F112</f>
        <v>0</v>
      </c>
      <c r="AD92" s="144">
        <f ca="1">Roster!G112</f>
        <v>0</v>
      </c>
      <c r="AE92" s="144">
        <f ca="1">Roster!H112</f>
        <v>0</v>
      </c>
    </row>
    <row r="93" spans="24:31" x14ac:dyDescent="0.25">
      <c r="X93" s="112"/>
      <c r="Y93" s="143" t="str">
        <f>Roster!B113</f>
        <v>U</v>
      </c>
      <c r="Z93" s="143" t="str">
        <f>Roster!C113</f>
        <v>M'Ral</v>
      </c>
      <c r="AA93" s="144">
        <f ca="1">Roster!D113</f>
        <v>0</v>
      </c>
      <c r="AB93" s="144">
        <f ca="1">Roster!E113</f>
        <v>0</v>
      </c>
      <c r="AC93" s="144">
        <f ca="1">Roster!F113</f>
        <v>0</v>
      </c>
      <c r="AD93" s="144">
        <f ca="1">Roster!G113</f>
        <v>0</v>
      </c>
      <c r="AE93" s="144">
        <f ca="1">Roster!H113</f>
        <v>0</v>
      </c>
    </row>
    <row r="94" spans="24:31" x14ac:dyDescent="0.25">
      <c r="X94" s="112"/>
      <c r="Y94" s="143" t="str">
        <f>Roster!B114</f>
        <v>E</v>
      </c>
      <c r="Z94" s="143" t="str">
        <f>Roster!C114</f>
        <v>Mudd</v>
      </c>
      <c r="AA94" s="144">
        <f ca="1">Roster!D114</f>
        <v>0</v>
      </c>
      <c r="AB94" s="144">
        <f ca="1">Roster!E114</f>
        <v>0</v>
      </c>
      <c r="AC94" s="144">
        <f ca="1">Roster!F114</f>
        <v>0</v>
      </c>
      <c r="AD94" s="144">
        <f ca="1">Roster!G114</f>
        <v>0</v>
      </c>
      <c r="AE94" s="144">
        <f ca="1">Roster!H114</f>
        <v>0</v>
      </c>
    </row>
    <row r="95" spans="24:31" x14ac:dyDescent="0.25">
      <c r="X95" s="112"/>
      <c r="Y95" s="143" t="str">
        <f>Roster!B115</f>
        <v>R</v>
      </c>
      <c r="Z95" s="143" t="str">
        <f>Roster!C115</f>
        <v>Navi</v>
      </c>
      <c r="AA95" s="144">
        <f ca="1">Roster!D115</f>
        <v>0</v>
      </c>
      <c r="AB95" s="144">
        <f ca="1">Roster!E115</f>
        <v>0</v>
      </c>
      <c r="AC95" s="144">
        <f ca="1">Roster!F115</f>
        <v>0</v>
      </c>
      <c r="AD95" s="144">
        <f ca="1">Roster!G115</f>
        <v>0</v>
      </c>
      <c r="AE95" s="144">
        <f ca="1">Roster!H115</f>
        <v>0</v>
      </c>
    </row>
    <row r="96" spans="24:31" x14ac:dyDescent="0.25">
      <c r="X96" s="112"/>
      <c r="Y96" s="143" t="str">
        <f>Roster!B116</f>
        <v>E</v>
      </c>
      <c r="Z96" s="143" t="str">
        <f>Roster!C116</f>
        <v>Nero</v>
      </c>
      <c r="AA96" s="144">
        <f ca="1">Roster!D116</f>
        <v>0</v>
      </c>
      <c r="AB96" s="144">
        <f ca="1">Roster!E116</f>
        <v>0</v>
      </c>
      <c r="AC96" s="144">
        <f ca="1">Roster!F116</f>
        <v>0</v>
      </c>
      <c r="AD96" s="144">
        <f ca="1">Roster!G116</f>
        <v>0</v>
      </c>
      <c r="AE96" s="144">
        <f ca="1">Roster!H116</f>
        <v>0</v>
      </c>
    </row>
    <row r="97" spans="24:31" x14ac:dyDescent="0.25">
      <c r="X97" s="112"/>
      <c r="Y97" s="143" t="str">
        <f>Roster!B117</f>
        <v>C</v>
      </c>
      <c r="Z97" s="143" t="str">
        <f>Roster!C117</f>
        <v>Next Gen Crusher</v>
      </c>
      <c r="AA97" s="144">
        <f ca="1">Roster!D117</f>
        <v>0</v>
      </c>
      <c r="AB97" s="144">
        <f ca="1">Roster!E117</f>
        <v>0</v>
      </c>
      <c r="AC97" s="144">
        <f ca="1">Roster!F117</f>
        <v>0</v>
      </c>
      <c r="AD97" s="144">
        <f ca="1">Roster!G117</f>
        <v>0</v>
      </c>
      <c r="AE97" s="144">
        <f ca="1">Roster!H117</f>
        <v>0</v>
      </c>
    </row>
    <row r="98" spans="24:31" x14ac:dyDescent="0.25">
      <c r="X98" s="112"/>
      <c r="Y98" s="143" t="str">
        <f>Roster!B118</f>
        <v>C</v>
      </c>
      <c r="Z98" s="143" t="str">
        <f>Roster!C118</f>
        <v>Next Gen Data</v>
      </c>
      <c r="AA98" s="144">
        <f ca="1">Roster!D118</f>
        <v>0</v>
      </c>
      <c r="AB98" s="144">
        <f ca="1">Roster!E118</f>
        <v>0</v>
      </c>
      <c r="AC98" s="144">
        <f ca="1">Roster!F118</f>
        <v>0</v>
      </c>
      <c r="AD98" s="144">
        <f ca="1">Roster!G118</f>
        <v>0</v>
      </c>
      <c r="AE98" s="144">
        <f ca="1">Roster!H118</f>
        <v>0</v>
      </c>
    </row>
    <row r="99" spans="24:31" x14ac:dyDescent="0.25">
      <c r="X99" s="112"/>
      <c r="Y99" s="143" t="str">
        <f>Roster!B119</f>
        <v>C</v>
      </c>
      <c r="Z99" s="143" t="str">
        <f>Roster!C119</f>
        <v>Next Gen La Forge</v>
      </c>
      <c r="AA99" s="144">
        <f ca="1">Roster!D119</f>
        <v>0</v>
      </c>
      <c r="AB99" s="144">
        <f ca="1">Roster!E119</f>
        <v>0</v>
      </c>
      <c r="AC99" s="144">
        <f ca="1">Roster!F119</f>
        <v>0</v>
      </c>
      <c r="AD99" s="144">
        <f ca="1">Roster!G119</f>
        <v>0</v>
      </c>
      <c r="AE99" s="144">
        <f ca="1">Roster!H119</f>
        <v>0</v>
      </c>
    </row>
    <row r="100" spans="24:31" x14ac:dyDescent="0.25">
      <c r="X100" s="112"/>
      <c r="Y100" s="143" t="str">
        <f>Roster!B120</f>
        <v>C</v>
      </c>
      <c r="Z100" s="143" t="str">
        <f>Roster!C120</f>
        <v>Next Gen Riker</v>
      </c>
      <c r="AA100" s="144">
        <f ca="1">Roster!D120</f>
        <v>0</v>
      </c>
      <c r="AB100" s="144">
        <f ca="1">Roster!E120</f>
        <v>0</v>
      </c>
      <c r="AC100" s="144">
        <f ca="1">Roster!F120</f>
        <v>0</v>
      </c>
      <c r="AD100" s="144">
        <f ca="1">Roster!G120</f>
        <v>0</v>
      </c>
      <c r="AE100" s="144">
        <f ca="1">Roster!H120</f>
        <v>0</v>
      </c>
    </row>
    <row r="101" spans="24:31" x14ac:dyDescent="0.25">
      <c r="X101" s="112"/>
      <c r="Y101" s="143" t="str">
        <f>Roster!B121</f>
        <v>C</v>
      </c>
      <c r="Z101" s="143" t="str">
        <f>Roster!C121</f>
        <v>Next Gen Troi</v>
      </c>
      <c r="AA101" s="144">
        <f ca="1">Roster!D121</f>
        <v>0</v>
      </c>
      <c r="AB101" s="144">
        <f ca="1">Roster!E121</f>
        <v>0</v>
      </c>
      <c r="AC101" s="144">
        <f ca="1">Roster!F121</f>
        <v>0</v>
      </c>
      <c r="AD101" s="144">
        <f ca="1">Roster!G121</f>
        <v>0</v>
      </c>
      <c r="AE101" s="144">
        <f ca="1">Roster!H121</f>
        <v>0</v>
      </c>
    </row>
    <row r="102" spans="24:31" x14ac:dyDescent="0.25">
      <c r="X102" s="112"/>
      <c r="Y102" s="143" t="str">
        <f>Roster!B122</f>
        <v>U</v>
      </c>
      <c r="Z102" s="143" t="str">
        <f>Roster!C122</f>
        <v>Nine Of Eleven</v>
      </c>
      <c r="AA102" s="144">
        <f ca="1">Roster!D122</f>
        <v>0</v>
      </c>
      <c r="AB102" s="144">
        <f ca="1">Roster!E122</f>
        <v>0</v>
      </c>
      <c r="AC102" s="144">
        <f ca="1">Roster!F122</f>
        <v>0</v>
      </c>
      <c r="AD102" s="144">
        <f ca="1">Roster!G122</f>
        <v>0</v>
      </c>
      <c r="AE102" s="144">
        <f ca="1">Roster!H122</f>
        <v>0</v>
      </c>
    </row>
    <row r="103" spans="24:31" x14ac:dyDescent="0.25">
      <c r="X103" s="112"/>
      <c r="Y103" s="143" t="str">
        <f>Roster!B123</f>
        <v>R</v>
      </c>
      <c r="Z103" s="143" t="str">
        <f>Roster!C123</f>
        <v>One Of Eleven</v>
      </c>
      <c r="AA103" s="144">
        <f ca="1">Roster!D123</f>
        <v>0</v>
      </c>
      <c r="AB103" s="144">
        <f ca="1">Roster!E123</f>
        <v>0</v>
      </c>
      <c r="AC103" s="144">
        <f ca="1">Roster!F123</f>
        <v>0</v>
      </c>
      <c r="AD103" s="144">
        <f ca="1">Roster!G123</f>
        <v>0</v>
      </c>
      <c r="AE103" s="144">
        <f ca="1">Roster!H123</f>
        <v>0</v>
      </c>
    </row>
    <row r="104" spans="24:31" x14ac:dyDescent="0.25">
      <c r="X104" s="112"/>
      <c r="Y104" s="143" t="str">
        <f>Roster!B124</f>
        <v>U</v>
      </c>
      <c r="Z104" s="143" t="str">
        <f>Roster!C124</f>
        <v>Origins Burnham</v>
      </c>
      <c r="AA104" s="144">
        <f ca="1">Roster!D124</f>
        <v>0</v>
      </c>
      <c r="AB104" s="144">
        <f ca="1">Roster!E124</f>
        <v>0</v>
      </c>
      <c r="AC104" s="144">
        <f ca="1">Roster!F124</f>
        <v>0</v>
      </c>
      <c r="AD104" s="144">
        <f ca="1">Roster!G124</f>
        <v>0</v>
      </c>
      <c r="AE104" s="144">
        <f ca="1">Roster!H124</f>
        <v>0</v>
      </c>
    </row>
    <row r="105" spans="24:31" x14ac:dyDescent="0.25">
      <c r="X105" s="112"/>
      <c r="Y105" s="143" t="str">
        <f>Roster!B125</f>
        <v>C</v>
      </c>
      <c r="Z105" s="143" t="str">
        <f>Roster!C125</f>
        <v>Origins Saru</v>
      </c>
      <c r="AA105" s="144">
        <f ca="1">Roster!D125</f>
        <v>0</v>
      </c>
      <c r="AB105" s="144">
        <f ca="1">Roster!E125</f>
        <v>0</v>
      </c>
      <c r="AC105" s="144">
        <f ca="1">Roster!F125</f>
        <v>0</v>
      </c>
      <c r="AD105" s="144">
        <f ca="1">Roster!G125</f>
        <v>0</v>
      </c>
      <c r="AE105" s="144">
        <f ca="1">Roster!H125</f>
        <v>0</v>
      </c>
    </row>
    <row r="106" spans="24:31" x14ac:dyDescent="0.25">
      <c r="X106" s="112"/>
      <c r="Y106" s="143" t="str">
        <f>Roster!B126</f>
        <v>C</v>
      </c>
      <c r="Z106" s="143" t="str">
        <f>Roster!C126</f>
        <v>Origins Stamets</v>
      </c>
      <c r="AA106" s="144">
        <f ca="1">Roster!D126</f>
        <v>0</v>
      </c>
      <c r="AB106" s="144">
        <f ca="1">Roster!E126</f>
        <v>0</v>
      </c>
      <c r="AC106" s="144">
        <f ca="1">Roster!F126</f>
        <v>0</v>
      </c>
      <c r="AD106" s="144">
        <f ca="1">Roster!G126</f>
        <v>0</v>
      </c>
      <c r="AE106" s="144">
        <f ca="1">Roster!H126</f>
        <v>0</v>
      </c>
    </row>
    <row r="107" spans="24:31" x14ac:dyDescent="0.25">
      <c r="X107" s="112"/>
      <c r="Y107" s="143" t="str">
        <f>Roster!B127</f>
        <v>U</v>
      </c>
      <c r="Z107" s="143" t="str">
        <f>Roster!C127</f>
        <v>Otto</v>
      </c>
      <c r="AA107" s="144">
        <f ca="1">Roster!D127</f>
        <v>0</v>
      </c>
      <c r="AB107" s="144">
        <f ca="1">Roster!E127</f>
        <v>0</v>
      </c>
      <c r="AC107" s="144">
        <f ca="1">Roster!F127</f>
        <v>0</v>
      </c>
      <c r="AD107" s="144">
        <f ca="1">Roster!G127</f>
        <v>0</v>
      </c>
      <c r="AE107" s="144">
        <f ca="1">Roster!H127</f>
        <v>0</v>
      </c>
    </row>
    <row r="108" spans="24:31" x14ac:dyDescent="0.25">
      <c r="X108" s="112"/>
      <c r="Y108" s="143" t="str">
        <f>Roster!B128</f>
        <v>R</v>
      </c>
      <c r="Z108" s="143" t="str">
        <f>Roster!C128</f>
        <v>Pan</v>
      </c>
      <c r="AA108" s="144">
        <f ca="1">Roster!D128</f>
        <v>0</v>
      </c>
      <c r="AB108" s="144">
        <f ca="1">Roster!E128</f>
        <v>0</v>
      </c>
      <c r="AC108" s="144">
        <f ca="1">Roster!F128</f>
        <v>0</v>
      </c>
      <c r="AD108" s="144">
        <f ca="1">Roster!G128</f>
        <v>0</v>
      </c>
      <c r="AE108" s="144">
        <f ca="1">Roster!H128</f>
        <v>0</v>
      </c>
    </row>
    <row r="109" spans="24:31" x14ac:dyDescent="0.25">
      <c r="X109" s="112"/>
      <c r="Y109" s="143" t="str">
        <f>Roster!B129</f>
        <v>R</v>
      </c>
      <c r="Z109" s="143" t="str">
        <f>Roster!C129</f>
        <v>Paul Stamets</v>
      </c>
      <c r="AA109" s="144">
        <f ca="1">Roster!D129</f>
        <v>0</v>
      </c>
      <c r="AB109" s="144">
        <f ca="1">Roster!E129</f>
        <v>0</v>
      </c>
      <c r="AC109" s="144">
        <f ca="1">Roster!F129</f>
        <v>0</v>
      </c>
      <c r="AD109" s="144">
        <f ca="1">Roster!G129</f>
        <v>0</v>
      </c>
      <c r="AE109" s="144">
        <f ca="1">Roster!H129</f>
        <v>0</v>
      </c>
    </row>
    <row r="110" spans="24:31" x14ac:dyDescent="0.25">
      <c r="X110" s="112"/>
      <c r="Y110" s="143" t="str">
        <f>Roster!B130</f>
        <v>E</v>
      </c>
      <c r="Z110" s="143" t="str">
        <f>Roster!C130</f>
        <v>Pike</v>
      </c>
      <c r="AA110" s="144">
        <f ca="1">Roster!D130</f>
        <v>0</v>
      </c>
      <c r="AB110" s="144">
        <f ca="1">Roster!E130</f>
        <v>0</v>
      </c>
      <c r="AC110" s="144">
        <f ca="1">Roster!F130</f>
        <v>0</v>
      </c>
      <c r="AD110" s="144">
        <f ca="1">Roster!G130</f>
        <v>0</v>
      </c>
      <c r="AE110" s="144">
        <f ca="1">Roster!H130</f>
        <v>0</v>
      </c>
    </row>
    <row r="111" spans="24:31" x14ac:dyDescent="0.25">
      <c r="X111" s="112"/>
      <c r="Y111" s="143" t="str">
        <f>Roster!B131</f>
        <v>U</v>
      </c>
      <c r="Z111" s="143" t="str">
        <f>Roster!C131</f>
        <v>Qa'Ug</v>
      </c>
      <c r="AA111" s="144">
        <f ca="1">Roster!D131</f>
        <v>0</v>
      </c>
      <c r="AB111" s="144">
        <f ca="1">Roster!E131</f>
        <v>0</v>
      </c>
      <c r="AC111" s="144">
        <f ca="1">Roster!F131</f>
        <v>0</v>
      </c>
      <c r="AD111" s="144">
        <f ca="1">Roster!G131</f>
        <v>0</v>
      </c>
      <c r="AE111" s="144">
        <f ca="1">Roster!H131</f>
        <v>0</v>
      </c>
    </row>
    <row r="112" spans="24:31" x14ac:dyDescent="0.25">
      <c r="X112" s="112"/>
      <c r="Y112" s="143" t="str">
        <f>Roster!B132</f>
        <v>E</v>
      </c>
      <c r="Z112" s="143" t="str">
        <f>Roster!C132</f>
        <v>Quark</v>
      </c>
      <c r="AA112" s="144">
        <f ca="1">Roster!D132</f>
        <v>0</v>
      </c>
      <c r="AB112" s="144">
        <f ca="1">Roster!E132</f>
        <v>0</v>
      </c>
      <c r="AC112" s="144">
        <f ca="1">Roster!F132</f>
        <v>0</v>
      </c>
      <c r="AD112" s="144">
        <f ca="1">Roster!G132</f>
        <v>0</v>
      </c>
      <c r="AE112" s="144">
        <f ca="1">Roster!H132</f>
        <v>0</v>
      </c>
    </row>
    <row r="113" spans="24:31" x14ac:dyDescent="0.25">
      <c r="X113" s="112"/>
      <c r="Y113" s="143" t="str">
        <f>Roster!B133</f>
        <v>R</v>
      </c>
      <c r="Z113" s="143" t="str">
        <f>Roster!C133</f>
        <v>Rima</v>
      </c>
      <c r="AA113" s="144">
        <f ca="1">Roster!D133</f>
        <v>0</v>
      </c>
      <c r="AB113" s="144">
        <f ca="1">Roster!E133</f>
        <v>0</v>
      </c>
      <c r="AC113" s="144">
        <f ca="1">Roster!F133</f>
        <v>0</v>
      </c>
      <c r="AD113" s="144">
        <f ca="1">Roster!G133</f>
        <v>0</v>
      </c>
      <c r="AE113" s="144">
        <f ca="1">Roster!H133</f>
        <v>0</v>
      </c>
    </row>
    <row r="114" spans="24:31" x14ac:dyDescent="0.25">
      <c r="X114" s="112"/>
      <c r="Y114" s="143" t="str">
        <f>Roster!B134</f>
        <v>R</v>
      </c>
      <c r="Z114" s="143" t="str">
        <f>Roster!C134</f>
        <v>Ro Mudd</v>
      </c>
      <c r="AA114" s="144">
        <f ca="1">Roster!D134</f>
        <v>0</v>
      </c>
      <c r="AB114" s="144">
        <f ca="1">Roster!E134</f>
        <v>0</v>
      </c>
      <c r="AC114" s="144">
        <f ca="1">Roster!F134</f>
        <v>0</v>
      </c>
      <c r="AD114" s="144">
        <f ca="1">Roster!G134</f>
        <v>0</v>
      </c>
      <c r="AE114" s="144">
        <f ca="1">Roster!H134</f>
        <v>0</v>
      </c>
    </row>
    <row r="115" spans="24:31" x14ac:dyDescent="0.25">
      <c r="X115" s="112"/>
      <c r="Y115" s="143" t="str">
        <f>Roster!B135</f>
        <v>E</v>
      </c>
      <c r="Z115" s="143" t="str">
        <f>Roster!C135</f>
        <v>Rom</v>
      </c>
      <c r="AA115" s="144">
        <f ca="1">Roster!D135</f>
        <v>0</v>
      </c>
      <c r="AB115" s="144">
        <f ca="1">Roster!E135</f>
        <v>0</v>
      </c>
      <c r="AC115" s="144">
        <f ca="1">Roster!F135</f>
        <v>0</v>
      </c>
      <c r="AD115" s="144">
        <f ca="1">Roster!G135</f>
        <v>0</v>
      </c>
      <c r="AE115" s="144">
        <f ca="1">Roster!H135</f>
        <v>0</v>
      </c>
    </row>
    <row r="116" spans="24:31" x14ac:dyDescent="0.25">
      <c r="X116" s="112"/>
      <c r="Y116" s="143" t="str">
        <f>Roster!B136</f>
        <v>C</v>
      </c>
      <c r="Z116" s="143" t="str">
        <f>Roster!C136</f>
        <v>Rukor</v>
      </c>
      <c r="AA116" s="144">
        <f ca="1">Roster!D136</f>
        <v>0</v>
      </c>
      <c r="AB116" s="144">
        <f ca="1">Roster!E136</f>
        <v>0</v>
      </c>
      <c r="AC116" s="144">
        <f ca="1">Roster!F136</f>
        <v>0</v>
      </c>
      <c r="AD116" s="144">
        <f ca="1">Roster!G136</f>
        <v>0</v>
      </c>
      <c r="AE116" s="144">
        <f ca="1">Roster!H136</f>
        <v>0</v>
      </c>
    </row>
    <row r="117" spans="24:31" x14ac:dyDescent="0.25">
      <c r="X117" s="112"/>
      <c r="Y117" s="143" t="str">
        <f>Roster!B137</f>
        <v>R</v>
      </c>
      <c r="Z117" s="143" t="str">
        <f>Roster!C137</f>
        <v>Saru</v>
      </c>
      <c r="AA117" s="144">
        <f ca="1">Roster!D137</f>
        <v>0</v>
      </c>
      <c r="AB117" s="144">
        <f ca="1">Roster!E137</f>
        <v>0</v>
      </c>
      <c r="AC117" s="144">
        <f ca="1">Roster!F137</f>
        <v>0</v>
      </c>
      <c r="AD117" s="144">
        <f ca="1">Roster!G137</f>
        <v>0</v>
      </c>
      <c r="AE117" s="144">
        <f ca="1">Roster!H137</f>
        <v>0</v>
      </c>
    </row>
    <row r="118" spans="24:31" x14ac:dyDescent="0.25">
      <c r="X118" s="112"/>
      <c r="Y118" s="143" t="str">
        <f>Roster!B138</f>
        <v>U</v>
      </c>
      <c r="Z118" s="143" t="str">
        <f>Roster!C138</f>
        <v>Scotty</v>
      </c>
      <c r="AA118" s="144">
        <f ca="1">Roster!D138</f>
        <v>0</v>
      </c>
      <c r="AB118" s="144">
        <f ca="1">Roster!E138</f>
        <v>0</v>
      </c>
      <c r="AC118" s="144">
        <f ca="1">Roster!F138</f>
        <v>0</v>
      </c>
      <c r="AD118" s="144">
        <f ca="1">Roster!G138</f>
        <v>0</v>
      </c>
      <c r="AE118" s="144">
        <f ca="1">Roster!H138</f>
        <v>0</v>
      </c>
    </row>
    <row r="119" spans="24:31" x14ac:dyDescent="0.25">
      <c r="X119" s="112"/>
      <c r="Y119" s="143" t="str">
        <f>Roster!B139</f>
        <v>E</v>
      </c>
      <c r="Z119" s="143" t="str">
        <f>Roster!C139</f>
        <v>Sela</v>
      </c>
      <c r="AA119" s="144">
        <f ca="1">Roster!D139</f>
        <v>0</v>
      </c>
      <c r="AB119" s="144">
        <f ca="1">Roster!E139</f>
        <v>0</v>
      </c>
      <c r="AC119" s="144">
        <f ca="1">Roster!F139</f>
        <v>0</v>
      </c>
      <c r="AD119" s="144">
        <f ca="1">Roster!G139</f>
        <v>0</v>
      </c>
      <c r="AE119" s="144">
        <f ca="1">Roster!H139</f>
        <v>0</v>
      </c>
    </row>
    <row r="120" spans="24:31" x14ac:dyDescent="0.25">
      <c r="X120" s="112"/>
      <c r="Y120" s="143" t="str">
        <f>Roster!B140</f>
        <v>C</v>
      </c>
      <c r="Z120" s="143" t="str">
        <f>Roster!C140</f>
        <v>Sesha</v>
      </c>
      <c r="AA120" s="144">
        <f ca="1">Roster!D140</f>
        <v>0</v>
      </c>
      <c r="AB120" s="144">
        <f ca="1">Roster!E140</f>
        <v>0</v>
      </c>
      <c r="AC120" s="144">
        <f ca="1">Roster!F140</f>
        <v>0</v>
      </c>
      <c r="AD120" s="144">
        <f ca="1">Roster!G140</f>
        <v>0</v>
      </c>
      <c r="AE120" s="144">
        <f ca="1">Roster!H140</f>
        <v>0</v>
      </c>
    </row>
    <row r="121" spans="24:31" x14ac:dyDescent="0.25">
      <c r="X121" s="112"/>
      <c r="Y121" s="143" t="str">
        <f>Roster!B141</f>
        <v>R</v>
      </c>
      <c r="Z121" s="143" t="str">
        <f>Roster!C141</f>
        <v>Seven Of Eleven</v>
      </c>
      <c r="AA121" s="144">
        <f ca="1">Roster!D141</f>
        <v>0</v>
      </c>
      <c r="AB121" s="144">
        <f ca="1">Roster!E141</f>
        <v>0</v>
      </c>
      <c r="AC121" s="144">
        <f ca="1">Roster!F141</f>
        <v>0</v>
      </c>
      <c r="AD121" s="144">
        <f ca="1">Roster!G141</f>
        <v>0</v>
      </c>
      <c r="AE121" s="144">
        <f ca="1">Roster!H141</f>
        <v>0</v>
      </c>
    </row>
    <row r="122" spans="24:31" x14ac:dyDescent="0.25">
      <c r="X122" s="112"/>
      <c r="Y122" s="143" t="str">
        <f>Roster!B142</f>
        <v>U</v>
      </c>
      <c r="Z122" s="143" t="str">
        <f>Roster!C142</f>
        <v>Severus</v>
      </c>
      <c r="AA122" s="144">
        <f ca="1">Roster!D142</f>
        <v>0</v>
      </c>
      <c r="AB122" s="144">
        <f ca="1">Roster!E142</f>
        <v>0</v>
      </c>
      <c r="AC122" s="144">
        <f ca="1">Roster!F142</f>
        <v>0</v>
      </c>
      <c r="AD122" s="144">
        <f ca="1">Roster!G142</f>
        <v>0</v>
      </c>
      <c r="AE122" s="144">
        <f ca="1">Roster!H142</f>
        <v>0</v>
      </c>
    </row>
    <row r="123" spans="24:31" x14ac:dyDescent="0.25">
      <c r="X123" s="112"/>
      <c r="Y123" s="143" t="str">
        <f>Roster!B143</f>
        <v>C</v>
      </c>
      <c r="Z123" s="143" t="str">
        <f>Roster!C143</f>
        <v>Shev</v>
      </c>
      <c r="AA123" s="144">
        <f ca="1">Roster!D143</f>
        <v>0</v>
      </c>
      <c r="AB123" s="144">
        <f ca="1">Roster!E143</f>
        <v>0</v>
      </c>
      <c r="AC123" s="144">
        <f ca="1">Roster!F143</f>
        <v>0</v>
      </c>
      <c r="AD123" s="144">
        <f ca="1">Roster!G143</f>
        <v>0</v>
      </c>
      <c r="AE123" s="144">
        <f ca="1">Roster!H143</f>
        <v>0</v>
      </c>
    </row>
    <row r="124" spans="24:31" x14ac:dyDescent="0.25">
      <c r="X124" s="112"/>
      <c r="Y124" s="143" t="str">
        <f>Roster!B144</f>
        <v>E</v>
      </c>
      <c r="Z124" s="143" t="str">
        <f>Roster!C144</f>
        <v>Six Of Eleven</v>
      </c>
      <c r="AA124" s="144">
        <f ca="1">Roster!D144</f>
        <v>0</v>
      </c>
      <c r="AB124" s="144">
        <f ca="1">Roster!E144</f>
        <v>0</v>
      </c>
      <c r="AC124" s="144">
        <f ca="1">Roster!F144</f>
        <v>0</v>
      </c>
      <c r="AD124" s="144">
        <f ca="1">Roster!G144</f>
        <v>0</v>
      </c>
      <c r="AE124" s="144">
        <f ca="1">Roster!H144</f>
        <v>0</v>
      </c>
    </row>
    <row r="125" spans="24:31" x14ac:dyDescent="0.25">
      <c r="X125" s="112"/>
      <c r="Y125" s="143" t="str">
        <f>Roster!B145</f>
        <v>R</v>
      </c>
      <c r="Z125" s="143" t="str">
        <f>Roster!C145</f>
        <v>Spock</v>
      </c>
      <c r="AA125" s="144">
        <f ca="1">Roster!D145</f>
        <v>0</v>
      </c>
      <c r="AB125" s="144">
        <f ca="1">Roster!E145</f>
        <v>0</v>
      </c>
      <c r="AC125" s="144">
        <f ca="1">Roster!F145</f>
        <v>0</v>
      </c>
      <c r="AD125" s="144">
        <f ca="1">Roster!G145</f>
        <v>0</v>
      </c>
      <c r="AE125" s="144">
        <f ca="1">Roster!H145</f>
        <v>0</v>
      </c>
    </row>
    <row r="126" spans="24:31" x14ac:dyDescent="0.25">
      <c r="X126" s="112"/>
      <c r="Y126" s="143" t="str">
        <f>Roster!B146</f>
        <v>R</v>
      </c>
      <c r="Z126" s="143" t="str">
        <f>Roster!C146</f>
        <v>Stonn</v>
      </c>
      <c r="AA126" s="144">
        <f ca="1">Roster!D146</f>
        <v>0</v>
      </c>
      <c r="AB126" s="144">
        <f ca="1">Roster!E146</f>
        <v>0</v>
      </c>
      <c r="AC126" s="144">
        <f ca="1">Roster!F146</f>
        <v>0</v>
      </c>
      <c r="AD126" s="144">
        <f ca="1">Roster!G146</f>
        <v>0</v>
      </c>
      <c r="AE126" s="144">
        <f ca="1">Roster!H146</f>
        <v>0</v>
      </c>
    </row>
    <row r="127" spans="24:31" x14ac:dyDescent="0.25">
      <c r="X127" s="112"/>
      <c r="Y127" s="143" t="str">
        <f>Roster!B147</f>
        <v>U</v>
      </c>
      <c r="Z127" s="143" t="str">
        <f>Roster!C147</f>
        <v>Sulu</v>
      </c>
      <c r="AA127" s="144">
        <f ca="1">Roster!D147</f>
        <v>0</v>
      </c>
      <c r="AB127" s="144">
        <f ca="1">Roster!E147</f>
        <v>0</v>
      </c>
      <c r="AC127" s="144">
        <f ca="1">Roster!F147</f>
        <v>0</v>
      </c>
      <c r="AD127" s="144">
        <f ca="1">Roster!G147</f>
        <v>0</v>
      </c>
      <c r="AE127" s="144">
        <f ca="1">Roster!H147</f>
        <v>0</v>
      </c>
    </row>
    <row r="128" spans="24:31" x14ac:dyDescent="0.25">
      <c r="X128" s="112"/>
      <c r="Y128" s="143" t="str">
        <f>Roster!B148</f>
        <v>R</v>
      </c>
      <c r="Z128" s="143" t="str">
        <f>Roster!C148</f>
        <v>Tal</v>
      </c>
      <c r="AA128" s="144">
        <f ca="1">Roster!D148</f>
        <v>0</v>
      </c>
      <c r="AB128" s="144">
        <f ca="1">Roster!E148</f>
        <v>0</v>
      </c>
      <c r="AC128" s="144">
        <f ca="1">Roster!F148</f>
        <v>0</v>
      </c>
      <c r="AD128" s="144">
        <f ca="1">Roster!G148</f>
        <v>0</v>
      </c>
      <c r="AE128" s="144">
        <f ca="1">Roster!H148</f>
        <v>0</v>
      </c>
    </row>
    <row r="129" spans="24:31" x14ac:dyDescent="0.25">
      <c r="X129" s="112"/>
      <c r="Y129" s="143" t="str">
        <f>Roster!B149</f>
        <v>R</v>
      </c>
      <c r="Z129" s="143" t="str">
        <f>Roster!C149</f>
        <v>Tasha Yar</v>
      </c>
      <c r="AA129" s="144">
        <f ca="1">Roster!D149</f>
        <v>0</v>
      </c>
      <c r="AB129" s="144">
        <f ca="1">Roster!E149</f>
        <v>0</v>
      </c>
      <c r="AC129" s="144">
        <f ca="1">Roster!F149</f>
        <v>0</v>
      </c>
      <c r="AD129" s="144">
        <f ca="1">Roster!G149</f>
        <v>0</v>
      </c>
      <c r="AE129" s="144">
        <f ca="1">Roster!H149</f>
        <v>0</v>
      </c>
    </row>
    <row r="130" spans="24:31" x14ac:dyDescent="0.25">
      <c r="X130" s="112"/>
      <c r="Y130" s="143" t="str">
        <f>Roster!B150</f>
        <v>E</v>
      </c>
      <c r="Z130" s="143" t="str">
        <f>Roster!C150</f>
        <v>Ten Of Eleven</v>
      </c>
      <c r="AA130" s="144">
        <f ca="1">Roster!D150</f>
        <v>0</v>
      </c>
      <c r="AB130" s="144">
        <f ca="1">Roster!E150</f>
        <v>0</v>
      </c>
      <c r="AC130" s="144">
        <f ca="1">Roster!F150</f>
        <v>0</v>
      </c>
      <c r="AD130" s="144">
        <f ca="1">Roster!G150</f>
        <v>0</v>
      </c>
      <c r="AE130" s="144">
        <f ca="1">Roster!H150</f>
        <v>0</v>
      </c>
    </row>
    <row r="131" spans="24:31" x14ac:dyDescent="0.25">
      <c r="X131" s="112"/>
      <c r="Y131" s="143" t="str">
        <f>Roster!B151</f>
        <v>E</v>
      </c>
      <c r="Z131" s="143" t="str">
        <f>Roster!C151</f>
        <v>Three Of Eleven</v>
      </c>
      <c r="AA131" s="144">
        <f ca="1">Roster!D151</f>
        <v>0</v>
      </c>
      <c r="AB131" s="144">
        <f ca="1">Roster!E151</f>
        <v>0</v>
      </c>
      <c r="AC131" s="144">
        <f ca="1">Roster!F151</f>
        <v>0</v>
      </c>
      <c r="AD131" s="144">
        <f ca="1">Roster!G151</f>
        <v>0</v>
      </c>
      <c r="AE131" s="144">
        <f ca="1">Roster!H151</f>
        <v>0</v>
      </c>
    </row>
    <row r="132" spans="24:31" x14ac:dyDescent="0.25">
      <c r="X132" s="112"/>
      <c r="Y132" s="143" t="str">
        <f>Roster!B152</f>
        <v>U</v>
      </c>
      <c r="Z132" s="143" t="str">
        <f>Roster!C152</f>
        <v>Tilly</v>
      </c>
      <c r="AA132" s="144">
        <f ca="1">Roster!D152</f>
        <v>0</v>
      </c>
      <c r="AB132" s="144">
        <f ca="1">Roster!E152</f>
        <v>0</v>
      </c>
      <c r="AC132" s="144">
        <f ca="1">Roster!F152</f>
        <v>0</v>
      </c>
      <c r="AD132" s="144">
        <f ca="1">Roster!G152</f>
        <v>0</v>
      </c>
      <c r="AE132" s="144">
        <f ca="1">Roster!H152</f>
        <v>0</v>
      </c>
    </row>
    <row r="133" spans="24:31" x14ac:dyDescent="0.25">
      <c r="X133" s="112"/>
      <c r="Y133" s="143" t="str">
        <f>Roster!B153</f>
        <v>C</v>
      </c>
      <c r="Z133" s="143" t="str">
        <f>Roster!C153</f>
        <v>Tiza</v>
      </c>
      <c r="AA133" s="144">
        <f ca="1">Roster!D153</f>
        <v>0</v>
      </c>
      <c r="AB133" s="144">
        <f ca="1">Roster!E153</f>
        <v>0</v>
      </c>
      <c r="AC133" s="144">
        <f ca="1">Roster!F153</f>
        <v>0</v>
      </c>
      <c r="AD133" s="144">
        <f ca="1">Roster!G153</f>
        <v>0</v>
      </c>
      <c r="AE133" s="144">
        <f ca="1">Roster!H153</f>
        <v>0</v>
      </c>
    </row>
    <row r="134" spans="24:31" x14ac:dyDescent="0.25">
      <c r="X134" s="112"/>
      <c r="Y134" s="143" t="str">
        <f>Roster!B154</f>
        <v>C</v>
      </c>
      <c r="Z134" s="143" t="str">
        <f>Roster!C154</f>
        <v>T'Laan</v>
      </c>
      <c r="AA134" s="144">
        <f ca="1">Roster!D154</f>
        <v>0</v>
      </c>
      <c r="AB134" s="144">
        <f ca="1">Roster!E154</f>
        <v>0</v>
      </c>
      <c r="AC134" s="144">
        <f ca="1">Roster!F154</f>
        <v>0</v>
      </c>
      <c r="AD134" s="144">
        <f ca="1">Roster!G154</f>
        <v>0</v>
      </c>
      <c r="AE134" s="144">
        <f ca="1">Roster!H154</f>
        <v>0</v>
      </c>
    </row>
    <row r="135" spans="24:31" x14ac:dyDescent="0.25">
      <c r="X135" s="112"/>
      <c r="Y135" s="143" t="str">
        <f>Roster!B155</f>
        <v>R</v>
      </c>
      <c r="Z135" s="143" t="str">
        <f>Roster!C155</f>
        <v>Tomalak</v>
      </c>
      <c r="AA135" s="144">
        <f ca="1">Roster!D155</f>
        <v>0</v>
      </c>
      <c r="AB135" s="144">
        <f ca="1">Roster!E155</f>
        <v>0</v>
      </c>
      <c r="AC135" s="144">
        <f ca="1">Roster!F155</f>
        <v>0</v>
      </c>
      <c r="AD135" s="144">
        <f ca="1">Roster!G155</f>
        <v>0</v>
      </c>
      <c r="AE135" s="144">
        <f ca="1">Roster!H155</f>
        <v>0</v>
      </c>
    </row>
    <row r="136" spans="24:31" x14ac:dyDescent="0.25">
      <c r="Y136" s="143" t="str">
        <f>Roster!B156</f>
        <v>R</v>
      </c>
      <c r="Z136" s="143" t="str">
        <f>Roster!C156</f>
        <v>TOS Chekov</v>
      </c>
      <c r="AA136" s="144">
        <f ca="1">Roster!D156</f>
        <v>0</v>
      </c>
      <c r="AB136" s="144">
        <f ca="1">Roster!E156</f>
        <v>0</v>
      </c>
      <c r="AC136" s="144">
        <f ca="1">Roster!F156</f>
        <v>0</v>
      </c>
      <c r="AD136" s="144">
        <f ca="1">Roster!G156</f>
        <v>0</v>
      </c>
      <c r="AE136" s="144">
        <f ca="1">Roster!H156</f>
        <v>0</v>
      </c>
    </row>
    <row r="137" spans="24:31" x14ac:dyDescent="0.25">
      <c r="Y137" s="143" t="str">
        <f>Roster!B157</f>
        <v>E</v>
      </c>
      <c r="Z137" s="143" t="str">
        <f>Roster!C157</f>
        <v>TOS Kirk</v>
      </c>
      <c r="AA137" s="144">
        <f ca="1">Roster!D157</f>
        <v>0</v>
      </c>
      <c r="AB137" s="144">
        <f ca="1">Roster!E157</f>
        <v>0</v>
      </c>
      <c r="AC137" s="144">
        <f ca="1">Roster!F157</f>
        <v>0</v>
      </c>
      <c r="AD137" s="144">
        <f ca="1">Roster!G157</f>
        <v>0</v>
      </c>
      <c r="AE137" s="144">
        <f ca="1">Roster!H157</f>
        <v>0</v>
      </c>
    </row>
    <row r="138" spans="24:31" x14ac:dyDescent="0.25">
      <c r="Y138" s="143" t="str">
        <f>Roster!B158</f>
        <v>R</v>
      </c>
      <c r="Z138" s="143" t="str">
        <f>Roster!C158</f>
        <v>TOS McCoy</v>
      </c>
      <c r="AA138" s="144">
        <f ca="1">Roster!D158</f>
        <v>0</v>
      </c>
      <c r="AB138" s="144">
        <f ca="1">Roster!E158</f>
        <v>0</v>
      </c>
      <c r="AC138" s="144">
        <f ca="1">Roster!F158</f>
        <v>0</v>
      </c>
      <c r="AD138" s="144">
        <f ca="1">Roster!G158</f>
        <v>0</v>
      </c>
      <c r="AE138" s="144">
        <f ca="1">Roster!H158</f>
        <v>0</v>
      </c>
    </row>
    <row r="139" spans="24:31" x14ac:dyDescent="0.25">
      <c r="Y139" s="143" t="str">
        <f>Roster!B159</f>
        <v>R</v>
      </c>
      <c r="Z139" s="143" t="str">
        <f>Roster!C159</f>
        <v>TOS Scotty</v>
      </c>
      <c r="AA139" s="144">
        <f ca="1">Roster!D159</f>
        <v>0</v>
      </c>
      <c r="AB139" s="144">
        <f ca="1">Roster!E159</f>
        <v>0</v>
      </c>
      <c r="AC139" s="144">
        <f ca="1">Roster!F159</f>
        <v>0</v>
      </c>
      <c r="AD139" s="144">
        <f ca="1">Roster!G159</f>
        <v>0</v>
      </c>
      <c r="AE139" s="144">
        <f ca="1">Roster!H159</f>
        <v>0</v>
      </c>
    </row>
    <row r="140" spans="24:31" x14ac:dyDescent="0.25">
      <c r="Y140" s="143" t="str">
        <f>Roster!B160</f>
        <v>E</v>
      </c>
      <c r="Z140" s="143" t="str">
        <f>Roster!C160</f>
        <v>TOS Spock</v>
      </c>
      <c r="AA140" s="144">
        <f ca="1">Roster!D160</f>
        <v>0</v>
      </c>
      <c r="AB140" s="144">
        <f ca="1">Roster!E160</f>
        <v>0</v>
      </c>
      <c r="AC140" s="144">
        <f ca="1">Roster!F160</f>
        <v>0</v>
      </c>
      <c r="AD140" s="144">
        <f ca="1">Roster!G160</f>
        <v>0</v>
      </c>
      <c r="AE140" s="144">
        <f ca="1">Roster!H160</f>
        <v>0</v>
      </c>
    </row>
    <row r="141" spans="24:31" x14ac:dyDescent="0.25">
      <c r="Y141" s="143" t="str">
        <f>Roster!B161</f>
        <v>R</v>
      </c>
      <c r="Z141" s="143" t="str">
        <f>Roster!C161</f>
        <v>TOS Sulu</v>
      </c>
      <c r="AA141" s="144">
        <f ca="1">Roster!D161</f>
        <v>0</v>
      </c>
      <c r="AB141" s="144">
        <f ca="1">Roster!E161</f>
        <v>0</v>
      </c>
      <c r="AC141" s="144">
        <f ca="1">Roster!F161</f>
        <v>0</v>
      </c>
      <c r="AD141" s="144">
        <f ca="1">Roster!G161</f>
        <v>0</v>
      </c>
      <c r="AE141" s="144">
        <f ca="1">Roster!H161</f>
        <v>0</v>
      </c>
    </row>
    <row r="142" spans="24:31" x14ac:dyDescent="0.25">
      <c r="Y142" s="143" t="str">
        <f>Roster!B162</f>
        <v>R</v>
      </c>
      <c r="Z142" s="143" t="str">
        <f>Roster!C162</f>
        <v>TOS Uhura</v>
      </c>
      <c r="AA142" s="144">
        <f ca="1">Roster!D162</f>
        <v>0</v>
      </c>
      <c r="AB142" s="144">
        <f ca="1">Roster!E162</f>
        <v>0</v>
      </c>
      <c r="AC142" s="144">
        <f ca="1">Roster!F162</f>
        <v>0</v>
      </c>
      <c r="AD142" s="144">
        <f ca="1">Roster!G162</f>
        <v>0</v>
      </c>
      <c r="AE142" s="144">
        <f ca="1">Roster!H162</f>
        <v>0</v>
      </c>
    </row>
    <row r="143" spans="24:31" x14ac:dyDescent="0.25">
      <c r="Y143" s="143" t="str">
        <f>Roster!B163</f>
        <v>R</v>
      </c>
      <c r="Z143" s="143" t="str">
        <f>Roster!C163</f>
        <v>T'Pring</v>
      </c>
      <c r="AA143" s="144">
        <f ca="1">Roster!D163</f>
        <v>0</v>
      </c>
      <c r="AB143" s="144">
        <f ca="1">Roster!E163</f>
        <v>0</v>
      </c>
      <c r="AC143" s="144">
        <f ca="1">Roster!F163</f>
        <v>0</v>
      </c>
      <c r="AD143" s="144">
        <f ca="1">Roster!G163</f>
        <v>0</v>
      </c>
      <c r="AE143" s="144">
        <f ca="1">Roster!H163</f>
        <v>0</v>
      </c>
    </row>
    <row r="144" spans="24:31" x14ac:dyDescent="0.25">
      <c r="Y144" s="143" t="str">
        <f>Roster!B164</f>
        <v>R</v>
      </c>
      <c r="Z144" s="143" t="str">
        <f>Roster!C164</f>
        <v>Two Of Eleven</v>
      </c>
      <c r="AA144" s="144">
        <f ca="1">Roster!D164</f>
        <v>0</v>
      </c>
      <c r="AB144" s="144">
        <f ca="1">Roster!E164</f>
        <v>0</v>
      </c>
      <c r="AC144" s="144">
        <f ca="1">Roster!F164</f>
        <v>0</v>
      </c>
      <c r="AD144" s="144">
        <f ca="1">Roster!G164</f>
        <v>0</v>
      </c>
      <c r="AE144" s="144">
        <f ca="1">Roster!H164</f>
        <v>0</v>
      </c>
    </row>
    <row r="145" spans="25:31" x14ac:dyDescent="0.25">
      <c r="Y145" s="143" t="str">
        <f>Roster!B165</f>
        <v>R</v>
      </c>
      <c r="Z145" s="143" t="str">
        <f>Roster!C165</f>
        <v>Tyler</v>
      </c>
      <c r="AA145" s="144">
        <f ca="1">Roster!D165</f>
        <v>0</v>
      </c>
      <c r="AB145" s="144">
        <f ca="1">Roster!E165</f>
        <v>0</v>
      </c>
      <c r="AC145" s="144">
        <f ca="1">Roster!F165</f>
        <v>0</v>
      </c>
      <c r="AD145" s="144">
        <f ca="1">Roster!G165</f>
        <v>0</v>
      </c>
      <c r="AE145" s="144">
        <f ca="1">Roster!H165</f>
        <v>0</v>
      </c>
    </row>
    <row r="146" spans="25:31" x14ac:dyDescent="0.25">
      <c r="Y146" s="143" t="str">
        <f>Roster!B166</f>
        <v>R</v>
      </c>
      <c r="Z146" s="143" t="str">
        <f>Roster!C166</f>
        <v>Uhura</v>
      </c>
      <c r="AA146" s="144">
        <f ca="1">Roster!D166</f>
        <v>0</v>
      </c>
      <c r="AB146" s="144">
        <f ca="1">Roster!E166</f>
        <v>0</v>
      </c>
      <c r="AC146" s="144">
        <f ca="1">Roster!F166</f>
        <v>0</v>
      </c>
      <c r="AD146" s="144">
        <f ca="1">Roster!G166</f>
        <v>0</v>
      </c>
      <c r="AE146" s="144">
        <f ca="1">Roster!H166</f>
        <v>0</v>
      </c>
    </row>
    <row r="147" spans="25:31" x14ac:dyDescent="0.25">
      <c r="Y147" s="143" t="str">
        <f>Roster!B167</f>
        <v>C</v>
      </c>
      <c r="Z147" s="143" t="str">
        <f>Roster!C167</f>
        <v>Vartoq</v>
      </c>
      <c r="AA147" s="144">
        <f ca="1">Roster!D167</f>
        <v>0</v>
      </c>
      <c r="AB147" s="144">
        <f ca="1">Roster!E167</f>
        <v>0</v>
      </c>
      <c r="AC147" s="144">
        <f ca="1">Roster!F167</f>
        <v>0</v>
      </c>
      <c r="AD147" s="144">
        <f ca="1">Roster!G167</f>
        <v>0</v>
      </c>
      <c r="AE147" s="144">
        <f ca="1">Roster!H167</f>
        <v>0</v>
      </c>
    </row>
    <row r="148" spans="25:31" x14ac:dyDescent="0.25">
      <c r="Y148" s="143" t="str">
        <f>Roster!B168</f>
        <v>C</v>
      </c>
      <c r="Z148" s="143" t="str">
        <f>Roster!C168</f>
        <v>Vel</v>
      </c>
      <c r="AA148" s="144">
        <f ca="1">Roster!D168</f>
        <v>0</v>
      </c>
      <c r="AB148" s="144">
        <f ca="1">Roster!E168</f>
        <v>0</v>
      </c>
      <c r="AC148" s="144">
        <f ca="1">Roster!F168</f>
        <v>0</v>
      </c>
      <c r="AD148" s="144">
        <f ca="1">Roster!G168</f>
        <v>0</v>
      </c>
      <c r="AE148" s="144">
        <f ca="1">Roster!H168</f>
        <v>0</v>
      </c>
    </row>
    <row r="149" spans="25:31" x14ac:dyDescent="0.25">
      <c r="Y149" s="143" t="str">
        <f>Roster!B169</f>
        <v>U</v>
      </c>
      <c r="Z149" s="143" t="str">
        <f>Roster!C169</f>
        <v>Vella</v>
      </c>
      <c r="AA149" s="144">
        <f ca="1">Roster!D169</f>
        <v>0</v>
      </c>
      <c r="AB149" s="144">
        <f ca="1">Roster!E169</f>
        <v>0</v>
      </c>
      <c r="AC149" s="144">
        <f ca="1">Roster!F169</f>
        <v>0</v>
      </c>
      <c r="AD149" s="144">
        <f ca="1">Roster!G169</f>
        <v>0</v>
      </c>
      <c r="AE149" s="144">
        <f ca="1">Roster!H169</f>
        <v>0</v>
      </c>
    </row>
    <row r="150" spans="25:31" x14ac:dyDescent="0.25">
      <c r="Y150" s="143" t="str">
        <f>Roster!B170</f>
        <v>R</v>
      </c>
      <c r="Z150" s="143" t="str">
        <f>Roster!C170</f>
        <v>Vemet</v>
      </c>
      <c r="AA150" s="144">
        <f ca="1">Roster!D170</f>
        <v>0</v>
      </c>
      <c r="AB150" s="144">
        <f ca="1">Roster!E170</f>
        <v>0</v>
      </c>
      <c r="AC150" s="144">
        <f ca="1">Roster!F170</f>
        <v>0</v>
      </c>
      <c r="AD150" s="144">
        <f ca="1">Roster!G170</f>
        <v>0</v>
      </c>
      <c r="AE150" s="144">
        <f ca="1">Roster!H170</f>
        <v>0</v>
      </c>
    </row>
    <row r="151" spans="25:31" x14ac:dyDescent="0.25">
      <c r="Y151" s="143" t="str">
        <f>Roster!B171</f>
        <v>U</v>
      </c>
      <c r="Z151" s="143" t="str">
        <f>Roster!C171</f>
        <v>Vixis</v>
      </c>
      <c r="AA151" s="144">
        <f ca="1">Roster!D171</f>
        <v>0</v>
      </c>
      <c r="AB151" s="144">
        <f ca="1">Roster!E171</f>
        <v>0</v>
      </c>
      <c r="AC151" s="144">
        <f ca="1">Roster!F171</f>
        <v>0</v>
      </c>
      <c r="AD151" s="144">
        <f ca="1">Roster!G171</f>
        <v>0</v>
      </c>
      <c r="AE151" s="144">
        <f ca="1">Roster!H171</f>
        <v>0</v>
      </c>
    </row>
    <row r="152" spans="25:31" x14ac:dyDescent="0.25">
      <c r="Y152" s="143" t="str">
        <f>Roster!B172</f>
        <v>R</v>
      </c>
      <c r="Z152" s="143" t="str">
        <f>Roster!C172</f>
        <v>Wesley Crusher</v>
      </c>
      <c r="AA152" s="144">
        <f ca="1">Roster!D172</f>
        <v>0</v>
      </c>
      <c r="AB152" s="144">
        <f ca="1">Roster!E172</f>
        <v>0</v>
      </c>
      <c r="AC152" s="144">
        <f ca="1">Roster!F172</f>
        <v>0</v>
      </c>
      <c r="AD152" s="144">
        <f ca="1">Roster!G172</f>
        <v>0</v>
      </c>
      <c r="AE152" s="144">
        <f ca="1">Roster!H172</f>
        <v>0</v>
      </c>
    </row>
    <row r="153" spans="25:31" x14ac:dyDescent="0.25">
      <c r="Y153" s="143" t="str">
        <f>Roster!B173</f>
        <v>E</v>
      </c>
      <c r="Z153" s="143" t="str">
        <f>Roster!C173</f>
        <v>William T. Riker</v>
      </c>
      <c r="AA153" s="144">
        <f ca="1">Roster!D173</f>
        <v>0</v>
      </c>
      <c r="AB153" s="144">
        <f ca="1">Roster!E173</f>
        <v>0</v>
      </c>
      <c r="AC153" s="144">
        <f ca="1">Roster!F173</f>
        <v>0</v>
      </c>
      <c r="AD153" s="144">
        <f ca="1">Roster!G173</f>
        <v>0</v>
      </c>
      <c r="AE153" s="144">
        <f ca="1">Roster!H173</f>
        <v>0</v>
      </c>
    </row>
    <row r="154" spans="25:31" x14ac:dyDescent="0.25">
      <c r="Y154" s="143" t="str">
        <f>Roster!B174</f>
        <v>R</v>
      </c>
      <c r="Z154" s="143" t="str">
        <f>Roster!C174</f>
        <v>Worf</v>
      </c>
      <c r="AA154" s="144">
        <f ca="1">Roster!D174</f>
        <v>0</v>
      </c>
      <c r="AB154" s="144">
        <f ca="1">Roster!E174</f>
        <v>0</v>
      </c>
      <c r="AC154" s="144">
        <f ca="1">Roster!F174</f>
        <v>0</v>
      </c>
      <c r="AD154" s="144">
        <f ca="1">Roster!G174</f>
        <v>0</v>
      </c>
      <c r="AE154" s="144">
        <f ca="1">Roster!H174</f>
        <v>0</v>
      </c>
    </row>
    <row r="155" spans="25:31" x14ac:dyDescent="0.25">
      <c r="Y155" s="143" t="str">
        <f>Roster!B175</f>
        <v>U</v>
      </c>
      <c r="Z155" s="143" t="str">
        <f>Roster!C175</f>
        <v>Woteln</v>
      </c>
      <c r="AA155" s="144">
        <f ca="1">Roster!D175</f>
        <v>0</v>
      </c>
      <c r="AB155" s="144">
        <f ca="1">Roster!E175</f>
        <v>0</v>
      </c>
      <c r="AC155" s="144">
        <f ca="1">Roster!F175</f>
        <v>0</v>
      </c>
      <c r="AD155" s="144">
        <f ca="1">Roster!G175</f>
        <v>0</v>
      </c>
      <c r="AE155" s="144">
        <f ca="1">Roster!H175</f>
        <v>0</v>
      </c>
    </row>
    <row r="156" spans="25:31" x14ac:dyDescent="0.25">
      <c r="Y156" s="143" t="str">
        <f>Roster!B176</f>
        <v>U</v>
      </c>
      <c r="Z156" s="143" t="str">
        <f>Roster!C176</f>
        <v>Yan'Agh</v>
      </c>
      <c r="AA156" s="144">
        <f ca="1">Roster!D176</f>
        <v>0</v>
      </c>
      <c r="AB156" s="144">
        <f ca="1">Roster!E176</f>
        <v>0</v>
      </c>
      <c r="AC156" s="144">
        <f ca="1">Roster!F176</f>
        <v>0</v>
      </c>
      <c r="AD156" s="144">
        <f ca="1">Roster!G176</f>
        <v>0</v>
      </c>
      <c r="AE156" s="144">
        <f ca="1">Roster!H176</f>
        <v>0</v>
      </c>
    </row>
    <row r="157" spans="25:31" x14ac:dyDescent="0.25">
      <c r="Y157" s="143" t="str">
        <f>Roster!B177</f>
        <v>R</v>
      </c>
      <c r="Z157" s="143" t="str">
        <f>Roster!C177</f>
        <v>Yuki</v>
      </c>
      <c r="AA157" s="144">
        <f ca="1">Roster!D177</f>
        <v>0</v>
      </c>
      <c r="AB157" s="144">
        <f ca="1">Roster!E177</f>
        <v>0</v>
      </c>
      <c r="AC157" s="144">
        <f ca="1">Roster!F177</f>
        <v>0</v>
      </c>
      <c r="AD157" s="144">
        <f ca="1">Roster!G177</f>
        <v>0</v>
      </c>
      <c r="AE157" s="144">
        <f ca="1">Roster!H177</f>
        <v>0</v>
      </c>
    </row>
    <row r="158" spans="25:31" x14ac:dyDescent="0.25">
      <c r="Y158" s="143" t="str">
        <f>Roster!B178</f>
        <v>C</v>
      </c>
      <c r="Z158" s="143" t="str">
        <f>Roster!C178</f>
        <v>Zahra</v>
      </c>
      <c r="AA158" s="144">
        <f ca="1">Roster!D178</f>
        <v>0</v>
      </c>
      <c r="AB158" s="144">
        <f ca="1">Roster!E178</f>
        <v>0</v>
      </c>
      <c r="AC158" s="144">
        <f ca="1">Roster!F178</f>
        <v>0</v>
      </c>
      <c r="AD158" s="144">
        <f ca="1">Roster!G178</f>
        <v>0</v>
      </c>
      <c r="AE158" s="144">
        <f ca="1">Roster!H178</f>
        <v>0</v>
      </c>
    </row>
    <row r="159" spans="25:31" x14ac:dyDescent="0.25">
      <c r="Y159" s="143" t="str">
        <f>Roster!B179</f>
        <v>U</v>
      </c>
      <c r="Z159" s="143" t="str">
        <f>Roster!C179</f>
        <v>Zhou</v>
      </c>
      <c r="AA159" s="144">
        <f ca="1">Roster!D179</f>
        <v>0</v>
      </c>
      <c r="AB159" s="144">
        <f ca="1">Roster!E179</f>
        <v>0</v>
      </c>
      <c r="AC159" s="144">
        <f ca="1">Roster!F179</f>
        <v>0</v>
      </c>
      <c r="AD159" s="144">
        <f ca="1">Roster!G179</f>
        <v>0</v>
      </c>
      <c r="AE159" s="144">
        <f ca="1">Roster!H179</f>
        <v>0</v>
      </c>
    </row>
  </sheetData>
  <autoFilter ref="Y1:AE1"/>
  <sortState ref="Y2:AE124">
    <sortCondition ref="Y1"/>
  </sortState>
  <mergeCells count="161">
    <mergeCell ref="J53:K53"/>
    <mergeCell ref="J54:K54"/>
    <mergeCell ref="C2:D3"/>
    <mergeCell ref="C11:D12"/>
    <mergeCell ref="C20:D21"/>
    <mergeCell ref="C29:D30"/>
    <mergeCell ref="C38:D39"/>
    <mergeCell ref="C47:D48"/>
    <mergeCell ref="H51:I51"/>
    <mergeCell ref="J51:K51"/>
    <mergeCell ref="J44:K44"/>
    <mergeCell ref="J45:K45"/>
    <mergeCell ref="E48:F48"/>
    <mergeCell ref="K48:L48"/>
    <mergeCell ref="C49:D49"/>
    <mergeCell ref="E49:F49"/>
    <mergeCell ref="G49:H49"/>
    <mergeCell ref="H42:I42"/>
    <mergeCell ref="J42:K42"/>
    <mergeCell ref="L42:M42"/>
    <mergeCell ref="E43:F43"/>
    <mergeCell ref="J43:K43"/>
    <mergeCell ref="M41:N41"/>
    <mergeCell ref="J35:K35"/>
    <mergeCell ref="L51:M51"/>
    <mergeCell ref="E52:F52"/>
    <mergeCell ref="J52:K52"/>
    <mergeCell ref="M50:N50"/>
    <mergeCell ref="O50:P50"/>
    <mergeCell ref="Q50:R50"/>
    <mergeCell ref="S50:T50"/>
    <mergeCell ref="U50:V50"/>
    <mergeCell ref="C50:D50"/>
    <mergeCell ref="E50:F50"/>
    <mergeCell ref="G50:H50"/>
    <mergeCell ref="I50:J50"/>
    <mergeCell ref="K50:L50"/>
    <mergeCell ref="O41:P41"/>
    <mergeCell ref="Q41:R41"/>
    <mergeCell ref="S41:T41"/>
    <mergeCell ref="U41:V41"/>
    <mergeCell ref="C41:D41"/>
    <mergeCell ref="E41:F41"/>
    <mergeCell ref="G41:H41"/>
    <mergeCell ref="I41:J41"/>
    <mergeCell ref="K41:L41"/>
    <mergeCell ref="J36:K36"/>
    <mergeCell ref="E39:F39"/>
    <mergeCell ref="K39:L39"/>
    <mergeCell ref="C40:D40"/>
    <mergeCell ref="E40:F40"/>
    <mergeCell ref="G40:H40"/>
    <mergeCell ref="H33:I33"/>
    <mergeCell ref="J33:K33"/>
    <mergeCell ref="L33:M33"/>
    <mergeCell ref="E34:F34"/>
    <mergeCell ref="J34:K34"/>
    <mergeCell ref="M32:N32"/>
    <mergeCell ref="O32:P32"/>
    <mergeCell ref="Q32:R32"/>
    <mergeCell ref="S32:T32"/>
    <mergeCell ref="U32:V32"/>
    <mergeCell ref="C32:D32"/>
    <mergeCell ref="E32:F32"/>
    <mergeCell ref="G32:H32"/>
    <mergeCell ref="I32:J32"/>
    <mergeCell ref="K32:L32"/>
    <mergeCell ref="J26:K26"/>
    <mergeCell ref="J27:K27"/>
    <mergeCell ref="E30:F30"/>
    <mergeCell ref="K30:L30"/>
    <mergeCell ref="C31:D31"/>
    <mergeCell ref="E31:F31"/>
    <mergeCell ref="G31:H31"/>
    <mergeCell ref="H24:I24"/>
    <mergeCell ref="J24:K24"/>
    <mergeCell ref="L24:M24"/>
    <mergeCell ref="E25:F25"/>
    <mergeCell ref="J25:K25"/>
    <mergeCell ref="M23:N23"/>
    <mergeCell ref="O23:P23"/>
    <mergeCell ref="Q23:R23"/>
    <mergeCell ref="S23:T23"/>
    <mergeCell ref="U23:V23"/>
    <mergeCell ref="C23:D23"/>
    <mergeCell ref="E23:F23"/>
    <mergeCell ref="G23:H23"/>
    <mergeCell ref="I23:J23"/>
    <mergeCell ref="K23:L23"/>
    <mergeCell ref="J17:K17"/>
    <mergeCell ref="J18:K18"/>
    <mergeCell ref="E21:F21"/>
    <mergeCell ref="K21:L21"/>
    <mergeCell ref="C22:D22"/>
    <mergeCell ref="E22:F22"/>
    <mergeCell ref="G22:H22"/>
    <mergeCell ref="H15:I15"/>
    <mergeCell ref="J15:K15"/>
    <mergeCell ref="L15:M15"/>
    <mergeCell ref="E16:F16"/>
    <mergeCell ref="J16:K16"/>
    <mergeCell ref="M14:N14"/>
    <mergeCell ref="O14:P14"/>
    <mergeCell ref="Q14:R14"/>
    <mergeCell ref="S14:T14"/>
    <mergeCell ref="U14:V14"/>
    <mergeCell ref="C14:D14"/>
    <mergeCell ref="E14:F14"/>
    <mergeCell ref="G14:H14"/>
    <mergeCell ref="I14:J14"/>
    <mergeCell ref="K14:L14"/>
    <mergeCell ref="E12:F12"/>
    <mergeCell ref="K12:L12"/>
    <mergeCell ref="C13:D13"/>
    <mergeCell ref="E13:F13"/>
    <mergeCell ref="G13:H13"/>
    <mergeCell ref="U5:V5"/>
    <mergeCell ref="H6:I6"/>
    <mergeCell ref="J6:K6"/>
    <mergeCell ref="L6:M6"/>
    <mergeCell ref="Q5:R5"/>
    <mergeCell ref="S5:T5"/>
    <mergeCell ref="E7:F7"/>
    <mergeCell ref="J7:K7"/>
    <mergeCell ref="J8:K8"/>
    <mergeCell ref="J9:K9"/>
    <mergeCell ref="K3:L3"/>
    <mergeCell ref="K5:L5"/>
    <mergeCell ref="M5:N5"/>
    <mergeCell ref="O5:P5"/>
    <mergeCell ref="E3:F3"/>
    <mergeCell ref="I5:J5"/>
    <mergeCell ref="C4:D4"/>
    <mergeCell ref="E4:F4"/>
    <mergeCell ref="G4:H4"/>
    <mergeCell ref="C5:D5"/>
    <mergeCell ref="E5:F5"/>
    <mergeCell ref="G5:H5"/>
    <mergeCell ref="E61:F61"/>
    <mergeCell ref="J61:K61"/>
    <mergeCell ref="C56:D57"/>
    <mergeCell ref="E57:F57"/>
    <mergeCell ref="K57:L57"/>
    <mergeCell ref="C58:D58"/>
    <mergeCell ref="E58:F58"/>
    <mergeCell ref="G58:H58"/>
    <mergeCell ref="C59:D59"/>
    <mergeCell ref="E59:F59"/>
    <mergeCell ref="G59:H59"/>
    <mergeCell ref="I59:J59"/>
    <mergeCell ref="K59:L59"/>
    <mergeCell ref="J62:K62"/>
    <mergeCell ref="J63:K63"/>
    <mergeCell ref="M59:N59"/>
    <mergeCell ref="O59:P59"/>
    <mergeCell ref="Q59:R59"/>
    <mergeCell ref="S59:T59"/>
    <mergeCell ref="U59:V59"/>
    <mergeCell ref="H60:I60"/>
    <mergeCell ref="J60:K60"/>
    <mergeCell ref="L60:M60"/>
  </mergeCells>
  <conditionalFormatting sqref="Z2:Z159">
    <cfRule type="expression" dxfId="95" priority="42">
      <formula>Y2="C"</formula>
    </cfRule>
    <cfRule type="expression" dxfId="94" priority="43">
      <formula>Y2="U"</formula>
    </cfRule>
    <cfRule type="expression" dxfId="93" priority="44">
      <formula>Y2="R"</formula>
    </cfRule>
    <cfRule type="expression" dxfId="92" priority="45">
      <formula>Y2="E"</formula>
    </cfRule>
  </conditionalFormatting>
  <conditionalFormatting sqref="L7:U7">
    <cfRule type="expression" dxfId="91" priority="41">
      <formula>L7&lt;$J$7</formula>
    </cfRule>
  </conditionalFormatting>
  <conditionalFormatting sqref="L8:U8">
    <cfRule type="expression" dxfId="90" priority="23">
      <formula>L8&lt;$J$8</formula>
    </cfRule>
  </conditionalFormatting>
  <conditionalFormatting sqref="L9:U9">
    <cfRule type="expression" dxfId="89" priority="22">
      <formula>L9&lt;$J$9</formula>
    </cfRule>
  </conditionalFormatting>
  <conditionalFormatting sqref="L16:U16">
    <cfRule type="expression" dxfId="88" priority="21">
      <formula>L16&lt;$J$16</formula>
    </cfRule>
  </conditionalFormatting>
  <conditionalFormatting sqref="L17:U17">
    <cfRule type="expression" dxfId="87" priority="18">
      <formula>L17&lt;$J$17</formula>
    </cfRule>
  </conditionalFormatting>
  <conditionalFormatting sqref="L18:U18">
    <cfRule type="expression" dxfId="86" priority="17">
      <formula>L18&lt;$J$18</formula>
    </cfRule>
  </conditionalFormatting>
  <conditionalFormatting sqref="L25:U25">
    <cfRule type="expression" dxfId="85" priority="16">
      <formula>L25&lt;$J$25</formula>
    </cfRule>
  </conditionalFormatting>
  <conditionalFormatting sqref="L26:U26">
    <cfRule type="expression" dxfId="84" priority="15">
      <formula>L26&lt;$J$26</formula>
    </cfRule>
  </conditionalFormatting>
  <conditionalFormatting sqref="L27:U27">
    <cfRule type="expression" dxfId="83" priority="14">
      <formula>L27&lt;$J$27</formula>
    </cfRule>
  </conditionalFormatting>
  <conditionalFormatting sqref="L34:U34">
    <cfRule type="expression" dxfId="82" priority="13">
      <formula>L34&lt;$J$34</formula>
    </cfRule>
  </conditionalFormatting>
  <conditionalFormatting sqref="L35:U35">
    <cfRule type="expression" dxfId="81" priority="12">
      <formula>L35&lt;$J$35</formula>
    </cfRule>
  </conditionalFormatting>
  <conditionalFormatting sqref="L36:U36">
    <cfRule type="expression" dxfId="80" priority="11">
      <formula>L36&lt;$J$36</formula>
    </cfRule>
  </conditionalFormatting>
  <conditionalFormatting sqref="L43:U43">
    <cfRule type="expression" dxfId="79" priority="10">
      <formula>L43&lt;$J$43</formula>
    </cfRule>
  </conditionalFormatting>
  <conditionalFormatting sqref="L44:U44">
    <cfRule type="expression" dxfId="78" priority="9">
      <formula>L44&lt;$J$44</formula>
    </cfRule>
  </conditionalFormatting>
  <conditionalFormatting sqref="L45:U45">
    <cfRule type="expression" dxfId="77" priority="8">
      <formula>L45&lt;$J$45</formula>
    </cfRule>
  </conditionalFormatting>
  <conditionalFormatting sqref="L52:U52">
    <cfRule type="expression" dxfId="76" priority="7">
      <formula>L52&lt;$J$52</formula>
    </cfRule>
  </conditionalFormatting>
  <conditionalFormatting sqref="L53:U53">
    <cfRule type="expression" dxfId="75" priority="6">
      <formula>L53&lt;$J$53</formula>
    </cfRule>
  </conditionalFormatting>
  <conditionalFormatting sqref="L54:U54">
    <cfRule type="expression" dxfId="74" priority="5">
      <formula>L54&lt;$J$54</formula>
    </cfRule>
  </conditionalFormatting>
  <conditionalFormatting sqref="L61:U61">
    <cfRule type="expression" dxfId="73" priority="4">
      <formula>L61&lt;$J$52</formula>
    </cfRule>
  </conditionalFormatting>
  <conditionalFormatting sqref="L62:U62">
    <cfRule type="expression" dxfId="72" priority="3">
      <formula>L62&lt;$J$53</formula>
    </cfRule>
  </conditionalFormatting>
  <conditionalFormatting sqref="L63:U63">
    <cfRule type="expression" dxfId="71" priority="2">
      <formula>L63&lt;$J$54</formula>
    </cfRule>
  </conditionalFormatting>
  <conditionalFormatting sqref="I59:V59 I50:V50 I41:V41 I32:V32 I23:V23 I14:V14 I5:V5">
    <cfRule type="expression" dxfId="70" priority="1">
      <formula>VLOOKUP(I5,OfficerSkillsFull,33,FALSE) = "Y"</formula>
    </cfRule>
  </conditionalFormatting>
  <dataValidations count="5">
    <dataValidation type="list" allowBlank="1" showInputMessage="1" sqref="C50:H50 C14:H14 C23:H23 C32:H32 C41:H41 E5:H5 C59:H59">
      <formula1>OfficersAvailableAll</formula1>
    </dataValidation>
    <dataValidation type="list" allowBlank="1" error="Please select an officer from the list" sqref="I5:W5 I14:W14 I23:W23 I32:W32 I41:W41 I50:W50 I59:W59">
      <formula1>OfficersAvailableAll</formula1>
    </dataValidation>
    <dataValidation type="list" allowBlank="1" sqref="C5:D5">
      <formula1>OfficersAvailableAll</formula1>
    </dataValidation>
    <dataValidation type="list" allowBlank="1" showErrorMessage="1" error="Please select a ship from the list" sqref="E52:F52 E61:F61">
      <formula1>ShipNames</formula1>
    </dataValidation>
    <dataValidation type="list" allowBlank="1" showErrorMessage="1" error="Please select a ship from the list" sqref="E7:F7 E16:F16 E25:F25 E34:F34 E43:F43">
      <formula1>ShipNames</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rgb="FF9999CC"/>
    <pageSetUpPr autoPageBreaks="0"/>
  </sheetPr>
  <dimension ref="A1:X200"/>
  <sheetViews>
    <sheetView zoomScaleNormal="100" workbookViewId="0">
      <pane ySplit="21" topLeftCell="A22" activePane="bottomLeft" state="frozen"/>
      <selection pane="bottomLeft" activeCell="E5" sqref="E5:H5"/>
    </sheetView>
  </sheetViews>
  <sheetFormatPr defaultRowHeight="15.75" x14ac:dyDescent="0.25"/>
  <cols>
    <col min="1" max="1" width="7.140625" style="154" customWidth="1"/>
    <col min="2" max="2" width="9.140625" style="154" customWidth="1"/>
    <col min="3" max="3" width="11.28515625" style="154" customWidth="1"/>
    <col min="4" max="20" width="9.140625" style="154"/>
    <col min="21" max="21" width="13.85546875" style="154" customWidth="1"/>
    <col min="22" max="22" width="11.28515625" style="154" customWidth="1"/>
    <col min="23" max="16384" width="9.140625" style="154"/>
  </cols>
  <sheetData>
    <row r="1" spans="1:24" ht="6" customHeight="1" thickBot="1" x14ac:dyDescent="0.3"/>
    <row r="2" spans="1:24" s="1" customFormat="1" ht="17.25" customHeight="1" thickBot="1" x14ac:dyDescent="0.3">
      <c r="A2" s="2"/>
      <c r="B2" s="2"/>
      <c r="C2" s="28"/>
      <c r="D2" s="3"/>
      <c r="E2" s="4"/>
      <c r="F2" s="4"/>
      <c r="G2" s="4"/>
      <c r="H2" s="4"/>
      <c r="I2" s="52">
        <v>653.81600000000003</v>
      </c>
      <c r="J2" s="3"/>
      <c r="K2" s="4"/>
      <c r="L2" s="4"/>
      <c r="M2" s="4"/>
      <c r="N2" s="4"/>
      <c r="O2" s="4"/>
      <c r="P2" s="6"/>
      <c r="Q2" s="46"/>
      <c r="R2" s="46"/>
      <c r="S2" s="46"/>
      <c r="T2" s="151"/>
      <c r="U2" s="7"/>
      <c r="V2" s="7"/>
      <c r="W2" s="7"/>
      <c r="X2" s="7"/>
    </row>
    <row r="3" spans="1:24" s="1" customFormat="1" ht="19.5" customHeight="1" x14ac:dyDescent="0.25">
      <c r="A3" s="2"/>
      <c r="B3" s="2"/>
      <c r="C3" s="8"/>
      <c r="D3" s="8"/>
      <c r="F3" s="154"/>
      <c r="G3" s="154"/>
      <c r="H3" s="154"/>
      <c r="I3" s="154"/>
      <c r="J3" s="154"/>
      <c r="K3" s="154"/>
      <c r="N3" s="154"/>
      <c r="O3" s="154"/>
      <c r="P3" s="8"/>
      <c r="Q3" s="8"/>
      <c r="R3" s="150"/>
      <c r="S3" s="150"/>
      <c r="T3" s="8"/>
      <c r="U3" s="9"/>
      <c r="V3" s="7"/>
      <c r="W3" s="7"/>
      <c r="X3" s="7"/>
    </row>
    <row r="4" spans="1:24" ht="19.5" customHeight="1" thickBot="1" x14ac:dyDescent="0.3">
      <c r="E4" s="100" t="s">
        <v>814</v>
      </c>
      <c r="L4" s="649" t="s">
        <v>130</v>
      </c>
      <c r="M4" s="649"/>
    </row>
    <row r="5" spans="1:24" ht="16.5" customHeight="1" x14ac:dyDescent="0.25">
      <c r="A5" s="155"/>
      <c r="B5" s="156"/>
      <c r="E5" s="650"/>
      <c r="F5" s="650"/>
      <c r="G5" s="650"/>
      <c r="H5" s="650"/>
      <c r="J5" s="652" t="str">
        <f>IFERROR(IF(VLOOKUP(E5,PSFull,4,FALSE)=0,"",IFERROR(VLOOKUP(E5,PSFull,4,FALSE),"")),"")</f>
        <v/>
      </c>
      <c r="K5" s="652"/>
      <c r="L5" s="653" t="str">
        <f>IFERROR(IF(VLOOKUP(E5,PSFull,2,FALSE)=0,"",IFERROR(VLOOKUP(E5,PSFull,2,FALSE),"")),"")</f>
        <v/>
      </c>
      <c r="M5" s="653"/>
      <c r="N5" s="652" t="str">
        <f>IFERROR(IF(VLOOKUP(E5,PSFull,6,FALSE)=0,"",IFERROR(VLOOKUP(E5,PSFull,6,FALSE),"")),"")</f>
        <v/>
      </c>
      <c r="O5" s="652"/>
      <c r="V5" s="157"/>
      <c r="W5" s="158"/>
    </row>
    <row r="6" spans="1:24" ht="16.5" customHeight="1" x14ac:dyDescent="0.25">
      <c r="A6" s="159"/>
      <c r="B6" s="153" t="s">
        <v>815</v>
      </c>
      <c r="I6" s="272" t="s">
        <v>890</v>
      </c>
      <c r="J6" s="654" t="str">
        <f>IFERROR(IF(VLOOKUP(E5,PSFull,5,FALSE)=0,"",IFERROR(VLOOKUP(E5,PSFull,5,FALSE),"")),"")</f>
        <v/>
      </c>
      <c r="K6" s="654"/>
      <c r="L6" s="654" t="str">
        <f>IFERROR(IF(VLOOKUP(E5,PSFull,3,FALSE)=0,"",IFERROR(VLOOKUP(E5,PSFull,3,FALSE),"")),"")</f>
        <v/>
      </c>
      <c r="M6" s="654"/>
      <c r="N6" s="654" t="str">
        <f>IFERROR(IF(VLOOKUP(E5,PSFull,7,FALSE)=0,"",IFERROR(VLOOKUP(E5,PSFull,7,FALSE),"")),"")</f>
        <v/>
      </c>
      <c r="O6" s="654"/>
      <c r="Q6" s="160"/>
      <c r="R6" s="160"/>
      <c r="S6" s="160"/>
      <c r="T6" s="160"/>
      <c r="U6" s="161"/>
      <c r="V6" s="162"/>
      <c r="W6" s="163"/>
    </row>
    <row r="7" spans="1:24" ht="16.5" customHeight="1" thickBot="1" x14ac:dyDescent="0.3">
      <c r="A7" s="159"/>
      <c r="B7" s="153" t="s">
        <v>816</v>
      </c>
      <c r="E7" s="100" t="s">
        <v>803</v>
      </c>
      <c r="F7" s="651" t="str">
        <f>IFERROR(IF(VLOOKUP(E5,PSFull,8,FALSE)=0,"",IFERROR(VLOOKUP(E5,PSFull,8,FALSE),"")),"")</f>
        <v/>
      </c>
      <c r="G7" s="651"/>
      <c r="H7" s="651"/>
      <c r="I7" s="651"/>
      <c r="J7" s="651"/>
      <c r="K7" s="651"/>
      <c r="L7" s="651"/>
      <c r="M7" s="651"/>
      <c r="N7" s="651"/>
      <c r="O7" s="651"/>
      <c r="P7" s="651"/>
      <c r="Q7" s="651"/>
      <c r="R7" s="651"/>
      <c r="S7" s="651"/>
      <c r="T7" s="160"/>
      <c r="V7" s="164"/>
      <c r="W7" s="165"/>
    </row>
    <row r="8" spans="1:24" ht="16.5" thickBot="1" x14ac:dyDescent="0.3">
      <c r="A8" s="159"/>
      <c r="B8" s="166"/>
      <c r="F8" s="651"/>
      <c r="G8" s="651"/>
      <c r="H8" s="651"/>
      <c r="I8" s="651"/>
      <c r="J8" s="651"/>
      <c r="K8" s="651"/>
      <c r="L8" s="651"/>
      <c r="M8" s="651"/>
      <c r="N8" s="651"/>
      <c r="O8" s="651"/>
      <c r="P8" s="651"/>
      <c r="Q8" s="651"/>
      <c r="R8" s="651"/>
      <c r="S8" s="651"/>
      <c r="T8" s="160"/>
      <c r="V8" s="167"/>
      <c r="W8" s="168"/>
    </row>
    <row r="9" spans="1:24" ht="16.5" customHeight="1" thickBot="1" x14ac:dyDescent="0.3">
      <c r="A9" s="169"/>
      <c r="B9" s="170"/>
      <c r="F9" s="651"/>
      <c r="G9" s="651"/>
      <c r="H9" s="651"/>
      <c r="I9" s="651"/>
      <c r="J9" s="651"/>
      <c r="K9" s="651"/>
      <c r="L9" s="651"/>
      <c r="M9" s="651"/>
      <c r="N9" s="651"/>
      <c r="O9" s="651"/>
      <c r="P9" s="651"/>
      <c r="Q9" s="651"/>
      <c r="R9" s="651"/>
      <c r="S9" s="651"/>
      <c r="T9" s="160"/>
      <c r="V9" s="171"/>
      <c r="W9" s="172"/>
    </row>
    <row r="10" spans="1:24" ht="15.75" customHeight="1" x14ac:dyDescent="0.25">
      <c r="A10" s="173"/>
      <c r="B10" s="174"/>
      <c r="F10" s="184"/>
      <c r="G10" s="184"/>
      <c r="H10" s="184"/>
      <c r="I10" s="184"/>
      <c r="J10" s="184"/>
      <c r="K10" s="184"/>
      <c r="L10" s="184"/>
      <c r="M10" s="184"/>
      <c r="N10" s="184"/>
      <c r="O10" s="184"/>
      <c r="P10" s="184"/>
      <c r="Q10" s="184"/>
      <c r="R10" s="184"/>
      <c r="S10" s="184"/>
      <c r="T10" s="160"/>
      <c r="V10" s="175"/>
      <c r="W10" s="11" t="s">
        <v>139</v>
      </c>
    </row>
    <row r="11" spans="1:24" ht="15.75" customHeight="1" thickBot="1" x14ac:dyDescent="0.3">
      <c r="A11" s="176"/>
      <c r="B11" s="177"/>
      <c r="E11" s="203" t="b">
        <v>0</v>
      </c>
      <c r="F11" s="187" t="s">
        <v>802</v>
      </c>
      <c r="G11" s="188"/>
      <c r="H11" s="189"/>
      <c r="I11" s="190" t="b">
        <v>0</v>
      </c>
      <c r="J11" s="191" t="s">
        <v>801</v>
      </c>
      <c r="K11" s="192"/>
      <c r="L11" s="189"/>
      <c r="M11" s="205" t="b">
        <v>0</v>
      </c>
      <c r="N11" s="193" t="s">
        <v>798</v>
      </c>
      <c r="O11" s="194"/>
      <c r="P11" s="189"/>
      <c r="Q11" s="206" t="b">
        <v>0</v>
      </c>
      <c r="R11" s="195" t="s">
        <v>810</v>
      </c>
      <c r="S11" s="196"/>
      <c r="V11" s="178"/>
      <c r="W11" s="179"/>
    </row>
    <row r="12" spans="1:24" ht="15.75" customHeight="1" x14ac:dyDescent="0.25">
      <c r="A12" s="176"/>
      <c r="B12" s="180" t="s">
        <v>140</v>
      </c>
      <c r="E12" s="204" t="b">
        <v>0</v>
      </c>
      <c r="F12" s="197" t="s">
        <v>789</v>
      </c>
      <c r="G12" s="198"/>
      <c r="H12" s="189"/>
      <c r="I12" s="190" t="b">
        <v>0</v>
      </c>
      <c r="J12" s="191" t="s">
        <v>800</v>
      </c>
      <c r="K12" s="192"/>
      <c r="L12" s="189"/>
      <c r="M12" s="205" t="b">
        <v>0</v>
      </c>
      <c r="N12" s="193" t="s">
        <v>797</v>
      </c>
      <c r="O12" s="194"/>
      <c r="P12" s="189"/>
      <c r="Q12" s="207" t="b">
        <v>0</v>
      </c>
      <c r="R12" s="199" t="s">
        <v>811</v>
      </c>
      <c r="S12" s="208"/>
      <c r="V12" s="171"/>
      <c r="W12" s="172"/>
    </row>
    <row r="13" spans="1:24" ht="15.75" customHeight="1" x14ac:dyDescent="0.25">
      <c r="A13" s="176"/>
      <c r="B13" s="177"/>
      <c r="E13" s="200"/>
      <c r="F13" s="201"/>
      <c r="G13" s="202"/>
      <c r="H13" s="189"/>
      <c r="I13" s="190" t="b">
        <v>0</v>
      </c>
      <c r="J13" s="191" t="s">
        <v>799</v>
      </c>
      <c r="K13" s="192"/>
      <c r="L13" s="189"/>
      <c r="M13" s="205" t="b">
        <v>0</v>
      </c>
      <c r="N13" s="193" t="s">
        <v>796</v>
      </c>
      <c r="O13" s="194"/>
      <c r="P13" s="189"/>
      <c r="Q13" s="206" t="b">
        <v>0</v>
      </c>
      <c r="R13" s="195" t="s">
        <v>812</v>
      </c>
      <c r="S13" s="196"/>
      <c r="V13" s="175"/>
      <c r="W13" s="11" t="s">
        <v>207</v>
      </c>
    </row>
    <row r="14" spans="1:24" ht="15.75" customHeight="1" thickBot="1" x14ac:dyDescent="0.3">
      <c r="A14" s="176"/>
      <c r="B14" s="177"/>
      <c r="E14" s="204" t="b">
        <v>0</v>
      </c>
      <c r="F14" s="197" t="s">
        <v>788</v>
      </c>
      <c r="G14" s="198"/>
      <c r="H14" s="189"/>
      <c r="I14" s="205" t="b">
        <v>0</v>
      </c>
      <c r="J14" s="193" t="s">
        <v>807</v>
      </c>
      <c r="K14" s="194"/>
      <c r="L14" s="189"/>
      <c r="M14" s="205" t="b">
        <v>0</v>
      </c>
      <c r="N14" s="193" t="s">
        <v>795</v>
      </c>
      <c r="O14" s="194"/>
      <c r="P14" s="189"/>
      <c r="Q14" s="206" t="b">
        <v>0</v>
      </c>
      <c r="R14" s="195" t="s">
        <v>813</v>
      </c>
      <c r="S14" s="196"/>
      <c r="V14" s="178"/>
      <c r="W14" s="179"/>
    </row>
    <row r="15" spans="1:24" ht="15.75" customHeight="1" thickBot="1" x14ac:dyDescent="0.3">
      <c r="A15" s="173"/>
      <c r="B15" s="174"/>
      <c r="E15" s="204" t="b">
        <v>0</v>
      </c>
      <c r="F15" s="197" t="s">
        <v>787</v>
      </c>
      <c r="G15" s="198"/>
      <c r="H15" s="189"/>
      <c r="I15" s="205" t="b">
        <v>0</v>
      </c>
      <c r="J15" s="193" t="s">
        <v>808</v>
      </c>
      <c r="K15" s="194"/>
      <c r="L15" s="189"/>
      <c r="M15" s="205" t="b">
        <v>0</v>
      </c>
      <c r="N15" s="193" t="s">
        <v>794</v>
      </c>
      <c r="O15" s="194"/>
      <c r="P15" s="189"/>
      <c r="Q15" s="209"/>
      <c r="R15" s="210"/>
      <c r="S15" s="211"/>
      <c r="V15" s="167"/>
      <c r="W15" s="168"/>
    </row>
    <row r="16" spans="1:24" ht="17.25" thickBot="1" x14ac:dyDescent="0.3">
      <c r="A16" s="185"/>
      <c r="B16" s="186"/>
      <c r="E16" s="189"/>
      <c r="F16" s="189"/>
      <c r="G16" s="189"/>
      <c r="H16" s="189"/>
      <c r="I16" s="205" t="b">
        <v>0</v>
      </c>
      <c r="J16" s="193" t="s">
        <v>809</v>
      </c>
      <c r="K16" s="194"/>
      <c r="L16" s="189"/>
      <c r="M16" s="189"/>
      <c r="N16" s="189"/>
      <c r="O16" s="189"/>
      <c r="P16" s="189"/>
      <c r="Q16" s="189"/>
      <c r="R16" s="189"/>
      <c r="S16" s="189"/>
    </row>
    <row r="17" spans="1:24" ht="16.5" x14ac:dyDescent="0.25">
      <c r="E17" s="189"/>
      <c r="F17" s="189"/>
      <c r="G17" s="189"/>
      <c r="H17" s="189"/>
      <c r="I17" s="205" t="b">
        <v>0</v>
      </c>
      <c r="J17" s="193" t="s">
        <v>820</v>
      </c>
      <c r="K17" s="194"/>
      <c r="L17" s="189"/>
      <c r="M17" s="189"/>
      <c r="N17" s="189"/>
      <c r="O17" s="189"/>
      <c r="P17" s="189"/>
      <c r="Q17" s="189"/>
      <c r="R17" s="189"/>
      <c r="S17" s="189"/>
    </row>
    <row r="18" spans="1:24" ht="8.25" customHeight="1" thickBot="1" x14ac:dyDescent="0.3"/>
    <row r="19" spans="1:24" s="1" customFormat="1" ht="17.25" customHeight="1" thickBot="1" x14ac:dyDescent="0.3">
      <c r="A19" s="2"/>
      <c r="B19" s="2"/>
      <c r="C19" s="2"/>
      <c r="D19" s="3"/>
      <c r="E19" s="16"/>
      <c r="F19" s="5">
        <v>745.68499999999995</v>
      </c>
      <c r="G19" s="17"/>
      <c r="H19" s="18"/>
      <c r="I19" s="18"/>
      <c r="J19" s="18"/>
      <c r="K19" s="18"/>
      <c r="L19" s="19"/>
      <c r="M19" s="19"/>
      <c r="N19" s="49"/>
      <c r="O19" s="20">
        <v>689.11400000000003</v>
      </c>
      <c r="P19" s="48"/>
      <c r="Q19" s="51" t="s">
        <v>141</v>
      </c>
      <c r="R19" s="50"/>
      <c r="S19" s="47"/>
      <c r="T19" s="152"/>
      <c r="U19" s="10"/>
      <c r="V19" s="7"/>
      <c r="W19" s="7"/>
      <c r="X19" s="7"/>
    </row>
    <row r="20" spans="1:24" s="1" customFormat="1" ht="6.75" customHeight="1" x14ac:dyDescent="0.25">
      <c r="A20" s="2"/>
      <c r="B20" s="2"/>
      <c r="C20" s="2"/>
      <c r="D20" s="261"/>
      <c r="E20" s="262"/>
      <c r="F20" s="263"/>
      <c r="G20" s="264"/>
      <c r="H20" s="261"/>
      <c r="I20" s="261"/>
      <c r="J20" s="261"/>
      <c r="K20" s="261"/>
      <c r="L20" s="265"/>
      <c r="M20" s="265"/>
      <c r="N20" s="266"/>
      <c r="O20" s="266"/>
      <c r="P20" s="266"/>
      <c r="Q20" s="266"/>
      <c r="R20" s="12"/>
      <c r="S20" s="12"/>
      <c r="T20" s="2"/>
      <c r="U20" s="10"/>
      <c r="V20" s="7"/>
      <c r="W20" s="7"/>
      <c r="X20" s="7"/>
    </row>
    <row r="21" spans="1:24" s="182" customFormat="1" ht="15.75" customHeight="1" x14ac:dyDescent="0.25">
      <c r="B21" s="183" t="s">
        <v>806</v>
      </c>
      <c r="C21" s="183"/>
      <c r="D21" s="183"/>
      <c r="F21" s="182" t="s">
        <v>817</v>
      </c>
      <c r="H21" s="182" t="s">
        <v>805</v>
      </c>
      <c r="J21" s="182" t="s">
        <v>804</v>
      </c>
      <c r="L21" s="182" t="s">
        <v>803</v>
      </c>
    </row>
    <row r="22" spans="1:24" ht="15.75" customHeight="1" x14ac:dyDescent="0.25">
      <c r="B22" s="154" t="str">
        <f t="array" ref="B22">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COLUMN(A1))," ")</f>
        <v>Anti Battleship - Honorguard Worf</v>
      </c>
      <c r="F22" s="271" t="str">
        <f t="shared" ref="F22:F53" si="0">IFERROR(IF(VLOOKUP(B22,PSFull,2,FALSE)=0,"",IFERROR(VLOOKUP(B22,PSFull,2,FALSE),"")),"")</f>
        <v>Lorca</v>
      </c>
      <c r="G22" s="271"/>
      <c r="H22" s="271" t="str">
        <f t="shared" ref="H22:H53" si="1">IFERROR(IF(VLOOKUP(B22,PSFull,4,FALSE)=0,"",IFERROR(VLOOKUP(B22,PSFull,4,FALSE),"")),"")</f>
        <v>Charvanek</v>
      </c>
      <c r="I22" s="271"/>
      <c r="J22" s="271" t="str">
        <f t="shared" ref="J22:J53" si="2">IFERROR(IF(VLOOKUP(B22,PSFull,6,FALSE)=0,"",IFERROR(VLOOKUP(B22,PSFull,6,FALSE),"")),"")</f>
        <v>Honorguard Worf</v>
      </c>
      <c r="K22" s="270"/>
      <c r="L22" s="154" t="str">
        <f t="shared" ref="L22:L53" si="3">IFERROR(IF(VLOOKUP(B22,PSFull,8,FALSE)=0,"",IFERROR(VLOOKUP(B22,PSFull,8,FALSE),"")),"")</f>
        <v>Lorca can be substituted for Gorkon if not attained, but Lorca has provided better results</v>
      </c>
    </row>
    <row r="23" spans="1:24" ht="15.75" customHeight="1" x14ac:dyDescent="0.25">
      <c r="B23" s="154" t="str">
        <f t="array" ref="B23">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2)),COLUMN(A2))," ")</f>
        <v>Anti Explorer - Honorguard Worf</v>
      </c>
      <c r="F23" s="271" t="str">
        <f t="shared" si="0"/>
        <v>Lorca</v>
      </c>
      <c r="G23" s="271"/>
      <c r="H23" s="271" t="str">
        <f t="shared" si="1"/>
        <v>Marcus</v>
      </c>
      <c r="I23" s="271"/>
      <c r="J23" s="271" t="str">
        <f t="shared" si="2"/>
        <v>Honorguard Worf</v>
      </c>
      <c r="K23" s="270"/>
      <c r="L23" s="154" t="str">
        <f t="shared" si="3"/>
        <v>Lorca can be substituted for Gorkon if not attained, but Lorca has provided better results</v>
      </c>
    </row>
    <row r="24" spans="1:24" ht="15.75" customHeight="1" x14ac:dyDescent="0.25">
      <c r="B24" s="154" t="str">
        <f t="array" ref="B24">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3)),COLUMN(A3))," ")</f>
        <v>Anti Interceptor - Honorguard Worf</v>
      </c>
      <c r="F24" s="271" t="str">
        <f t="shared" si="0"/>
        <v>Lorca</v>
      </c>
      <c r="G24" s="271"/>
      <c r="H24" s="271" t="str">
        <f t="shared" si="1"/>
        <v>Kang</v>
      </c>
      <c r="I24" s="271"/>
      <c r="J24" s="271" t="str">
        <f t="shared" si="2"/>
        <v>Honorguard Worf</v>
      </c>
      <c r="K24" s="270"/>
      <c r="L24" s="154" t="str">
        <f t="shared" si="3"/>
        <v>Lorca can be substituted for Gorkon if not attained, but Lorca has provided better results</v>
      </c>
    </row>
    <row r="25" spans="1:24" x14ac:dyDescent="0.25">
      <c r="B25" s="154" t="str">
        <f t="array" ref="B25">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4)),COLUMN(A4))," ")</f>
        <v>Anti-Augur and Rom Charvanek/DJ</v>
      </c>
      <c r="F25" s="271" t="str">
        <f t="shared" si="0"/>
        <v>Charvanek</v>
      </c>
      <c r="G25" s="271"/>
      <c r="H25" s="271" t="str">
        <f t="shared" si="1"/>
        <v>Yan'Agh</v>
      </c>
      <c r="I25" s="271"/>
      <c r="J25" s="271" t="str">
        <f t="shared" si="2"/>
        <v>D'Jaoki</v>
      </c>
      <c r="K25" s="270"/>
      <c r="L25" s="154" t="str">
        <f t="shared" si="3"/>
        <v>All officers should be R4 or R5. Stack lower deck for Health.</v>
      </c>
    </row>
    <row r="26" spans="1:24" x14ac:dyDescent="0.25">
      <c r="B26" s="154" t="str">
        <f t="array" ref="B26">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5)),COLUMN(A5))," ")</f>
        <v>Anti-Augur and Rom Yuki/Charvanek</v>
      </c>
      <c r="F26" s="271" t="str">
        <f t="shared" si="0"/>
        <v>Yuki</v>
      </c>
      <c r="G26" s="271"/>
      <c r="H26" s="271" t="str">
        <f t="shared" si="1"/>
        <v>Yan'Agh</v>
      </c>
      <c r="I26" s="271"/>
      <c r="J26" s="271" t="str">
        <f t="shared" si="2"/>
        <v>Charvanek</v>
      </c>
      <c r="K26" s="270"/>
      <c r="L26" s="154" t="str">
        <f t="shared" si="3"/>
        <v>All officers should be R4 or R5. Stack lower deck for Health.</v>
      </c>
    </row>
    <row r="27" spans="1:24" x14ac:dyDescent="0.25">
      <c r="B27" s="154" t="str">
        <f t="array" ref="B27">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6)),COLUMN(A6))," ")</f>
        <v>Anti-Battleship - 5/Charvanek</v>
      </c>
      <c r="F27" s="271" t="str">
        <f t="shared" si="0"/>
        <v>Five Of Eleven</v>
      </c>
      <c r="G27" s="271"/>
      <c r="H27" s="271" t="str">
        <f t="shared" si="1"/>
        <v>Charvanek</v>
      </c>
      <c r="I27" s="271"/>
      <c r="J27" s="271" t="str">
        <f t="shared" si="2"/>
        <v>Khan</v>
      </c>
      <c r="K27" s="270"/>
      <c r="L27" s="154" t="str">
        <f t="shared" si="3"/>
        <v>Stack lower decks for Health</v>
      </c>
    </row>
    <row r="28" spans="1:24" x14ac:dyDescent="0.25">
      <c r="B28" s="154" t="str">
        <f t="array" ref="B28">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7)),COLUMN(A7))," ")</f>
        <v>Anti-Battleship - Morale/Charvanek</v>
      </c>
      <c r="F28" s="271" t="str">
        <f t="shared" si="0"/>
        <v>Kirk</v>
      </c>
      <c r="G28" s="271"/>
      <c r="H28" s="271" t="str">
        <f t="shared" si="1"/>
        <v>Spock</v>
      </c>
      <c r="I28" s="271"/>
      <c r="J28" s="271" t="str">
        <f t="shared" si="2"/>
        <v>Charvanek</v>
      </c>
      <c r="K28" s="270"/>
      <c r="L28" s="154" t="str">
        <f t="shared" si="3"/>
        <v>Stack lower decks for Health and Defence. Spock can be swapped out for Khan or anti faction officer on the Enterprise.</v>
      </c>
    </row>
    <row r="29" spans="1:24" x14ac:dyDescent="0.25">
      <c r="B29" s="154" t="str">
        <f t="array" ref="B29">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8)),COLUMN(A8))," ")</f>
        <v>Anti-Explorer - 5/Marcus</v>
      </c>
      <c r="F29" s="271" t="str">
        <f t="shared" si="0"/>
        <v>Five Of Eleven</v>
      </c>
      <c r="G29" s="271"/>
      <c r="H29" s="271" t="str">
        <f t="shared" si="1"/>
        <v>Marcus</v>
      </c>
      <c r="I29" s="271"/>
      <c r="J29" s="271" t="str">
        <f t="shared" si="2"/>
        <v>Khan</v>
      </c>
      <c r="K29" s="270"/>
      <c r="L29" s="154" t="str">
        <f t="shared" si="3"/>
        <v>Stack lower decks for Health and Defence</v>
      </c>
    </row>
    <row r="30" spans="1:24" x14ac:dyDescent="0.25">
      <c r="B30" s="154" t="str">
        <f t="array" ref="B30">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9)),COLUMN(A9))," ")</f>
        <v>Anti-Explorer - Morale/Marcus</v>
      </c>
      <c r="F30" s="271" t="str">
        <f t="shared" si="0"/>
        <v>Kirk</v>
      </c>
      <c r="G30" s="271"/>
      <c r="H30" s="271" t="str">
        <f t="shared" si="1"/>
        <v>Spock</v>
      </c>
      <c r="I30" s="271"/>
      <c r="J30" s="271" t="str">
        <f t="shared" si="2"/>
        <v>Marcus</v>
      </c>
      <c r="K30" s="270"/>
      <c r="L30" s="154" t="str">
        <f t="shared" si="3"/>
        <v>Stack lower decks for Defence. Spock can be swapped out for Khan or anti faction officer on the Enterprise.</v>
      </c>
    </row>
    <row r="31" spans="1:24" x14ac:dyDescent="0.25">
      <c r="B31" s="154" t="str">
        <f t="array" ref="B31">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10)),COLUMN(A10))," ")</f>
        <v>Anti-Federation Battleships</v>
      </c>
      <c r="F31" s="271" t="str">
        <f t="shared" si="0"/>
        <v>Charvanek</v>
      </c>
      <c r="G31" s="271"/>
      <c r="H31" s="271" t="str">
        <f t="shared" si="1"/>
        <v>Mirek</v>
      </c>
      <c r="I31" s="271"/>
      <c r="J31" s="271" t="str">
        <f t="shared" si="2"/>
        <v>Krell</v>
      </c>
      <c r="K31" s="270"/>
      <c r="L31" s="154" t="str">
        <f t="shared" si="3"/>
        <v>MIrek and Krell must be Maxed for best results, even at Rank 4 not very effective</v>
      </c>
    </row>
    <row r="32" spans="1:24" x14ac:dyDescent="0.25">
      <c r="B32" s="154" t="str">
        <f t="array" ref="B32">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11)),COLUMN(A11))," ")</f>
        <v>Anti-Federation Explorers</v>
      </c>
      <c r="F32" s="271" t="str">
        <f t="shared" si="0"/>
        <v>Marcus</v>
      </c>
      <c r="G32" s="271"/>
      <c r="H32" s="271" t="str">
        <f t="shared" si="1"/>
        <v>Mirek</v>
      </c>
      <c r="I32" s="271"/>
      <c r="J32" s="271" t="str">
        <f t="shared" si="2"/>
        <v>Krell</v>
      </c>
      <c r="K32" s="270"/>
      <c r="L32" s="154" t="str">
        <f t="shared" si="3"/>
        <v>MIrek and Krell must be Maxed for best results, even at Rank 4 not very effective</v>
      </c>
    </row>
    <row r="33" spans="2:12" x14ac:dyDescent="0.25">
      <c r="B33" s="154" t="str">
        <f t="array" ref="B33">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12)),COLUMN(A12))," ")</f>
        <v>Anti-Federation Interceptors</v>
      </c>
      <c r="F33" s="271" t="str">
        <f t="shared" si="0"/>
        <v>Kang</v>
      </c>
      <c r="G33" s="271"/>
      <c r="H33" s="271" t="str">
        <f t="shared" si="1"/>
        <v>Mirek</v>
      </c>
      <c r="I33" s="271"/>
      <c r="J33" s="271" t="str">
        <f t="shared" si="2"/>
        <v>Krell</v>
      </c>
      <c r="K33" s="270"/>
      <c r="L33" s="154" t="str">
        <f t="shared" si="3"/>
        <v>MIrek and Krell must be Maxed for best results, even at Rank 4 not very effective</v>
      </c>
    </row>
    <row r="34" spans="2:12" x14ac:dyDescent="0.25">
      <c r="B34" s="154" t="str">
        <f t="array" ref="B34">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13)),COLUMN(A13))," ")</f>
        <v>Anti-Interceptor - 5/Kang</v>
      </c>
      <c r="F34" s="271" t="str">
        <f t="shared" si="0"/>
        <v>Five Of Eleven</v>
      </c>
      <c r="G34" s="271"/>
      <c r="H34" s="271" t="str">
        <f t="shared" si="1"/>
        <v>Kang</v>
      </c>
      <c r="I34" s="271"/>
      <c r="J34" s="271" t="str">
        <f t="shared" si="2"/>
        <v>Khan</v>
      </c>
      <c r="K34" s="270"/>
      <c r="L34" s="154" t="str">
        <f t="shared" si="3"/>
        <v>Stack lower decks for Health and Attack</v>
      </c>
    </row>
    <row r="35" spans="2:12" x14ac:dyDescent="0.25">
      <c r="B35" s="154" t="str">
        <f t="array" ref="B35">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14)),COLUMN(A14))," ")</f>
        <v>Anti-Interceptor - Morale/Kang</v>
      </c>
      <c r="F35" s="271" t="str">
        <f t="shared" si="0"/>
        <v>Kirk</v>
      </c>
      <c r="G35" s="271"/>
      <c r="H35" s="271" t="str">
        <f t="shared" si="1"/>
        <v>Spock</v>
      </c>
      <c r="I35" s="271"/>
      <c r="J35" s="271" t="str">
        <f t="shared" si="2"/>
        <v>Kang</v>
      </c>
      <c r="K35" s="270"/>
      <c r="L35" s="154" t="str">
        <f t="shared" si="3"/>
        <v>Stack lower decks for Attack and Defence. Spock can be swapped out for Khan or anti faction officer on the Enterprise.</v>
      </c>
    </row>
    <row r="36" spans="2:12" x14ac:dyDescent="0.25">
      <c r="B36" s="154" t="str">
        <f t="array" ref="B36">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15)),COLUMN(A15))," ")</f>
        <v>Anti-Klingon Interceptor - Gorkon/Kang/L'Nar</v>
      </c>
      <c r="F36" s="271" t="str">
        <f t="shared" si="0"/>
        <v>Gorkon</v>
      </c>
      <c r="G36" s="271"/>
      <c r="H36" s="271" t="str">
        <f t="shared" si="1"/>
        <v>Kang</v>
      </c>
      <c r="I36" s="271"/>
      <c r="J36" s="271" t="str">
        <f t="shared" si="2"/>
        <v>L'Nar</v>
      </c>
      <c r="K36" s="270"/>
      <c r="L36" s="154" t="str">
        <f t="shared" si="3"/>
        <v>Stack lower decks for Attack</v>
      </c>
    </row>
    <row r="37" spans="2:12" x14ac:dyDescent="0.25">
      <c r="B37" s="154" t="str">
        <f t="array" ref="B37">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16)),COLUMN(A16))," ")</f>
        <v>Armada - Eclipse alternative</v>
      </c>
      <c r="F37" s="271" t="str">
        <f t="shared" si="0"/>
        <v>Beverly Crusher</v>
      </c>
      <c r="G37" s="271"/>
      <c r="H37" s="271" t="str">
        <f t="shared" si="1"/>
        <v>Khan</v>
      </c>
      <c r="I37" s="271"/>
      <c r="J37" s="271" t="str">
        <f t="shared" si="2"/>
        <v>Lorca</v>
      </c>
      <c r="K37" s="270"/>
      <c r="L37" s="154" t="str">
        <f t="shared" si="3"/>
        <v>Stack Health and Defence for Beverley. Beverley offers both shield regeneration and mitigation. Khan and lorca combined offer the ability to deal huge damage with increase in Critical chance and hull breach. This crew will need stella research to be quite advanced M50+ roughly. This crew will not replace Kirk, Spock &amp; Khan, but is a great alternative if Kirk and Spock are busy elseware.</v>
      </c>
    </row>
    <row r="38" spans="2:12" x14ac:dyDescent="0.25">
      <c r="B38" s="154" t="str">
        <f t="array" ref="B38">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17)),COLUMN(A17))," ")</f>
        <v>Armadas - 5/6/Khan</v>
      </c>
      <c r="F38" s="271" t="str">
        <f t="shared" si="0"/>
        <v>Five Of Eleven</v>
      </c>
      <c r="G38" s="271"/>
      <c r="H38" s="271" t="str">
        <f t="shared" si="1"/>
        <v>Six Of Eleven</v>
      </c>
      <c r="I38" s="271"/>
      <c r="J38" s="271" t="str">
        <f t="shared" si="2"/>
        <v>Khan</v>
      </c>
      <c r="K38" s="270"/>
      <c r="L38" s="154" t="str">
        <f t="shared" si="3"/>
        <v>Stack lower decks for Health and Attack</v>
      </c>
    </row>
    <row r="39" spans="2:12" x14ac:dyDescent="0.25">
      <c r="B39" s="154" t="str">
        <f t="array" ref="B39">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18)),COLUMN(A18))," ")</f>
        <v>Armadas - Borg - Sacrificial Lamb</v>
      </c>
      <c r="F39" s="271" t="str">
        <f t="shared" si="0"/>
        <v>Nine Of Eleven</v>
      </c>
      <c r="G39" s="271"/>
      <c r="H39" s="271" t="str">
        <f t="shared" si="1"/>
        <v>Five Of Eleven</v>
      </c>
      <c r="I39" s="271"/>
      <c r="J39" s="271" t="str">
        <f t="shared" si="2"/>
        <v>Seven Of Eleven</v>
      </c>
      <c r="K39" s="270"/>
      <c r="L39" s="154" t="str">
        <f t="shared" si="3"/>
        <v>Only for the Vidar, this crew removes the crit CHANCE completely Vs borg armadas. Requires full synergy and 5 is interchangeable with 8 if either busy elsewhere or not yet obtained. This crew should be run by just one member of your team and used on the weakest ship.</v>
      </c>
    </row>
    <row r="40" spans="2:12" x14ac:dyDescent="0.25">
      <c r="B40" s="154" t="str">
        <f t="array" ref="B40">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19)),COLUMN(A19))," ")</f>
        <v>Armadas - Breach ship loadout(Gorkon)</v>
      </c>
      <c r="F40" s="271" t="str">
        <f t="shared" si="0"/>
        <v>Kirk</v>
      </c>
      <c r="G40" s="271"/>
      <c r="H40" s="271" t="str">
        <f t="shared" si="1"/>
        <v>Spock</v>
      </c>
      <c r="I40" s="271"/>
      <c r="J40" s="271" t="str">
        <f t="shared" si="2"/>
        <v>Gorkon</v>
      </c>
      <c r="K40" s="270"/>
      <c r="L40" s="154" t="str">
        <f t="shared" si="3"/>
        <v>Used as a support ship for armada to apply breach to the armada that the whole team benefits from. this is run with Morale to increase survivability.</v>
      </c>
    </row>
    <row r="41" spans="2:12" x14ac:dyDescent="0.25">
      <c r="B41" s="154" t="str">
        <f t="array" ref="B41">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20)),COLUMN(A20))," ")</f>
        <v>Armadas - Breach ship loadout(Lorca)</v>
      </c>
      <c r="F41" s="271" t="str">
        <f t="shared" si="0"/>
        <v>Kirk</v>
      </c>
      <c r="G41" s="271"/>
      <c r="H41" s="271" t="str">
        <f t="shared" si="1"/>
        <v>Spock</v>
      </c>
      <c r="I41" s="271"/>
      <c r="J41" s="271" t="str">
        <f t="shared" si="2"/>
        <v>Lorca</v>
      </c>
      <c r="K41" s="270"/>
      <c r="L41" s="154" t="str">
        <f t="shared" si="3"/>
        <v>Used as a support ship for armada to apply breach to the armada that the whole team benefits from. this is run with Morale to increase survivability.</v>
      </c>
    </row>
    <row r="42" spans="2:12" x14ac:dyDescent="0.25">
      <c r="B42" s="154" t="str">
        <f t="array" ref="B42">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21)),COLUMN(A21))," ")</f>
        <v>Armadas - Burning ship loadout(Georgiou)</v>
      </c>
      <c r="F42" s="271" t="str">
        <f t="shared" si="0"/>
        <v>Kirk</v>
      </c>
      <c r="G42" s="271"/>
      <c r="H42" s="271" t="str">
        <f t="shared" si="1"/>
        <v>Spock</v>
      </c>
      <c r="I42" s="271"/>
      <c r="J42" s="271" t="str">
        <f t="shared" si="2"/>
        <v>Georgiou</v>
      </c>
      <c r="K42" s="270"/>
      <c r="L42" s="154" t="str">
        <f t="shared" si="3"/>
        <v>Used as a support ship for armada to apply burning to the armada that the whole team benefits from. this is run with Morale to increase survivability.</v>
      </c>
    </row>
    <row r="43" spans="2:12" x14ac:dyDescent="0.25">
      <c r="B43" s="154" t="str">
        <f t="array" ref="B43">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22)),COLUMN(A22))," ")</f>
        <v>Armadas - Burning ship loadout(Nero)</v>
      </c>
      <c r="F43" s="271" t="str">
        <f t="shared" si="0"/>
        <v>Kirk</v>
      </c>
      <c r="G43" s="271"/>
      <c r="H43" s="271" t="str">
        <f t="shared" si="1"/>
        <v>Spock</v>
      </c>
      <c r="I43" s="271"/>
      <c r="J43" s="271" t="str">
        <f t="shared" si="2"/>
        <v>Nero</v>
      </c>
      <c r="K43" s="270"/>
      <c r="L43" s="154" t="str">
        <f t="shared" si="3"/>
        <v>Used as a support ship for armada to apply burning to the armada that the whole team benefits from. this is run with Morale to increase survivability. If you have Georgiou, then her burning ability is more reliable and should be used over this crew ideally.</v>
      </c>
    </row>
    <row r="44" spans="2:12" x14ac:dyDescent="0.25">
      <c r="B44" s="154" t="str">
        <f t="array" ref="B44">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23)),COLUMN(A23))," ")</f>
        <v>Armadas - Early Level - Burning (No Epics)</v>
      </c>
      <c r="F44" s="271" t="str">
        <f t="shared" si="0"/>
        <v>Arix</v>
      </c>
      <c r="G44" s="271"/>
      <c r="H44" s="271" t="str">
        <f t="shared" si="1"/>
        <v>Kumak</v>
      </c>
      <c r="I44" s="271"/>
      <c r="J44" s="271" t="str">
        <f t="shared" si="2"/>
        <v>Vemet</v>
      </c>
      <c r="K44" s="270"/>
      <c r="L44" s="154" t="str">
        <f t="shared" si="3"/>
        <v>Basic Burning Crew, Arix is first officer you will likely unlock which can proc burning and 2 sides of synergy help to increase this chance. Stack Health for Vemet ability. once Georgiou or Nero unlocked move to other crews. NOTE: if using a battleship class, swapping Kumak for one of the battleship specific officers from Nero's crew could be beneficial</v>
      </c>
    </row>
    <row r="45" spans="2:12" x14ac:dyDescent="0.25">
      <c r="B45" s="154" t="str">
        <f t="array" ref="B45">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24)),COLUMN(A24))," ")</f>
        <v>Armadas - Early Level - Hull Breach (No Epics)</v>
      </c>
      <c r="F45" s="271" t="str">
        <f t="shared" si="0"/>
        <v>Azetbur</v>
      </c>
      <c r="G45" s="271"/>
      <c r="H45" s="271" t="str">
        <f t="shared" si="1"/>
        <v>Kerla</v>
      </c>
      <c r="I45" s="271"/>
      <c r="J45" s="271" t="str">
        <f t="shared" si="2"/>
        <v>M'Ral</v>
      </c>
      <c r="K45" s="270"/>
      <c r="L45" s="154" t="str">
        <f t="shared" si="3"/>
        <v>Basic Breach crew, needs Azetbur to Proc breach and needs your ship to have a kinetic weapon. Synergy with other officers increase its effectiveness while offering additional bonuses from their respective abilities. Once Gorkon or Lorca unlocked, even at rank one, switch to alternative Hull Breach Crew. for additional Stats M'Ral can be swapped for Chang but note that his ability does not work against armadas.</v>
      </c>
    </row>
    <row r="46" spans="2:12" x14ac:dyDescent="0.25">
      <c r="B46" s="154" t="str">
        <f t="array" ref="B46">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25)),COLUMN(A25))," ")</f>
        <v>Armadas - Early Level - Morale (No Epics)</v>
      </c>
      <c r="F46" s="271" t="str">
        <f t="shared" si="0"/>
        <v>Sulu</v>
      </c>
      <c r="G46" s="271"/>
      <c r="H46" s="271" t="str">
        <f t="shared" si="1"/>
        <v>Bones</v>
      </c>
      <c r="I46" s="271"/>
      <c r="J46" s="271" t="str">
        <f t="shared" si="2"/>
        <v>Spock</v>
      </c>
      <c r="K46" s="270"/>
      <c r="L46" s="154" t="str">
        <f t="shared" si="3"/>
        <v>Morale is the key to this Crew, however without kirk sulu is the best option. once Kirk unlocked then move to the more advanced crews using him. Bones as side officer boosts defence and therefore improving spocks ability.</v>
      </c>
    </row>
    <row r="47" spans="2:12" x14ac:dyDescent="0.25">
      <c r="B47" s="154" t="str">
        <f t="array" ref="B47">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26)),COLUMN(A26))," ")</f>
        <v>Armadas - Kirk/Spock/6</v>
      </c>
      <c r="F47" s="271" t="str">
        <f t="shared" si="0"/>
        <v>Kirk</v>
      </c>
      <c r="G47" s="271"/>
      <c r="H47" s="271" t="str">
        <f t="shared" si="1"/>
        <v>Spock</v>
      </c>
      <c r="I47" s="271"/>
      <c r="J47" s="271" t="str">
        <f t="shared" si="2"/>
        <v>Six Of Eleven</v>
      </c>
      <c r="K47" s="270"/>
      <c r="L47" s="154" t="str">
        <f t="shared" si="3"/>
        <v>Stack lower decks for Defence and Attack</v>
      </c>
    </row>
    <row r="48" spans="2:12" x14ac:dyDescent="0.25">
      <c r="B48" s="154" t="str">
        <f t="array" ref="B48">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27)),COLUMN(A27))," ")</f>
        <v>Armadas - Kirk/Spock/Khan</v>
      </c>
      <c r="F48" s="271" t="str">
        <f t="shared" si="0"/>
        <v>Kirk</v>
      </c>
      <c r="G48" s="271"/>
      <c r="H48" s="271" t="str">
        <f t="shared" si="1"/>
        <v>Spock</v>
      </c>
      <c r="I48" s="271"/>
      <c r="J48" s="271" t="str">
        <f t="shared" si="2"/>
        <v>Khan</v>
      </c>
      <c r="K48" s="270"/>
      <c r="L48" s="154" t="str">
        <f t="shared" si="3"/>
        <v>Stack lower decks for Defence</v>
      </c>
    </row>
    <row r="49" spans="2:12" x14ac:dyDescent="0.25">
      <c r="B49" s="154" t="str">
        <f t="array" ref="B49">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28)),COLUMN(A28))," ")</f>
        <v>Armadas - Max Crit Damage reducer (Picard)</v>
      </c>
      <c r="F49" s="271" t="str">
        <f t="shared" si="0"/>
        <v>Jean-Luc Picard</v>
      </c>
      <c r="G49" s="271"/>
      <c r="H49" s="271" t="str">
        <f t="shared" si="1"/>
        <v>Beverly Crusher</v>
      </c>
      <c r="I49" s="271"/>
      <c r="J49" s="271" t="str">
        <f t="shared" si="2"/>
        <v>Gaila</v>
      </c>
      <c r="K49" s="270"/>
      <c r="L49" s="154" t="str">
        <f t="shared" si="3"/>
        <v>Gaila Must be MAXED for best results. added benefit over using the pike version of this crew due to the Crit damage officer ability from Picard. This crew reduces critical DAMAGE (different to Critical hit CHANCE). multiple may be required to fully remove all damage when fighting armadas. Scan the armada and check its critical damage to find out how much you need to remove. this crew with maxed Gaila will reduce crit damage by 110%</v>
      </c>
    </row>
    <row r="50" spans="2:12" x14ac:dyDescent="0.25">
      <c r="B50" s="154" t="str">
        <f t="array" ref="B50">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29)),COLUMN(A29))," ")</f>
        <v>Armadas - Max Crit Damage reducer (Pike)</v>
      </c>
      <c r="F50" s="271" t="str">
        <f t="shared" si="0"/>
        <v>Pike</v>
      </c>
      <c r="G50" s="271"/>
      <c r="H50" s="271" t="str">
        <f t="shared" si="1"/>
        <v>Moreau</v>
      </c>
      <c r="I50" s="271"/>
      <c r="J50" s="271" t="str">
        <f t="shared" si="2"/>
        <v>Gaila</v>
      </c>
      <c r="K50" s="270"/>
      <c r="L50" s="154" t="str">
        <f t="shared" si="3"/>
        <v>Gaila Must be MAXED for best results. This crew reduces critical DAMAGE (different to Critical hit CHANCE). multiple may be required to fully remove all damage when fighting armadas. Scan the armada and check its critical damage to find out how much you need to remove. this crew with maxed Gaila will reduce crit damage by 110%</v>
      </c>
    </row>
    <row r="51" spans="2:12" x14ac:dyDescent="0.25">
      <c r="B51" s="154" t="str">
        <f t="array" ref="B51">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30)),COLUMN(A30))," ")</f>
        <v>Armadas - Max Damage crew</v>
      </c>
      <c r="F51" s="271" t="str">
        <f t="shared" si="0"/>
        <v>William T. Riker</v>
      </c>
      <c r="G51" s="271"/>
      <c r="H51" s="271" t="str">
        <f t="shared" si="1"/>
        <v>Khan</v>
      </c>
      <c r="I51" s="271"/>
      <c r="J51" s="271" t="str">
        <f t="shared" si="2"/>
        <v>Six Of Eleven</v>
      </c>
      <c r="K51" s="270"/>
      <c r="L51" s="154" t="str">
        <f t="shared" si="3"/>
        <v>6 needs to be min t3 for this loadout. stack attack for 6. this crews offers little by the way of survivability. purely used to through the most damage, increase penetration and crit rate</v>
      </c>
    </row>
    <row r="52" spans="2:12" x14ac:dyDescent="0.25">
      <c r="B52" s="154" t="str">
        <f t="array" ref="B52">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31)),COLUMN(A31))," ")</f>
        <v>Armadas - Max Loot</v>
      </c>
      <c r="F52" s="271" t="str">
        <f t="shared" si="0"/>
        <v>Geordi La Forge</v>
      </c>
      <c r="G52" s="271"/>
      <c r="H52" s="271" t="str">
        <f t="shared" si="1"/>
        <v>Beverly Crusher</v>
      </c>
      <c r="I52" s="271"/>
      <c r="J52" s="271" t="str">
        <f t="shared" si="2"/>
        <v>Five Of Eleven</v>
      </c>
      <c r="K52" s="270"/>
      <c r="L52" s="154" t="str">
        <f t="shared" si="3"/>
        <v>ONLY use this crew if you are sure of victory as it offers very little by means of attack abilities and you are using the standard ship power. Provides the highest loot multiplyer available from armadas. Beverley can be swapped to the appropriate anti faction officer within the TNG crew group as long as not also engineering class, which would reduce the synergy and therefore loot received. Beverley is a good choice for the mitigation increase.</v>
      </c>
    </row>
    <row r="53" spans="2:12" x14ac:dyDescent="0.25">
      <c r="B53" s="154" t="str">
        <f t="array" ref="B53">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32)),COLUMN(A32))," ")</f>
        <v>Armadas - Riker and Morale</v>
      </c>
      <c r="F53" s="271" t="str">
        <f t="shared" si="0"/>
        <v>William T. Riker</v>
      </c>
      <c r="G53" s="271"/>
      <c r="H53" s="271" t="str">
        <f t="shared" si="1"/>
        <v>Kirk</v>
      </c>
      <c r="I53" s="271"/>
      <c r="J53" s="271" t="str">
        <f t="shared" si="2"/>
        <v>Spock</v>
      </c>
      <c r="K53" s="270"/>
      <c r="L53" s="154" t="str">
        <f t="shared" si="3"/>
        <v>Stack for defence for Spock</v>
      </c>
    </row>
    <row r="54" spans="2:12" x14ac:dyDescent="0.25">
      <c r="B54" s="154" t="str">
        <f t="array" ref="B54">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33)),COLUMN(A33))," ")</f>
        <v>Armadas - Riker on Enterprise</v>
      </c>
      <c r="F54" s="271" t="str">
        <f t="shared" ref="F54:F85" si="4">IFERROR(IF(VLOOKUP(B54,PSFull,2,FALSE)=0,"",IFERROR(VLOOKUP(B54,PSFull,2,FALSE),"")),"")</f>
        <v>William T. Riker</v>
      </c>
      <c r="G54" s="271"/>
      <c r="H54" s="271" t="str">
        <f t="shared" ref="H54:H85" si="5">IFERROR(IF(VLOOKUP(B54,PSFull,4,FALSE)=0,"",IFERROR(VLOOKUP(B54,PSFull,4,FALSE),"")),"")</f>
        <v>Beverly Crusher</v>
      </c>
      <c r="I54" s="271"/>
      <c r="J54" s="271" t="str">
        <f t="shared" ref="J54:J85" si="6">IFERROR(IF(VLOOKUP(B54,PSFull,6,FALSE)=0,"",IFERROR(VLOOKUP(B54,PSFull,6,FALSE),"")),"")</f>
        <v>Kirk</v>
      </c>
      <c r="K54" s="270"/>
      <c r="L54" s="154" t="str">
        <f t="shared" ref="L54:L85" si="7">IFERROR(IF(VLOOKUP(B54,PSFull,8,FALSE)=0,"",IFERROR(VLOOKUP(B54,PSFull,8,FALSE),"")),"")</f>
        <v>Only for Enterprise to ensure you are activating its Ship ability. the Higher the rank of Beverley the better but her main purpose is to provide synergy to Riker to increase damage each round. Stack for Defence for Beverley.</v>
      </c>
    </row>
    <row r="55" spans="2:12" x14ac:dyDescent="0.25">
      <c r="B55" s="154" t="str">
        <f t="array" ref="B55">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34)),COLUMN(A34))," ")</f>
        <v>Armadas - Riker plus Penetration</v>
      </c>
      <c r="F55" s="271" t="str">
        <f t="shared" si="4"/>
        <v>William T. Riker</v>
      </c>
      <c r="G55" s="271"/>
      <c r="H55" s="271" t="str">
        <f t="shared" si="5"/>
        <v>Beverly Crusher</v>
      </c>
      <c r="I55" s="271"/>
      <c r="J55" s="271" t="str">
        <f t="shared" si="6"/>
        <v>Six Of Eleven</v>
      </c>
      <c r="K55" s="270"/>
      <c r="L55" s="154" t="str">
        <f t="shared" si="7"/>
        <v>Stack for Defence and Attack. Offers Damage boost from riker each round. Mitigation from beverley and Penetration boost from Six Of Eleven. Beverley also provides Synergy to riker boosting his captains maneuver.</v>
      </c>
    </row>
    <row r="56" spans="2:12" x14ac:dyDescent="0.25">
      <c r="B56" s="154" t="str">
        <f t="array" ref="B56">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35)),COLUMN(A35))," ")</f>
        <v>Armadas - Riker/Bev/Khan</v>
      </c>
      <c r="F56" s="271" t="str">
        <f t="shared" si="4"/>
        <v>William T. Riker</v>
      </c>
      <c r="G56" s="271"/>
      <c r="H56" s="271" t="str">
        <f t="shared" si="5"/>
        <v>Beverly Crusher</v>
      </c>
      <c r="I56" s="271"/>
      <c r="J56" s="271" t="str">
        <f t="shared" si="6"/>
        <v>Khan</v>
      </c>
      <c r="K56" s="270"/>
      <c r="L56" s="154" t="str">
        <f t="shared" si="7"/>
        <v>Stack defence for Beverley. Beverley adds Synergy to Riker, increasing damage output and khan increase crit rate. Beverley Level is the higher the better for increased mitigation, but this will hit the maximum mitigation cap even at lower ranks providing you have the officer stats to back it up.</v>
      </c>
    </row>
    <row r="57" spans="2:12" x14ac:dyDescent="0.25">
      <c r="B57" s="154" t="str">
        <f t="array" ref="B57">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36)),COLUMN(A36))," ")</f>
        <v>Armadas - Troi crit reducer - Exchange Armadas</v>
      </c>
      <c r="F57" s="271" t="str">
        <f t="shared" si="4"/>
        <v>Deanna Troi</v>
      </c>
      <c r="G57" s="271"/>
      <c r="H57" s="271" t="str">
        <f t="shared" si="5"/>
        <v>Data</v>
      </c>
      <c r="I57" s="271"/>
      <c r="J57" s="271" t="str">
        <f t="shared" si="6"/>
        <v>Khan</v>
      </c>
      <c r="K57" s="270"/>
      <c r="L57" s="154" t="str">
        <f t="shared" si="7"/>
        <v>Exchange armadas have a crit chance of 20% this crew will remove all critical shots thrown by the armada as troi will have one side of Synergy. Data can be swapped for any other office not from the scient class for the same effect from troi. Khan can be swapped for deius if lower than a t3 khan is held</v>
      </c>
    </row>
    <row r="58" spans="2:12" x14ac:dyDescent="0.25">
      <c r="B58" s="154" t="str">
        <f t="array" ref="B58">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37)),COLUMN(A37))," ")</f>
        <v>Armadas - Troi crit reducer - Normal Armadas</v>
      </c>
      <c r="F58" s="271" t="str">
        <f t="shared" si="4"/>
        <v>Deanna Troi</v>
      </c>
      <c r="G58" s="271"/>
      <c r="H58" s="271" t="str">
        <f t="shared" si="5"/>
        <v>Kirk</v>
      </c>
      <c r="I58" s="271"/>
      <c r="J58" s="271" t="str">
        <f t="shared" si="6"/>
        <v>Spock</v>
      </c>
      <c r="K58" s="270"/>
      <c r="L58" s="154" t="str">
        <f t="shared" si="7"/>
        <v>Normal armadas have a crit chance of 10% this crew will remove all critical shots thrown by the armada. Whilst still providing the survivability offered by Kirk and Spock. ON G3 ENTERPRISE ONLY: swap Spock for Khan/Decius</v>
      </c>
    </row>
    <row r="59" spans="2:12" x14ac:dyDescent="0.25">
      <c r="B59" s="154" t="str">
        <f t="array" ref="B59">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38)),COLUMN(A38))," ")</f>
        <v>Armadas - Troi crit reducer - Swarm Armadas</v>
      </c>
      <c r="F59" s="271" t="str">
        <f t="shared" si="4"/>
        <v>Deanna Troi</v>
      </c>
      <c r="G59" s="271"/>
      <c r="H59" s="271" t="str">
        <f t="shared" si="5"/>
        <v>Kirk</v>
      </c>
      <c r="I59" s="271"/>
      <c r="J59" s="271" t="str">
        <f t="shared" si="6"/>
        <v>Spock</v>
      </c>
      <c r="K59" s="270"/>
      <c r="L59" s="154" t="str">
        <f t="shared" si="7"/>
        <v>Normal armadas have a crit chance of 10% this crew will remove all critical shots thrown by the armada. Whilst still providing the survivability offered by Kirk and Spock. If you have Jaylah then swap Kirk for Jaylah and Khan for spock.</v>
      </c>
    </row>
    <row r="60" spans="2:12" x14ac:dyDescent="0.25">
      <c r="B60" s="154" t="str">
        <f t="array" ref="B60">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39)),COLUMN(A39))," ")</f>
        <v>Armadas - Very Early Level - Cadets</v>
      </c>
      <c r="F60" s="271" t="str">
        <f t="shared" si="4"/>
        <v>Cadet Kirk</v>
      </c>
      <c r="G60" s="271"/>
      <c r="H60" s="271" t="str">
        <f t="shared" si="5"/>
        <v>Cadet McCoy</v>
      </c>
      <c r="I60" s="271"/>
      <c r="J60" s="271" t="str">
        <f t="shared" si="6"/>
        <v>Instructor Spock</v>
      </c>
      <c r="K60" s="270"/>
      <c r="L60" s="154" t="str">
        <f t="shared" si="7"/>
        <v>Very Basic crew. This crew would only be used by under level 20 players wanting to try their arm in an armada. once you start to build your officer deck move to the other Early level crew suggestions ASAP.</v>
      </c>
    </row>
    <row r="61" spans="2:12" x14ac:dyDescent="0.25">
      <c r="B61" s="154" t="str">
        <f t="array" ref="B61">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40)),COLUMN(A40))," ")</f>
        <v>Base Cracking - Enterprise</v>
      </c>
      <c r="F61" s="271" t="str">
        <f t="shared" si="4"/>
        <v>Khan</v>
      </c>
      <c r="G61" s="271"/>
      <c r="H61" s="271" t="str">
        <f t="shared" si="5"/>
        <v>Joachim</v>
      </c>
      <c r="I61" s="271"/>
      <c r="J61" s="271" t="str">
        <f t="shared" si="6"/>
        <v>Kirk</v>
      </c>
      <c r="K61" s="270"/>
      <c r="L61" s="154" t="str">
        <f t="shared" si="7"/>
        <v/>
      </c>
    </row>
    <row r="62" spans="2:12" x14ac:dyDescent="0.25">
      <c r="B62" s="154" t="str">
        <f t="array" ref="B62">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41)),COLUMN(A41))," ")</f>
        <v>Base Cracking - Enterprise &amp; HGW</v>
      </c>
      <c r="F62" s="271" t="str">
        <f t="shared" si="4"/>
        <v>Khan</v>
      </c>
      <c r="G62" s="271"/>
      <c r="H62" s="271" t="str">
        <f t="shared" si="5"/>
        <v>Kirk</v>
      </c>
      <c r="I62" s="271"/>
      <c r="J62" s="271" t="str">
        <f t="shared" si="6"/>
        <v>Honorguard Worf</v>
      </c>
      <c r="K62" s="270"/>
      <c r="L62" s="154" t="str">
        <f t="shared" si="7"/>
        <v>Khan should always be captain for Base cracking</v>
      </c>
    </row>
    <row r="63" spans="2:12" x14ac:dyDescent="0.25">
      <c r="B63" s="154" t="str">
        <f t="array" ref="B63">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42)),COLUMN(A42))," ")</f>
        <v>Base Cracking - General</v>
      </c>
      <c r="F63" s="271" t="str">
        <f t="shared" si="4"/>
        <v>Khan</v>
      </c>
      <c r="G63" s="271"/>
      <c r="H63" s="271" t="str">
        <f t="shared" si="5"/>
        <v>Joachim</v>
      </c>
      <c r="I63" s="271"/>
      <c r="J63" s="271" t="str">
        <f t="shared" si="6"/>
        <v>Marla</v>
      </c>
      <c r="K63" s="270"/>
      <c r="L63" s="154" t="str">
        <f t="shared" si="7"/>
        <v/>
      </c>
    </row>
    <row r="64" spans="2:12" x14ac:dyDescent="0.25">
      <c r="B64" s="154" t="str">
        <f t="array" ref="B64">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43)),COLUMN(A43))," ")</f>
        <v>Base Cracking - Harrison</v>
      </c>
      <c r="F64" s="271" t="str">
        <f t="shared" si="4"/>
        <v>Khan</v>
      </c>
      <c r="G64" s="271"/>
      <c r="H64" s="271" t="str">
        <f t="shared" si="5"/>
        <v>Joachim</v>
      </c>
      <c r="I64" s="271"/>
      <c r="J64" s="271" t="str">
        <f t="shared" si="6"/>
        <v>Harrison</v>
      </c>
      <c r="K64" s="270"/>
      <c r="L64" s="154" t="str">
        <f t="shared" si="7"/>
        <v>Great if punching up using cheaper ship, Ideally a Saladin to to max damage early on. Swap Joachim to kirk on enterprise</v>
      </c>
    </row>
    <row r="65" spans="2:12" x14ac:dyDescent="0.25">
      <c r="B65" s="154" t="str">
        <f t="array" ref="B65">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44)),COLUMN(A44))," ")</f>
        <v>Base Cracking - Harrison &amp; Mudd 2.0</v>
      </c>
      <c r="F65" s="271" t="str">
        <f t="shared" si="4"/>
        <v>Khan</v>
      </c>
      <c r="G65" s="271"/>
      <c r="H65" s="271" t="str">
        <f t="shared" si="5"/>
        <v>Harry Mudd</v>
      </c>
      <c r="I65" s="271"/>
      <c r="J65" s="271" t="str">
        <f t="shared" si="6"/>
        <v>Harrison</v>
      </c>
      <c r="K65" s="270"/>
      <c r="L65" s="154" t="str">
        <f t="shared" si="7"/>
        <v>Great if punching up using cheaper ship, Ideally a Saladin to to max damage early on. also very good on ships that fire lots of shots in the first round.</v>
      </c>
    </row>
    <row r="66" spans="2:12" x14ac:dyDescent="0.25">
      <c r="B66" s="154" t="str">
        <f t="array" ref="B66">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45)),COLUMN(A45))," ")</f>
        <v>Base Cracking - Honorguard Worf</v>
      </c>
      <c r="F66" s="271" t="str">
        <f t="shared" si="4"/>
        <v>Khan</v>
      </c>
      <c r="G66" s="271"/>
      <c r="H66" s="271" t="str">
        <f t="shared" si="5"/>
        <v>Joachim</v>
      </c>
      <c r="I66" s="271"/>
      <c r="J66" s="271" t="str">
        <f t="shared" si="6"/>
        <v>Honorguard Worf</v>
      </c>
      <c r="K66" s="270"/>
      <c r="L66" s="154" t="str">
        <f t="shared" si="7"/>
        <v>Khan should always be captain for Base cracking</v>
      </c>
    </row>
    <row r="67" spans="2:12" x14ac:dyDescent="0.25">
      <c r="B67" s="154" t="str">
        <f t="array" ref="B67">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46)),COLUMN(A46))," ")</f>
        <v>Base Cracking - No Khan</v>
      </c>
      <c r="F67" s="271" t="str">
        <f t="shared" si="4"/>
        <v>Joachim</v>
      </c>
      <c r="G67" s="271"/>
      <c r="H67" s="271" t="str">
        <f t="shared" si="5"/>
        <v>Marla</v>
      </c>
      <c r="I67" s="271"/>
      <c r="J67" s="271" t="str">
        <f t="shared" si="6"/>
        <v>Kati</v>
      </c>
      <c r="K67" s="270"/>
      <c r="L67" s="154" t="str">
        <f t="shared" si="7"/>
        <v>Swap for Khan variants as soon as he is unlocked. Khan is the key for Base cracking!</v>
      </c>
    </row>
    <row r="68" spans="2:12" x14ac:dyDescent="0.25">
      <c r="B68" s="154" t="str">
        <f t="array" ref="B68">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47)),COLUMN(A47))," ")</f>
        <v>Base Cracking - No Khan - Enterprise</v>
      </c>
      <c r="F68" s="271" t="str">
        <f t="shared" si="4"/>
        <v>Joachim</v>
      </c>
      <c r="G68" s="271"/>
      <c r="H68" s="271" t="str">
        <f t="shared" si="5"/>
        <v>Kati</v>
      </c>
      <c r="I68" s="271"/>
      <c r="J68" s="271" t="str">
        <f t="shared" si="6"/>
        <v>Kirk</v>
      </c>
      <c r="K68" s="270"/>
      <c r="L68" s="154" t="str">
        <f t="shared" si="7"/>
        <v>Swap for Khan variants as soon as he is unlocked. Khan is the key for Base cracking! Kati Can be swapped for Marla, but increase in crit damage offered by Kati can be more valuable than the stat boost offered by Marla. Also if a hull breach officer unlocked (Gorkon or Lorca), that would be a good replacement for Kati.</v>
      </c>
    </row>
    <row r="69" spans="2:12" x14ac:dyDescent="0.25">
      <c r="B69" s="154" t="str">
        <f t="array" ref="B69">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48)),COLUMN(A48))," ")</f>
        <v>Base Cracking - No Khan &amp; Survivability</v>
      </c>
      <c r="F69" s="271" t="str">
        <f t="shared" si="4"/>
        <v>Joachim</v>
      </c>
      <c r="G69" s="271"/>
      <c r="H69" s="271" t="str">
        <f t="shared" si="5"/>
        <v>Kirk</v>
      </c>
      <c r="I69" s="271"/>
      <c r="J69" s="271" t="str">
        <f t="shared" si="6"/>
        <v>Spock</v>
      </c>
      <c r="K69" s="270"/>
      <c r="L69" s="154" t="str">
        <f t="shared" si="7"/>
        <v>Base cracking option not using Khan. NOT for use on a G3 epic enterprise as spock is not required. offers Joachims, base -specific ability and the survivability from the shield regeneration given by Kirk and Spock</v>
      </c>
    </row>
    <row r="70" spans="2:12" x14ac:dyDescent="0.25">
      <c r="B70" s="154" t="str">
        <f t="array" ref="B70">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49)),COLUMN(A49))," ")</f>
        <v>Base Cracking - No Khan but HGW</v>
      </c>
      <c r="F70" s="271" t="str">
        <f t="shared" si="4"/>
        <v>Joachim</v>
      </c>
      <c r="G70" s="271"/>
      <c r="H70" s="271" t="str">
        <f t="shared" si="5"/>
        <v>Kati</v>
      </c>
      <c r="I70" s="271"/>
      <c r="J70" s="271" t="str">
        <f t="shared" si="6"/>
        <v>Honorguard Worf</v>
      </c>
      <c r="K70" s="270"/>
      <c r="L70" s="154" t="str">
        <f t="shared" si="7"/>
        <v>Swap for Khan variants as soon as he is unlocked. Khan is the key for Base cracking! Kati Can be swapped for Marla, but increase in crit damage offered by Kati can be more valuable than the stat boost offered by Marla. Also if a hull breach officer unlocked (Gorkon or Lorca), that would be a good replacement for Kati.</v>
      </c>
    </row>
    <row r="71" spans="2:12" x14ac:dyDescent="0.25">
      <c r="B71" s="154" t="str">
        <f t="array" ref="B71">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50)),COLUMN(A50))," ")</f>
        <v>Base Cracking - Rom Critical Build</v>
      </c>
      <c r="F71" s="271" t="str">
        <f t="shared" si="4"/>
        <v>Rom</v>
      </c>
      <c r="G71" s="271"/>
      <c r="H71" s="271" t="str">
        <f t="shared" si="5"/>
        <v>Gorkon</v>
      </c>
      <c r="I71" s="271"/>
      <c r="J71" s="271" t="str">
        <f t="shared" si="6"/>
        <v>Honorguard Worf</v>
      </c>
      <c r="K71" s="270"/>
      <c r="L71" s="154" t="str">
        <f t="shared" si="7"/>
        <v>Rom is the best Base Cracking officer in the game he increases the Shots with his officer ability, but main power is in the Captain Manoeuvre which prevents you from being hit in the first round. In addition to Roms abilities this ensure max damage output with hull breach and increased critical chance. Gorkon can be swapped for Lorca</v>
      </c>
    </row>
    <row r="72" spans="2:12" x14ac:dyDescent="0.25">
      <c r="B72" s="154" t="str">
        <f t="array" ref="B72">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51)),COLUMN(A51))," ")</f>
        <v>Base Cracking - Rom Max Early Damage</v>
      </c>
      <c r="F72" s="271" t="str">
        <f t="shared" si="4"/>
        <v>Rom</v>
      </c>
      <c r="G72" s="271"/>
      <c r="H72" s="271" t="str">
        <f t="shared" si="5"/>
        <v>Harrison</v>
      </c>
      <c r="I72" s="271"/>
      <c r="J72" s="271" t="str">
        <f t="shared" si="6"/>
        <v>Mudd</v>
      </c>
      <c r="K72" s="270"/>
      <c r="L72" s="154" t="str">
        <f t="shared" si="7"/>
        <v>Rom is the best Base Cracking officer in the game he increases the Shots with his officer ability, but main power is in the Captain Manoeuvre which prevents you from being hit in the first round. This crew does rely on Rng for maximum effectivness. should mudd activate then you will greatly increase the number of shots in the first round. That, coupled with Harrisons round one ability which affects the split of damage that goes to Hull and shields after mitigation gives you the best chance to cause maximum damage in round 1 without being hit.</v>
      </c>
    </row>
    <row r="73" spans="2:12" x14ac:dyDescent="0.25">
      <c r="B73" s="154" t="str">
        <f t="array" ref="B73">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52)),COLUMN(A52))," ")</f>
        <v>Base Cracking - Rom on Enterprise</v>
      </c>
      <c r="F73" s="271" t="str">
        <f t="shared" si="4"/>
        <v>Rom</v>
      </c>
      <c r="G73" s="271"/>
      <c r="H73" s="271" t="str">
        <f t="shared" si="5"/>
        <v>Kirk</v>
      </c>
      <c r="I73" s="271"/>
      <c r="J73" s="271" t="str">
        <f t="shared" si="6"/>
        <v>Honorguard Worf</v>
      </c>
      <c r="K73" s="270"/>
      <c r="L73" s="154" t="str">
        <f t="shared" si="7"/>
        <v>Rom is the best Base Cracking officer in the game he increases the Shots with his officer ability, but main power is in the Captain Manoeuvre which prevents you from being hit in the first round. This crew allows the enterprise to keep shields up while increasing critical chance from Honorguard Worf to issue maximum damage during the battle.</v>
      </c>
    </row>
    <row r="74" spans="2:12" x14ac:dyDescent="0.25">
      <c r="B74" s="154" t="str">
        <f t="array" ref="B74">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53)),COLUMN(A53))," ")</f>
        <v>Base Cracking - Rom with Burning</v>
      </c>
      <c r="F74" s="271" t="str">
        <f t="shared" si="4"/>
        <v>Rom</v>
      </c>
      <c r="G74" s="271"/>
      <c r="H74" s="271" t="str">
        <f t="shared" si="5"/>
        <v>Honorguard Worf</v>
      </c>
      <c r="I74" s="271"/>
      <c r="J74" s="271" t="str">
        <f t="shared" si="6"/>
        <v>Nero</v>
      </c>
      <c r="K74" s="270"/>
      <c r="L74" s="154" t="str">
        <f t="shared" si="7"/>
        <v>Rom is the best Base Cracking officer in the game he increases the Shots with his officer ability, but main power is in the Captain Manoeuvre which prevents you from being hit in the first round. Great crew when hitting a bigger target as guarantees (unless rom counter crew is being used by opponent) burning to be applied to the opponents target so you will definitely inflict damage.</v>
      </c>
    </row>
    <row r="75" spans="2:12" x14ac:dyDescent="0.25">
      <c r="B75" s="154" t="str">
        <f t="array" ref="B75">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54)),COLUMN(A54))," ")</f>
        <v>Base Cracking - Rom with Morale</v>
      </c>
      <c r="F75" s="271" t="str">
        <f t="shared" si="4"/>
        <v>Rom</v>
      </c>
      <c r="G75" s="271"/>
      <c r="H75" s="271" t="str">
        <f t="shared" si="5"/>
        <v>Kirk</v>
      </c>
      <c r="I75" s="271"/>
      <c r="J75" s="271" t="str">
        <f t="shared" si="6"/>
        <v>Spock</v>
      </c>
      <c r="K75" s="270"/>
      <c r="L75" s="154" t="str">
        <f t="shared" si="7"/>
        <v>Rom is the best Base Cracking officer in the game he increases the Shots with his officer ability, but main power is in the Captain Manoeuvre which prevents you from being hit in the first round. stack defence. This crew offers survivability and the benefits offered by Rom.</v>
      </c>
    </row>
    <row r="76" spans="2:12" x14ac:dyDescent="0.25">
      <c r="B76" s="154" t="str">
        <f t="array" ref="B76">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55)),COLUMN(A55))," ")</f>
        <v>Battleship vs Battleship</v>
      </c>
      <c r="F76" s="271" t="str">
        <f t="shared" si="4"/>
        <v>Georgiou</v>
      </c>
      <c r="G76" s="271"/>
      <c r="H76" s="271" t="str">
        <f t="shared" si="5"/>
        <v>Tyler</v>
      </c>
      <c r="I76" s="271"/>
      <c r="J76" s="271" t="str">
        <f t="shared" si="6"/>
        <v>Charvanek</v>
      </c>
      <c r="K76" s="270"/>
      <c r="L76" s="154" t="str">
        <f t="shared" si="7"/>
        <v>Works Best on an Augur due to ships burning ability. Stack for Health and Attack</v>
      </c>
    </row>
    <row r="77" spans="2:12" x14ac:dyDescent="0.25">
      <c r="B77" s="154" t="str">
        <f t="array" ref="B77">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56)),COLUMN(A56))," ")</f>
        <v>Battleship vs Explorer</v>
      </c>
      <c r="F77" s="271" t="str">
        <f t="shared" si="4"/>
        <v>Georgiou</v>
      </c>
      <c r="G77" s="271"/>
      <c r="H77" s="271" t="str">
        <f t="shared" si="5"/>
        <v>Tyler</v>
      </c>
      <c r="I77" s="271"/>
      <c r="J77" s="271" t="str">
        <f t="shared" si="6"/>
        <v>Marcus</v>
      </c>
      <c r="K77" s="270"/>
      <c r="L77" s="154" t="str">
        <f t="shared" si="7"/>
        <v>Works Best on an Augur due to ships burning ability. Stack for Defence and Attack</v>
      </c>
    </row>
    <row r="78" spans="2:12" x14ac:dyDescent="0.25">
      <c r="B78" s="154" t="str">
        <f t="array" ref="B78">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57)),COLUMN(A57))," ")</f>
        <v>Battleship vs Interceptor</v>
      </c>
      <c r="F78" s="271" t="str">
        <f t="shared" si="4"/>
        <v>Georgiou</v>
      </c>
      <c r="G78" s="271"/>
      <c r="H78" s="271" t="str">
        <f t="shared" si="5"/>
        <v>Tyler</v>
      </c>
      <c r="I78" s="271"/>
      <c r="J78" s="271" t="str">
        <f t="shared" si="6"/>
        <v>Kang</v>
      </c>
      <c r="K78" s="270"/>
      <c r="L78" s="154" t="str">
        <f t="shared" si="7"/>
        <v>Works Best on an Augur due to ships burning ability. Stack for Attack</v>
      </c>
    </row>
    <row r="79" spans="2:12" x14ac:dyDescent="0.25">
      <c r="B79" s="154" t="str">
        <f t="array" ref="B79">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58)),COLUMN(A58))," ")</f>
        <v>Borg Armada Vi'Dar - 5/6/Lorca</v>
      </c>
      <c r="F79" s="271" t="str">
        <f t="shared" si="4"/>
        <v>Five Of Eleven</v>
      </c>
      <c r="G79" s="271"/>
      <c r="H79" s="271" t="str">
        <f t="shared" si="5"/>
        <v>Six Of Eleven</v>
      </c>
      <c r="I79" s="271"/>
      <c r="J79" s="271" t="str">
        <f t="shared" si="6"/>
        <v>Lorca</v>
      </c>
      <c r="K79" s="270"/>
      <c r="L79" s="154" t="str">
        <f t="shared" si="7"/>
        <v>Stack lower decks for Attack and Health</v>
      </c>
    </row>
    <row r="80" spans="2:12" x14ac:dyDescent="0.25">
      <c r="B80" s="154" t="str">
        <f t="array" ref="B80">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59)),COLUMN(A59))," ")</f>
        <v>Borg Increase Cargo Crew</v>
      </c>
      <c r="F80" s="271" t="str">
        <f t="shared" si="4"/>
        <v>Five Of Eleven</v>
      </c>
      <c r="G80" s="271"/>
      <c r="H80" s="271" t="str">
        <f t="shared" si="5"/>
        <v>Four Of Eleven</v>
      </c>
      <c r="I80" s="271"/>
      <c r="J80" s="271" t="str">
        <f t="shared" si="6"/>
        <v>T'Laan</v>
      </c>
      <c r="K80" s="270"/>
      <c r="L80" s="154" t="str">
        <f t="shared" si="7"/>
        <v>Once you are able to fill cargo when hunting Borg Probes, try this crew to see if you can increase your take home of inert probes. if you do not fill your cargo, then return to previous crew that did until vidar is stronger. NB: if you have Cath unlocked from the Ferrengi officers at a rank offering a higher damage reduction percentage than your T'laan then swap Cath her over T'laan.</v>
      </c>
    </row>
    <row r="81" spans="2:12" x14ac:dyDescent="0.25">
      <c r="B81" s="154" t="str">
        <f t="array" ref="B81">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60)),COLUMN(A60))," ")</f>
        <v>Borg Probes - Advanced</v>
      </c>
      <c r="F81" s="271" t="str">
        <f t="shared" si="4"/>
        <v>Five Of Eleven</v>
      </c>
      <c r="G81" s="271"/>
      <c r="H81" s="271" t="str">
        <f t="shared" si="5"/>
        <v>Harry Mudd</v>
      </c>
      <c r="I81" s="271"/>
      <c r="J81" s="271" t="str">
        <f t="shared" si="6"/>
        <v>Harrison</v>
      </c>
      <c r="K81" s="270"/>
      <c r="L81" s="154" t="str">
        <f t="shared" si="7"/>
        <v>Stack of health. check minimum level requirements suggested closely! This crew requires a max vidar ideally and good research. when experimenting with this crew ensure you check your mitigation is as close to Max (71.2%) as possible. Mudd at rank 5 will add additional chance to his proc rate and ultimately yield better results. 5 of 11 and Harrison at higher ranks will also increase effectiveness.</v>
      </c>
    </row>
    <row r="82" spans="2:12" x14ac:dyDescent="0.25">
      <c r="B82" s="154" t="str">
        <f t="array" ref="B82">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61)),COLUMN(A61))," ")</f>
        <v>Critical Build</v>
      </c>
      <c r="F82" s="271" t="str">
        <f t="shared" si="4"/>
        <v>Gorkon</v>
      </c>
      <c r="G82" s="271"/>
      <c r="H82" s="271" t="str">
        <f t="shared" si="5"/>
        <v>Kerla</v>
      </c>
      <c r="I82" s="271"/>
      <c r="J82" s="271" t="str">
        <f t="shared" si="6"/>
        <v>Khan</v>
      </c>
      <c r="K82" s="270"/>
      <c r="L82" s="154" t="str">
        <f t="shared" si="7"/>
        <v>Best on an Interceptor</v>
      </c>
    </row>
    <row r="83" spans="2:12" x14ac:dyDescent="0.25">
      <c r="B83" s="154" t="str">
        <f t="array" ref="B83">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62)),COLUMN(A62))," ")</f>
        <v>Disco vs Disco PVP</v>
      </c>
      <c r="F83" s="271" t="str">
        <f t="shared" si="4"/>
        <v>Harrison</v>
      </c>
      <c r="G83" s="271"/>
      <c r="H83" s="271" t="str">
        <f t="shared" si="5"/>
        <v>Marcus</v>
      </c>
      <c r="I83" s="271"/>
      <c r="J83" s="271" t="str">
        <f t="shared" si="6"/>
        <v>Honorguard Worf</v>
      </c>
      <c r="K83" s="270"/>
      <c r="L83" s="154" t="str">
        <f t="shared" si="7"/>
        <v/>
      </c>
    </row>
    <row r="84" spans="2:12" x14ac:dyDescent="0.25">
      <c r="B84" s="154" t="str">
        <f t="array" ref="B84">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63)),COLUMN(A63))," ")</f>
        <v>Eclipse - 5/Morale/Stella</v>
      </c>
      <c r="F84" s="271" t="str">
        <f t="shared" si="4"/>
        <v>Five Of Eleven</v>
      </c>
      <c r="G84" s="271"/>
      <c r="H84" s="271" t="str">
        <f t="shared" si="5"/>
        <v>Kirk</v>
      </c>
      <c r="I84" s="271"/>
      <c r="J84" s="271" t="str">
        <f t="shared" si="6"/>
        <v>Spock</v>
      </c>
      <c r="K84" s="270"/>
      <c r="L84" s="154" t="str">
        <f t="shared" si="7"/>
        <v>Stack lower decks for Health and Defence</v>
      </c>
    </row>
    <row r="85" spans="2:12" x14ac:dyDescent="0.25">
      <c r="B85" s="154" t="str">
        <f t="array" ref="B85">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64)),COLUMN(A64))," ")</f>
        <v>Enterprise - PVP General</v>
      </c>
      <c r="F85" s="271" t="str">
        <f t="shared" si="4"/>
        <v>Kirk</v>
      </c>
      <c r="G85" s="271"/>
      <c r="H85" s="271" t="str">
        <f t="shared" si="5"/>
        <v>Zhou</v>
      </c>
      <c r="I85" s="271"/>
      <c r="J85" s="271" t="str">
        <f t="shared" si="6"/>
        <v>Khan</v>
      </c>
      <c r="K85" s="270"/>
      <c r="L85" s="154" t="str">
        <f t="shared" si="7"/>
        <v>Generic if unknown opponent. Stack lower decks for Defense to feed Zhou mitigation ability.</v>
      </c>
    </row>
    <row r="86" spans="2:12" x14ac:dyDescent="0.25">
      <c r="B86" s="154" t="str">
        <f t="array" ref="B86">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65)),COLUMN(A65))," ")</f>
        <v>Enterprise - VS Battleships</v>
      </c>
      <c r="F86" s="271" t="str">
        <f t="shared" ref="F86:F117" si="8">IFERROR(IF(VLOOKUP(B86,PSFull,2,FALSE)=0,"",IFERROR(VLOOKUP(B86,PSFull,2,FALSE),"")),"")</f>
        <v>Yuki</v>
      </c>
      <c r="G86" s="271"/>
      <c r="H86" s="271" t="str">
        <f t="shared" ref="H86:H117" si="9">IFERROR(IF(VLOOKUP(B86,PSFull,4,FALSE)=0,"",IFERROR(VLOOKUP(B86,PSFull,4,FALSE),"")),"")</f>
        <v>Kirk</v>
      </c>
      <c r="I86" s="271"/>
      <c r="J86" s="271" t="str">
        <f t="shared" ref="J86:J117" si="10">IFERROR(IF(VLOOKUP(B86,PSFull,6,FALSE)=0,"",IFERROR(VLOOKUP(B86,PSFull,6,FALSE),"")),"")</f>
        <v>Charvanek</v>
      </c>
      <c r="K86" s="270"/>
      <c r="L86" s="154" t="str">
        <f t="shared" ref="L86:L117" si="11">IFERROR(IF(VLOOKUP(B86,PSFull,8,FALSE)=0,"",IFERROR(VLOOKUP(B86,PSFull,8,FALSE),"")),"")</f>
        <v>For best effect Yuki and Charvanek need to be minimum Rank 4. Yuki officer ability also is increase damage vs Romulans to extra potent vs Romulan battleships (Legionary, Augur and Tribune)</v>
      </c>
    </row>
    <row r="87" spans="2:12" x14ac:dyDescent="0.25">
      <c r="B87" s="154" t="str">
        <f t="array" ref="B87">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66)),COLUMN(A66))," ")</f>
        <v>Enterprise - VS Jelly</v>
      </c>
      <c r="F87" s="271" t="str">
        <f t="shared" si="8"/>
        <v>Yuki</v>
      </c>
      <c r="G87" s="271"/>
      <c r="H87" s="271" t="str">
        <f t="shared" si="9"/>
        <v>Kirk</v>
      </c>
      <c r="I87" s="271"/>
      <c r="J87" s="271" t="str">
        <f t="shared" si="10"/>
        <v>Marcus</v>
      </c>
      <c r="K87" s="270"/>
      <c r="L87" s="154" t="str">
        <f t="shared" si="11"/>
        <v>Can also be used against other Explorers, although less effective against other Enterprises.</v>
      </c>
    </row>
    <row r="88" spans="2:12" x14ac:dyDescent="0.25">
      <c r="B88" s="154" t="str">
        <f t="array" ref="B88">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67)),COLUMN(A67))," ")</f>
        <v>General - 5/Morale</v>
      </c>
      <c r="F88" s="271" t="str">
        <f t="shared" si="8"/>
        <v>Five Of Eleven</v>
      </c>
      <c r="G88" s="271"/>
      <c r="H88" s="271" t="str">
        <f t="shared" si="9"/>
        <v>Kirk</v>
      </c>
      <c r="I88" s="271"/>
      <c r="J88" s="271" t="str">
        <f t="shared" si="10"/>
        <v>Spock</v>
      </c>
      <c r="K88" s="270"/>
      <c r="L88" s="154" t="str">
        <f t="shared" si="11"/>
        <v>Stack lower decks for Health and Defence</v>
      </c>
    </row>
    <row r="89" spans="2:12" x14ac:dyDescent="0.25">
      <c r="B89" s="154" t="str">
        <f t="array" ref="B89">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68)),COLUMN(A68))," ")</f>
        <v>General PVP - Honorguard Worf</v>
      </c>
      <c r="F89" s="271" t="str">
        <f t="shared" si="8"/>
        <v>Lorca</v>
      </c>
      <c r="G89" s="271"/>
      <c r="H89" s="271" t="str">
        <f t="shared" si="9"/>
        <v>Captain Tilly</v>
      </c>
      <c r="I89" s="271"/>
      <c r="J89" s="271" t="str">
        <f t="shared" si="10"/>
        <v>Honorguard Worf</v>
      </c>
      <c r="K89" s="270"/>
      <c r="L89" s="154" t="str">
        <f t="shared" si="11"/>
        <v>Lorca can be substituted for Gorkon if not attained, but Lorca has provided better results. Also if gorkon is used then replace Captain Tilly for Kerla</v>
      </c>
    </row>
    <row r="90" spans="2:12" x14ac:dyDescent="0.25">
      <c r="B90" s="154" t="str">
        <f t="array" ref="B90">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69)),COLUMN(A69))," ")</f>
        <v>Heavy Traders - Augur / ISS Jellyfish</v>
      </c>
      <c r="F90" s="271" t="str">
        <f t="shared" si="8"/>
        <v>Beverly Crusher</v>
      </c>
      <c r="G90" s="271"/>
      <c r="H90" s="271" t="str">
        <f t="shared" si="9"/>
        <v>Mudd</v>
      </c>
      <c r="I90" s="271"/>
      <c r="J90" s="271" t="str">
        <f t="shared" si="10"/>
        <v>Khan</v>
      </c>
      <c r="K90" s="270"/>
      <c r="L90" s="154" t="str">
        <f t="shared" si="11"/>
        <v>When unable to kill with Pike, moreau Tlaan / Picard Beverley tlaan. this crew can be used on either Augur (minimum t5 approx) or ISS jelly (Minimum t4 approx). Khan can be changed for Tlaan for similar results, or swap for Georgiou if on an augur for the damage boost. Furthermore once ISS jellyfish is tier 6 approximately then you can return to Pike moreau Tlaan or equivalent for the heavy traders.</v>
      </c>
    </row>
    <row r="91" spans="2:12" x14ac:dyDescent="0.25">
      <c r="B91" s="154" t="str">
        <f t="array" ref="B91">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70)),COLUMN(A70))," ")</f>
        <v>Hostile Basic - BShip/Exp/Surv (TNG)</v>
      </c>
      <c r="F91" s="271" t="str">
        <f t="shared" si="8"/>
        <v>Next Gen La Forge</v>
      </c>
      <c r="G91" s="271"/>
      <c r="H91" s="271" t="str">
        <f t="shared" si="9"/>
        <v>Next Gen Data</v>
      </c>
      <c r="I91" s="271"/>
      <c r="J91" s="271" t="str">
        <f t="shared" si="10"/>
        <v>Chen</v>
      </c>
      <c r="K91" s="270"/>
      <c r="L91" s="154" t="str">
        <f t="shared" si="11"/>
        <v>Chen rank is vital push to max ASAP. Direct alternative to Cadet crew and to be used until Pike is unlocked. Can swap Next Gen Data for Next Gen Crusher</v>
      </c>
    </row>
    <row r="92" spans="2:12" x14ac:dyDescent="0.25">
      <c r="B92" s="154" t="str">
        <f t="array" ref="B92">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71)),COLUMN(A71))," ")</f>
        <v>Hostile Basic - BShips/Exp/Surv (Cadets)</v>
      </c>
      <c r="F92" s="271" t="str">
        <f t="shared" si="8"/>
        <v>Cadet Uhura</v>
      </c>
      <c r="G92" s="271"/>
      <c r="H92" s="271" t="str">
        <f t="shared" si="9"/>
        <v>Cadet Kirk</v>
      </c>
      <c r="I92" s="271"/>
      <c r="J92" s="271" t="str">
        <f t="shared" si="10"/>
        <v>Chen</v>
      </c>
      <c r="K92" s="270"/>
      <c r="L92" s="154" t="str">
        <f t="shared" si="11"/>
        <v>Chen rank is vital push to max ASAP. Can swap Cadet Kirk for Cadet Mcoy.</v>
      </c>
    </row>
    <row r="93" spans="2:12" x14ac:dyDescent="0.25">
      <c r="B93" s="154" t="str">
        <f t="array" ref="B93">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72)),COLUMN(A72))," ")</f>
        <v>Hostile Basic - Interceptors (Cadets)</v>
      </c>
      <c r="F93" s="271" t="str">
        <f t="shared" si="8"/>
        <v>Cadet Uhura</v>
      </c>
      <c r="G93" s="271"/>
      <c r="H93" s="271" t="str">
        <f t="shared" si="9"/>
        <v>Cadet Kirk</v>
      </c>
      <c r="I93" s="271"/>
      <c r="J93" s="271" t="str">
        <f t="shared" si="10"/>
        <v>T'Laan</v>
      </c>
      <c r="K93" s="270"/>
      <c r="L93" s="154" t="str">
        <f t="shared" si="11"/>
        <v>Tlaan rank is vital push to max ASAP. Can swap Cadet Kirk for Cadet Mccoy. NB: if you have Cath unlocked from the Ferrengi officers at a rank offering a higher damage reduction percentage than your T'laan then swap Cath her over T'laan.</v>
      </c>
    </row>
    <row r="94" spans="2:12" x14ac:dyDescent="0.25">
      <c r="B94" s="154" t="str">
        <f t="array" ref="B94">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73)),COLUMN(A73))," ")</f>
        <v>Hostile Basic - Interceptors (TNG)</v>
      </c>
      <c r="F94" s="271" t="str">
        <f t="shared" si="8"/>
        <v>Next Gen La Forge</v>
      </c>
      <c r="G94" s="271"/>
      <c r="H94" s="271" t="str">
        <f t="shared" si="9"/>
        <v>Next Gen Data</v>
      </c>
      <c r="I94" s="271"/>
      <c r="J94" s="271" t="str">
        <f t="shared" si="10"/>
        <v>T'Laan</v>
      </c>
      <c r="K94" s="270"/>
      <c r="L94" s="154" t="str">
        <f t="shared" si="11"/>
        <v>Tlaan rank is vital push to max ASAP. Direct alternative to Cadet crew and to be used until Pike is unlocked. Can swap Next Gen Data for Next Gen Crusher. NB: if you have Cath unlocked from the Ferrengi officers at a rank offering a higher damage reduction percentage than your T'laan then swap Cath her over T'laan.</v>
      </c>
    </row>
    <row r="95" spans="2:12" x14ac:dyDescent="0.25">
      <c r="B95" s="154" t="str">
        <f t="array" ref="B95">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74)),COLUMN(A74))," ")</f>
        <v>Hostiles - BShips/Exp/Surv (Picard)</v>
      </c>
      <c r="F95" s="271" t="str">
        <f t="shared" si="8"/>
        <v>Jean-Luc Picard</v>
      </c>
      <c r="G95" s="271"/>
      <c r="H95" s="271" t="str">
        <f t="shared" si="9"/>
        <v>Beverly Crusher</v>
      </c>
      <c r="I95" s="271"/>
      <c r="J95" s="271" t="str">
        <f t="shared" si="10"/>
        <v>Chen</v>
      </c>
      <c r="K95" s="270"/>
      <c r="L95" s="154" t="str">
        <f t="shared" si="11"/>
        <v>Chen rank is vital push to max ASAP. Better to use Pike version of this crew if you need to level the ship you are using at the same time.</v>
      </c>
    </row>
    <row r="96" spans="2:12" x14ac:dyDescent="0.25">
      <c r="B96" s="154" t="str">
        <f t="array" ref="B96">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75)),COLUMN(A75))," ")</f>
        <v>Hostiles - BShips/Exp/Surv (Pike)</v>
      </c>
      <c r="F96" s="271" t="str">
        <f t="shared" si="8"/>
        <v>Pike</v>
      </c>
      <c r="G96" s="271"/>
      <c r="H96" s="271" t="str">
        <f t="shared" si="9"/>
        <v>Moreau</v>
      </c>
      <c r="I96" s="271"/>
      <c r="J96" s="271" t="str">
        <f t="shared" si="10"/>
        <v>Chen</v>
      </c>
      <c r="K96" s="270"/>
      <c r="L96" s="154" t="str">
        <f t="shared" si="11"/>
        <v>Chen rank is vital push to max ASAP</v>
      </c>
    </row>
    <row r="97" spans="2:12" x14ac:dyDescent="0.25">
      <c r="B97" s="154" t="str">
        <f t="array" ref="B97">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76)),COLUMN(A76))," ")</f>
        <v>Hostiles - Interceptors (Picard)</v>
      </c>
      <c r="F97" s="271" t="str">
        <f t="shared" si="8"/>
        <v>Jean-Luc Picard</v>
      </c>
      <c r="G97" s="271"/>
      <c r="H97" s="271" t="str">
        <f t="shared" si="9"/>
        <v>Beverly Crusher</v>
      </c>
      <c r="I97" s="271"/>
      <c r="J97" s="271" t="str">
        <f t="shared" si="10"/>
        <v>T'Laan</v>
      </c>
      <c r="K97" s="270"/>
      <c r="L97" s="154" t="str">
        <f t="shared" si="11"/>
        <v>Tlaan rank is vital push to max ASAP.Better to use Pike version of this crew if you need to level the ship you are using at the same time. NB: if you have Cath unlocked from the Ferrengi officers at a rank offering a higher damage reduction percentage than your T'laan then swap Cath her over T'laan.</v>
      </c>
    </row>
    <row r="98" spans="2:12" x14ac:dyDescent="0.25">
      <c r="B98" s="154" t="str">
        <f t="array" ref="B98">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77)),COLUMN(A77))," ")</f>
        <v>Hostiles - Interceptors (Pike)</v>
      </c>
      <c r="F98" s="271" t="str">
        <f t="shared" si="8"/>
        <v>Pike</v>
      </c>
      <c r="G98" s="271"/>
      <c r="H98" s="271" t="str">
        <f t="shared" si="9"/>
        <v>Moreau</v>
      </c>
      <c r="I98" s="271"/>
      <c r="J98" s="271" t="str">
        <f t="shared" si="10"/>
        <v>T'Laan</v>
      </c>
      <c r="K98" s="270"/>
      <c r="L98" s="154" t="str">
        <f t="shared" si="11"/>
        <v>Tlaan rank is vital push to max ASAP.NB: if you have Cath unlocked from the Ferrengi officers at a rank offering a higher damage reduction percentage than your T'laan then swap Cath her over T'laan.</v>
      </c>
    </row>
    <row r="99" spans="2:12" x14ac:dyDescent="0.25">
      <c r="B99" s="154" t="str">
        <f t="array" ref="B99">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78)),COLUMN(A78))," ")</f>
        <v>Interceptor - Lorca/Tilley/Kang</v>
      </c>
      <c r="F99" s="271" t="str">
        <f t="shared" si="8"/>
        <v>Lorca</v>
      </c>
      <c r="G99" s="271"/>
      <c r="H99" s="271" t="str">
        <f t="shared" si="9"/>
        <v>Captain Tilly</v>
      </c>
      <c r="I99" s="271"/>
      <c r="J99" s="271" t="str">
        <f t="shared" si="10"/>
        <v>Kang</v>
      </c>
      <c r="K99" s="270"/>
      <c r="L99" s="154" t="str">
        <f t="shared" si="11"/>
        <v>Stack lower decks for Attack and Health</v>
      </c>
    </row>
    <row r="100" spans="2:12" x14ac:dyDescent="0.25">
      <c r="B100" s="154" t="str">
        <f t="array" ref="B100">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79)),COLUMN(A79))," ")</f>
        <v>Interceptor - Lorca/Tilley/Khan</v>
      </c>
      <c r="F100" s="271" t="str">
        <f t="shared" si="8"/>
        <v>Lorca</v>
      </c>
      <c r="G100" s="271"/>
      <c r="H100" s="271" t="str">
        <f t="shared" si="9"/>
        <v>Captain Tilly</v>
      </c>
      <c r="I100" s="271"/>
      <c r="J100" s="271" t="str">
        <f t="shared" si="10"/>
        <v>Khan</v>
      </c>
      <c r="K100" s="270"/>
      <c r="L100" s="154" t="str">
        <f t="shared" si="11"/>
        <v>Stack lower decks for Health</v>
      </c>
    </row>
    <row r="101" spans="2:12" x14ac:dyDescent="0.25">
      <c r="B101" s="154" t="str">
        <f t="array" ref="B101">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80)),COLUMN(A80))," ")</f>
        <v>Interceptor - No Lorca</v>
      </c>
      <c r="F101" s="271" t="str">
        <f t="shared" si="8"/>
        <v>Gorkon</v>
      </c>
      <c r="G101" s="271"/>
      <c r="H101" s="271" t="str">
        <f t="shared" si="9"/>
        <v>Captain Tilly</v>
      </c>
      <c r="I101" s="271"/>
      <c r="J101" s="271" t="str">
        <f t="shared" si="10"/>
        <v>Khan</v>
      </c>
      <c r="K101" s="270"/>
      <c r="L101" s="154" t="str">
        <f t="shared" si="11"/>
        <v>Substitute when you do not have Lorca. Cat tilly promotions should be priority but effective with her at t1. this is a generic crew, can change Khan for a trinity officer if you know what you are fighting.</v>
      </c>
    </row>
    <row r="102" spans="2:12" x14ac:dyDescent="0.25">
      <c r="B102" s="154" t="str">
        <f t="array" ref="B102">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81)),COLUMN(A81))," ")</f>
        <v>Isogen - Defence Crew</v>
      </c>
      <c r="F102" s="271" t="str">
        <f t="shared" si="8"/>
        <v>TOS Kirk</v>
      </c>
      <c r="G102" s="271"/>
      <c r="H102" s="271" t="str">
        <f t="shared" si="9"/>
        <v>TOS Uhura</v>
      </c>
      <c r="I102" s="271"/>
      <c r="J102" s="271" t="str">
        <f t="shared" si="10"/>
        <v>TOS Chekov</v>
      </c>
      <c r="K102" s="270"/>
      <c r="L102" s="154" t="str">
        <f t="shared" si="11"/>
        <v>Best used on Isogen in meridian, where speed and protection officers have little overall effect. Most hunt in Vidars with speed crews and a similar power Meridian can beat the vidar with this crew.</v>
      </c>
    </row>
    <row r="103" spans="2:12" x14ac:dyDescent="0.25">
      <c r="B103" s="154" t="str">
        <f t="array" ref="B103">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82)),COLUMN(A82))," ")</f>
        <v>Leslie/Kirk/Spock</v>
      </c>
      <c r="F103" s="271" t="str">
        <f t="shared" si="8"/>
        <v>Leslie</v>
      </c>
      <c r="G103" s="271"/>
      <c r="H103" s="271" t="str">
        <f t="shared" si="9"/>
        <v>Kirk</v>
      </c>
      <c r="I103" s="271"/>
      <c r="J103" s="271" t="str">
        <f t="shared" si="10"/>
        <v>Spock</v>
      </c>
      <c r="K103" s="270"/>
      <c r="L103" s="154" t="str">
        <f t="shared" si="11"/>
        <v>Stack lower decks for defence. Good for low damage targets, such as Eclipse Armadas using a Stella. The aim is that the damage done after Shield mitigation, needs to be less than the damage being restored by Leslie. Spock keeps the shield up.</v>
      </c>
    </row>
    <row r="104" spans="2:12" x14ac:dyDescent="0.25">
      <c r="B104" s="154" t="str">
        <f t="array" ref="B104">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83)),COLUMN(A83))," ")</f>
        <v>Max Cargo Capacity</v>
      </c>
      <c r="F104" s="271" t="str">
        <f t="shared" si="8"/>
        <v>Two Of Eleven</v>
      </c>
      <c r="G104" s="271"/>
      <c r="H104" s="271" t="str">
        <f t="shared" si="9"/>
        <v>Stonn</v>
      </c>
      <c r="I104" s="271"/>
      <c r="J104" s="271" t="str">
        <f t="shared" si="10"/>
        <v>Four Of Eleven</v>
      </c>
      <c r="K104" s="270"/>
      <c r="L104" s="154" t="str">
        <f t="shared" si="11"/>
        <v>Any non-science class officer of the 'Unimatrix twelve' Group can be substituted for Four Of Eleven if not attained.</v>
      </c>
    </row>
    <row r="105" spans="2:12" x14ac:dyDescent="0.25">
      <c r="B105" s="154" t="str">
        <f t="array" ref="B105">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84)),COLUMN(A84))," ")</f>
        <v>Max Morale - Max Shield regeneration</v>
      </c>
      <c r="F105" s="271" t="str">
        <f t="shared" si="8"/>
        <v>Bones</v>
      </c>
      <c r="G105" s="271"/>
      <c r="H105" s="271" t="str">
        <f t="shared" si="9"/>
        <v>Spock</v>
      </c>
      <c r="I105" s="271"/>
      <c r="J105" s="271" t="str">
        <f t="shared" si="10"/>
        <v>Kirk</v>
      </c>
      <c r="K105" s="270"/>
      <c r="L105" s="154" t="str">
        <f t="shared" si="11"/>
        <v>Bones as Captain here boosts Spocks ability over 1000% shield Regeneration. Bones and Spock MUST be maxed and kirk needed for Morale and additional synergy. Without Bones and Spock maxed use different morale crew with Kirk as captain.</v>
      </c>
    </row>
    <row r="106" spans="2:12" x14ac:dyDescent="0.25">
      <c r="B106" s="154" t="str">
        <f t="array" ref="B106">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85)),COLUMN(A85))," ")</f>
        <v>Max Warp Range - Explorer</v>
      </c>
      <c r="F106" s="271" t="str">
        <f t="shared" si="8"/>
        <v>TOS Scotty</v>
      </c>
      <c r="G106" s="271"/>
      <c r="H106" s="271" t="str">
        <f t="shared" si="9"/>
        <v>Ghrush</v>
      </c>
      <c r="I106" s="271"/>
      <c r="J106" s="271" t="str">
        <f t="shared" si="10"/>
        <v>Cadet Scotty</v>
      </c>
      <c r="K106" s="270"/>
      <c r="L106" s="154" t="str">
        <f t="shared" si="11"/>
        <v>Promotion of Ghrush will improve range further.</v>
      </c>
    </row>
    <row r="107" spans="2:12" x14ac:dyDescent="0.25">
      <c r="B107" s="154" t="str">
        <f t="array" ref="B107">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86)),COLUMN(A86))," ")</f>
        <v>Max warp Range - Explorer - No Ghrush</v>
      </c>
      <c r="F107" s="271" t="str">
        <f t="shared" si="8"/>
        <v>TOS Scotty</v>
      </c>
      <c r="G107" s="271"/>
      <c r="H107" s="271" t="str">
        <f t="shared" si="9"/>
        <v>TOS Chekov</v>
      </c>
      <c r="I107" s="271"/>
      <c r="J107" s="271" t="str">
        <f t="shared" si="10"/>
        <v>Cadet Scotty</v>
      </c>
      <c r="K107" s="270"/>
      <c r="L107" s="154" t="str">
        <f t="shared" si="11"/>
        <v>Chekov can be changed for anyone who is not engineering class from the synergy group for the same result. Use full synergy and remove Cadet scotty if he is not at least rank 4. Great for stretching the range of the USS Discovery</v>
      </c>
    </row>
    <row r="108" spans="2:12" x14ac:dyDescent="0.25">
      <c r="B108" s="154" t="str">
        <f t="array" ref="B108">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87)),COLUMN(A87))," ")</f>
        <v>Max Warp Range - NON explorer</v>
      </c>
      <c r="F108" s="271" t="str">
        <f t="shared" si="8"/>
        <v>Ghrush</v>
      </c>
      <c r="G108" s="271"/>
      <c r="H108" s="271" t="str">
        <f t="shared" si="9"/>
        <v>Cadet Scotty</v>
      </c>
      <c r="I108" s="271"/>
      <c r="J108" s="271" t="str">
        <f t="shared" si="10"/>
        <v>Origins Stamets</v>
      </c>
      <c r="K108" s="270"/>
      <c r="L108" s="154" t="str">
        <f t="shared" si="11"/>
        <v>Stamets can be changed to anything else if it better meets your requirements, but Origins stamets increases Warp Speed</v>
      </c>
    </row>
    <row r="109" spans="2:12" x14ac:dyDescent="0.25">
      <c r="B109" s="154" t="str">
        <f t="array" ref="B109">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88)),COLUMN(A88))," ")</f>
        <v>Mining - Ferrengi protection Crew</v>
      </c>
      <c r="F109" s="271" t="str">
        <f t="shared" si="8"/>
        <v>Quark</v>
      </c>
      <c r="G109" s="271"/>
      <c r="H109" s="271" t="str">
        <f t="shared" si="9"/>
        <v>Three Of Eleven</v>
      </c>
      <c r="I109" s="271"/>
      <c r="J109" s="271" t="str">
        <f t="shared" si="10"/>
        <v>Arrock</v>
      </c>
      <c r="K109" s="270"/>
      <c r="L109" s="154" t="str">
        <f t="shared" si="11"/>
        <v>Good Protection Boost from Quark and 3 of 11. boosted with Arrock synergy to Quark. Improved mining speed from Arrock. 3 of 11 can be swapped for max T'Pring for the same protection (unless 3 of 11 is higher than rank one then T'Pring cannot match)</v>
      </c>
    </row>
    <row r="110" spans="2:12" x14ac:dyDescent="0.25">
      <c r="B110" s="154" t="str">
        <f t="array" ref="B110">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89)),COLUMN(A89))," ")</f>
        <v>Mining - Crystal - Borg only</v>
      </c>
      <c r="F110" s="271" t="str">
        <f t="shared" si="8"/>
        <v>Eleven Of Eleven</v>
      </c>
      <c r="G110" s="271"/>
      <c r="H110" s="271" t="str">
        <f t="shared" si="9"/>
        <v>Ten Of Eleven</v>
      </c>
      <c r="I110" s="271"/>
      <c r="J110" s="271" t="str">
        <f t="shared" si="10"/>
        <v>Three Of Eleven</v>
      </c>
      <c r="K110" s="270"/>
      <c r="L110" s="154" t="str">
        <f t="shared" si="11"/>
        <v>Any Command class officer from unimatrix twelve group can be swapped for 3 of 11 if needed for the same result.</v>
      </c>
    </row>
    <row r="111" spans="2:12" x14ac:dyDescent="0.25">
      <c r="B111" s="154" t="str">
        <f t="array" ref="B111">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90)),COLUMN(A90))," ")</f>
        <v>MIning - Crystal - no eleven or eleven</v>
      </c>
      <c r="F111" s="271" t="str">
        <f t="shared" si="8"/>
        <v>Barot</v>
      </c>
      <c r="G111" s="271"/>
      <c r="H111" s="271" t="str">
        <f t="shared" si="9"/>
        <v>Mäkinen</v>
      </c>
      <c r="I111" s="271"/>
      <c r="J111" s="271" t="str">
        <f t="shared" si="10"/>
        <v>Dupont</v>
      </c>
      <c r="K111" s="270"/>
      <c r="L111" s="154" t="str">
        <f t="shared" si="11"/>
        <v>This provides full synergy to captain increasing mining speed. Any of the 'Surveyors &amp; Miners' group can be used in the officer slots with the same effect - Providing one of each officer class is present on the bridge. One side of synergy can be swapped for Ten Of Eleven for even faster speeds</v>
      </c>
    </row>
    <row r="112" spans="2:12" x14ac:dyDescent="0.25">
      <c r="B112" s="154" t="str">
        <f t="array" ref="B112">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91)),COLUMN(A91))," ")</f>
        <v>Mining - Data Max Speed</v>
      </c>
      <c r="F112" s="271" t="str">
        <f t="shared" si="8"/>
        <v>Joaquin</v>
      </c>
      <c r="G112" s="271"/>
      <c r="H112" s="271" t="str">
        <f t="shared" si="9"/>
        <v>Ten Of Eleven</v>
      </c>
      <c r="I112" s="271"/>
      <c r="J112" s="271" t="str">
        <f t="shared" si="10"/>
        <v>Quark</v>
      </c>
      <c r="K112" s="270"/>
      <c r="L112" s="154" t="str">
        <f t="shared" si="11"/>
        <v>Promotion of side officers will increase speed further.</v>
      </c>
    </row>
    <row r="113" spans="2:12" x14ac:dyDescent="0.25">
      <c r="B113" s="154" t="str">
        <f t="array" ref="B113">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92)),COLUMN(A92))," ")</f>
        <v>MIning - Data Speed &amp; Max Protected</v>
      </c>
      <c r="F113" s="271" t="str">
        <f t="shared" si="8"/>
        <v>Joaquin</v>
      </c>
      <c r="G113" s="271"/>
      <c r="H113" s="271" t="str">
        <f t="shared" si="9"/>
        <v>T'Pring</v>
      </c>
      <c r="I113" s="271"/>
      <c r="J113" s="271" t="str">
        <f t="shared" si="10"/>
        <v>Three Of Eleven</v>
      </c>
      <c r="K113" s="270"/>
      <c r="L113" s="154" t="str">
        <f t="shared" si="11"/>
        <v>If 3 of 11 not attained can use a side of synergy for Joachim, Dupont or One Of Eleven as a replacement. Although Recommended Levels are all set as one, the higher the two side officers are the greater your protection.</v>
      </c>
    </row>
    <row r="114" spans="2:12" x14ac:dyDescent="0.25">
      <c r="B114" s="154" t="str">
        <f t="array" ref="B114">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93)),COLUMN(A93))," ")</f>
        <v>Mining - G3 without Main Captain</v>
      </c>
      <c r="F114" s="271" t="str">
        <f t="shared" si="8"/>
        <v>Dupont</v>
      </c>
      <c r="G114" s="271"/>
      <c r="H114" s="271" t="str">
        <f t="shared" si="9"/>
        <v>K'Bisch</v>
      </c>
      <c r="I114" s="271"/>
      <c r="J114" s="271" t="str">
        <f t="shared" si="10"/>
        <v>Domitia</v>
      </c>
      <c r="K114" s="270"/>
      <c r="L114" s="154" t="str">
        <f t="shared" si="11"/>
        <v>If needing to use more than one miner on the same material. Any of the 'Surveyors &amp; Miners' group can be used in the officer slots with the same effect - Providing one of each officer class is present on the bridge. not as effective as the main crews using main captain on their respective material. Ten Of Eleven can be used to replace one side of synergy if not used elsewhere for greater mining speed</v>
      </c>
    </row>
    <row r="115" spans="2:12" x14ac:dyDescent="0.25">
      <c r="B115" s="154" t="str">
        <f t="array" ref="B115">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94)),COLUMN(A94))," ")</f>
        <v>Mining - G3/G4 without Main Captain</v>
      </c>
      <c r="F115" s="271" t="str">
        <f t="shared" si="8"/>
        <v>Mäkinen</v>
      </c>
      <c r="G115" s="271"/>
      <c r="H115" s="271" t="str">
        <f t="shared" si="9"/>
        <v>Barot</v>
      </c>
      <c r="I115" s="271"/>
      <c r="J115" s="271" t="str">
        <f t="shared" si="10"/>
        <v>Dupont</v>
      </c>
      <c r="K115" s="270"/>
      <c r="L115" s="154" t="str">
        <f t="shared" si="11"/>
        <v>If needing to use more than one miner on the same material. Any of the 'Surveyors &amp; Miners' group can be used in the officer slots with the same effect - Providing one of each officer class is present on the bridge. not as effective as the main crews using main captain on their respective material. Ten Of Eleven can be used to replace one side of synergy if not used elsewhere for greater mining speed</v>
      </c>
    </row>
    <row r="116" spans="2:12" x14ac:dyDescent="0.25">
      <c r="B116" s="154" t="str">
        <f t="array" ref="B116">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95)),COLUMN(A95))," ")</f>
        <v>Mining - Gas - Borg only</v>
      </c>
      <c r="F116" s="271" t="str">
        <f t="shared" si="8"/>
        <v>Three Of Eleven</v>
      </c>
      <c r="G116" s="271"/>
      <c r="H116" s="271" t="str">
        <f t="shared" si="9"/>
        <v>Ten Of Eleven</v>
      </c>
      <c r="I116" s="271"/>
      <c r="J116" s="271" t="str">
        <f t="shared" si="10"/>
        <v>Seven Of Eleven</v>
      </c>
      <c r="K116" s="270"/>
      <c r="L116" s="154" t="str">
        <f t="shared" si="11"/>
        <v>Any science class officer from unimatrix twelve group can be swapped for 7 of 11 if needed for the same result.</v>
      </c>
    </row>
    <row r="117" spans="2:12" x14ac:dyDescent="0.25">
      <c r="B117" s="154" t="str">
        <f t="array" ref="B117">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96)),COLUMN(A96))," ")</f>
        <v>Mining - Gas - no Three Of Eleven</v>
      </c>
      <c r="F117" s="271" t="str">
        <f t="shared" si="8"/>
        <v>T'Pring</v>
      </c>
      <c r="G117" s="271"/>
      <c r="H117" s="271" t="str">
        <f t="shared" si="9"/>
        <v>K'Bisch</v>
      </c>
      <c r="I117" s="271"/>
      <c r="J117" s="271" t="str">
        <f t="shared" si="10"/>
        <v>Domitia</v>
      </c>
      <c r="K117" s="270"/>
      <c r="L117" s="154" t="str">
        <f t="shared" si="11"/>
        <v>This provides full synergy to captain increasing mining speed. Any of the 'Surveyors &amp; Miners' group can be used in the officer slots with the same effect - Providing one of each officer class is present on the bridge. One side of synergy can be swapped for Ten Of Eleven for even faster speeds</v>
      </c>
    </row>
    <row r="118" spans="2:12" x14ac:dyDescent="0.25">
      <c r="B118" s="154" t="str">
        <f t="array" ref="B118">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97)),COLUMN(A97))," ")</f>
        <v>Mining - ISO Max Speed</v>
      </c>
      <c r="F118" s="271" t="str">
        <f t="shared" ref="F118:F149" si="12">IFERROR(IF(VLOOKUP(B118,PSFull,2,FALSE)=0,"",IFERROR(VLOOKUP(B118,PSFull,2,FALSE),"")),"")</f>
        <v>Airiam</v>
      </c>
      <c r="G118" s="271"/>
      <c r="H118" s="271" t="str">
        <f t="shared" ref="H118:H149" si="13">IFERROR(IF(VLOOKUP(B118,PSFull,4,FALSE)=0,"",IFERROR(VLOOKUP(B118,PSFull,4,FALSE),"")),"")</f>
        <v>Mäkinen</v>
      </c>
      <c r="I118" s="271"/>
      <c r="J118" s="271" t="str">
        <f t="shared" ref="J118:J149" si="14">IFERROR(IF(VLOOKUP(B118,PSFull,6,FALSE)=0,"",IFERROR(VLOOKUP(B118,PSFull,6,FALSE),"")),"")</f>
        <v>Ten Of Eleven</v>
      </c>
      <c r="K118" s="270"/>
      <c r="L118" s="154" t="str">
        <f t="shared" ref="L118:L149" si="15">IFERROR(IF(VLOOKUP(B118,PSFull,8,FALSE)=0,"",IFERROR(VLOOKUP(B118,PSFull,8,FALSE),"")),"")</f>
        <v>If Mäkinen not attained can use a side of synergy for Airiam as a replacement. Although Recommended Levels are all set as one, the higher the two side officers are the faster your mining speed</v>
      </c>
    </row>
    <row r="119" spans="2:12" x14ac:dyDescent="0.25">
      <c r="B119" s="154" t="str">
        <f t="array" ref="B119">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98)),COLUMN(A98))," ")</f>
        <v>MIning - Latinum</v>
      </c>
      <c r="F119" s="271" t="str">
        <f t="shared" si="12"/>
        <v>Mäkinen</v>
      </c>
      <c r="G119" s="271"/>
      <c r="H119" s="271" t="str">
        <f t="shared" si="13"/>
        <v>Ten Of Eleven</v>
      </c>
      <c r="I119" s="271"/>
      <c r="J119" s="271" t="str">
        <f t="shared" si="14"/>
        <v>T'Pring</v>
      </c>
      <c r="K119" s="270"/>
      <c r="L119" s="154" t="str">
        <f t="shared" si="15"/>
        <v>Provides fastest speed and T'pring can be changed for any other mining officer offering double bar synergy to makinen, but T'Pring will also boost the protected cargo amount.</v>
      </c>
    </row>
    <row r="120" spans="2:12" x14ac:dyDescent="0.25">
      <c r="B120" s="154" t="str">
        <f t="array" ref="B120">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99)),COLUMN(A99))," ")</f>
        <v>Mining - Max Concentrated Lat Speed Crew</v>
      </c>
      <c r="F120" s="271" t="str">
        <f t="shared" si="12"/>
        <v>Arrock</v>
      </c>
      <c r="G120" s="271"/>
      <c r="H120" s="271" t="str">
        <f t="shared" si="13"/>
        <v>Rom</v>
      </c>
      <c r="I120" s="271"/>
      <c r="J120" s="271" t="str">
        <f t="shared" si="14"/>
        <v>Quark</v>
      </c>
      <c r="K120" s="270"/>
      <c r="L120" s="154" t="str">
        <f t="shared" si="15"/>
        <v>The higher rank of Quark will improve mining speed. Rom can be swapped with Fess if Rom is not unlocked, but this will reduce your ships protected Cargo due to his officer ability (but hey; mining is dangerous apparently)</v>
      </c>
    </row>
    <row r="121" spans="2:12" x14ac:dyDescent="0.25">
      <c r="B121" s="154" t="str">
        <f t="array" ref="B121">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100)),COLUMN(A100))," ")</f>
        <v>Mining - Max Crystal Speed Crew</v>
      </c>
      <c r="F121" s="271" t="str">
        <f t="shared" si="12"/>
        <v>Eleven Of Eleven</v>
      </c>
      <c r="G121" s="271"/>
      <c r="H121" s="271" t="str">
        <f t="shared" si="13"/>
        <v>Ten Of Eleven</v>
      </c>
      <c r="I121" s="271"/>
      <c r="J121" s="271" t="str">
        <f t="shared" si="14"/>
        <v>Quark</v>
      </c>
      <c r="K121" s="270"/>
      <c r="L121" s="154" t="str">
        <f t="shared" si="15"/>
        <v>Synergy offered by 10 of 11 plus Quark make this the fastest mining crew for this material. Promotion of the two side officers improve speed further.</v>
      </c>
    </row>
    <row r="122" spans="2:12" x14ac:dyDescent="0.25">
      <c r="B122" s="154" t="str">
        <f t="array" ref="B122">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101)),COLUMN(A101))," ")</f>
        <v>Mining - Max Gas mining Rate Three Of Eleven</v>
      </c>
      <c r="F122" s="271" t="str">
        <f t="shared" si="12"/>
        <v>Three Of Eleven</v>
      </c>
      <c r="G122" s="271"/>
      <c r="H122" s="271" t="str">
        <f t="shared" si="13"/>
        <v>Two Of Eleven</v>
      </c>
      <c r="I122" s="271"/>
      <c r="J122" s="271" t="str">
        <f t="shared" si="14"/>
        <v>Ten Of Eleven</v>
      </c>
      <c r="K122" s="270"/>
      <c r="L122" s="154" t="str">
        <f t="shared" si="15"/>
        <v>Offers best gas mining rate in the game with full synergy with Three Of Eleven plus the mining bonuses from Ten Of Eleven and Two Of Eleven. Seven Of Eleven can be swapped for Two Of Eleven if not unlocked. Eight Of Eleven can be swapped for Ten Of Eleven if not unlocked.</v>
      </c>
    </row>
    <row r="123" spans="2:12" x14ac:dyDescent="0.25">
      <c r="B123" s="154" t="str">
        <f t="array" ref="B123">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102)),COLUMN(A102))," ")</f>
        <v>Mining - Max Gas mining speed crew</v>
      </c>
      <c r="F123" s="271" t="str">
        <f t="shared" si="12"/>
        <v>Three Of Eleven</v>
      </c>
      <c r="G123" s="271"/>
      <c r="H123" s="271" t="str">
        <f t="shared" si="13"/>
        <v>Ten Of Eleven</v>
      </c>
      <c r="I123" s="271"/>
      <c r="J123" s="271" t="str">
        <f t="shared" si="14"/>
        <v>Quark</v>
      </c>
      <c r="K123" s="270"/>
      <c r="L123" s="154" t="str">
        <f t="shared" si="15"/>
        <v>Synergy offered by 10 of 11 plus Quark make this the fastest mining crew for this material. Promotion of the two side officers improve speed further. Promotion of 3 of 11 improves protection further.</v>
      </c>
    </row>
    <row r="124" spans="2:12" x14ac:dyDescent="0.25">
      <c r="B124" s="154" t="str">
        <f t="array" ref="B124">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103)),COLUMN(A103))," ")</f>
        <v>Mining - Max Generic Mining Speed Crew</v>
      </c>
      <c r="F124" s="271" t="str">
        <f t="shared" si="12"/>
        <v>Quark</v>
      </c>
      <c r="G124" s="271"/>
      <c r="H124" s="271" t="str">
        <f t="shared" si="13"/>
        <v>Arrock</v>
      </c>
      <c r="I124" s="271"/>
      <c r="J124" s="271" t="str">
        <f t="shared" si="14"/>
        <v>Ten Of Eleven</v>
      </c>
      <c r="K124" s="270"/>
      <c r="L124" s="154" t="str">
        <f t="shared" si="15"/>
        <v>Higher the rank of side officers, the faster the speed. This crew is overall speed and offers an increase in protection from Quark. Specific targeted officers for a particular mining resource may prove faster if put as captain with Quark and 10 of 11 on the sides.</v>
      </c>
    </row>
    <row r="125" spans="2:12" x14ac:dyDescent="0.25">
      <c r="B125" s="154" t="str">
        <f t="array" ref="B125">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104)),COLUMN(A104))," ")</f>
        <v>Mining - Max Ore mining Speed Crew</v>
      </c>
      <c r="F125" s="271" t="str">
        <f t="shared" si="12"/>
        <v>Four Of Eleven</v>
      </c>
      <c r="G125" s="271"/>
      <c r="H125" s="271" t="str">
        <f t="shared" si="13"/>
        <v>Ten Of Eleven</v>
      </c>
      <c r="I125" s="271"/>
      <c r="J125" s="271" t="str">
        <f t="shared" si="14"/>
        <v>Quark</v>
      </c>
      <c r="K125" s="270"/>
      <c r="L125" s="154" t="str">
        <f t="shared" si="15"/>
        <v>Synergy offered by 10 of 11 plus Quark make this the fastest mining crew for this material. Promotion of the two side officers improve speed further.</v>
      </c>
    </row>
    <row r="126" spans="2:12" x14ac:dyDescent="0.25">
      <c r="B126" s="154" t="str">
        <f t="array" ref="B126">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105)),COLUMN(A105))," ")</f>
        <v>Mining - Max Protected Cargo - no Three Of Eleven</v>
      </c>
      <c r="F126" s="271" t="str">
        <f t="shared" si="12"/>
        <v>Ghrush</v>
      </c>
      <c r="G126" s="271"/>
      <c r="H126" s="271" t="str">
        <f t="shared" si="13"/>
        <v>T'Pring</v>
      </c>
      <c r="I126" s="271"/>
      <c r="J126" s="271" t="str">
        <f t="shared" si="14"/>
        <v>Dupont</v>
      </c>
      <c r="K126" s="270"/>
      <c r="L126" s="154" t="str">
        <f t="shared" si="15"/>
        <v>If Dupont not attained can use a side of synergy for Joachim or One Of Eleven as a replacement. Although Recommended Levels are all set as one, the higher the two side officers are the greater your protection.</v>
      </c>
    </row>
    <row r="127" spans="2:12" x14ac:dyDescent="0.25">
      <c r="B127" s="154" t="str">
        <f t="array" ref="B127">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106)),COLUMN(A106))," ")</f>
        <v>Mining - Max Protected Cargo Three Of Eleven</v>
      </c>
      <c r="F127" s="271" t="str">
        <f t="shared" si="12"/>
        <v>Ghrush</v>
      </c>
      <c r="G127" s="271"/>
      <c r="H127" s="271" t="str">
        <f t="shared" si="13"/>
        <v>T'Pring</v>
      </c>
      <c r="I127" s="271"/>
      <c r="J127" s="271" t="str">
        <f t="shared" si="14"/>
        <v>Three Of Eleven</v>
      </c>
      <c r="K127" s="270"/>
      <c r="L127" s="154" t="str">
        <f t="shared" si="15"/>
        <v>Tpring and dupont can be interchanged pending which is the higher rank</v>
      </c>
    </row>
    <row r="128" spans="2:12" x14ac:dyDescent="0.25">
      <c r="B128" s="154" t="str">
        <f t="array" ref="B128">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107)),COLUMN(A107))," ")</f>
        <v>Mining - North Star speed and max cargo.</v>
      </c>
      <c r="F128" s="271" t="str">
        <f t="shared" si="12"/>
        <v>Two Of Eleven</v>
      </c>
      <c r="G128" s="271"/>
      <c r="H128" s="271" t="str">
        <f t="shared" si="13"/>
        <v>Stonn</v>
      </c>
      <c r="I128" s="271"/>
      <c r="J128" s="271" t="str">
        <f t="shared" si="14"/>
        <v>Ten Of Eleven</v>
      </c>
      <c r="K128" s="270"/>
      <c r="L128" s="154" t="str">
        <f t="shared" si="15"/>
        <v>Stack lower decks for Health. The higher Ten Of Eleven and Stonn are, the better.</v>
      </c>
    </row>
    <row r="129" spans="2:12" x14ac:dyDescent="0.25">
      <c r="B129" s="154" t="str">
        <f t="array" ref="B129">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108)),COLUMN(A108))," ")</f>
        <v>Mining - North Star speed and protected cargo.</v>
      </c>
      <c r="F129" s="271" t="str">
        <f t="shared" si="12"/>
        <v>Two Of Eleven</v>
      </c>
      <c r="G129" s="271"/>
      <c r="H129" s="271" t="str">
        <f t="shared" si="13"/>
        <v>T'Pring</v>
      </c>
      <c r="I129" s="271"/>
      <c r="J129" s="271" t="str">
        <f t="shared" si="14"/>
        <v>One Of Eleven</v>
      </c>
      <c r="K129" s="270"/>
      <c r="L129" s="154" t="str">
        <f t="shared" si="15"/>
        <v>Stack lower decks for Health. The higher One Of Eleven and T'Pring are, the better.</v>
      </c>
    </row>
    <row r="130" spans="2:12" x14ac:dyDescent="0.25">
      <c r="B130" s="154" t="str">
        <f t="array" ref="B130">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109)),COLUMN(A109))," ")</f>
        <v>Mining - Ore - Borg only</v>
      </c>
      <c r="F130" s="271" t="str">
        <f t="shared" si="12"/>
        <v>Four Of Eleven</v>
      </c>
      <c r="G130" s="271"/>
      <c r="H130" s="271" t="str">
        <f t="shared" si="13"/>
        <v>Ten Of Eleven</v>
      </c>
      <c r="I130" s="271"/>
      <c r="J130" s="271" t="str">
        <f t="shared" si="14"/>
        <v>Three Of Eleven</v>
      </c>
      <c r="K130" s="270"/>
      <c r="L130" s="154" t="str">
        <f t="shared" si="15"/>
        <v>Any command or science class officer from unimatrix twelve group can be swapped for 3 of 11 if needed for the same result, but this offers improved protected caro. Although this crew does not provide full synergy due to 10 or 11 and 4 of 11 being the same class, the benefit from 10 of 11 still outweighs the benefit of a second side of full synergy.</v>
      </c>
    </row>
    <row r="131" spans="2:12" x14ac:dyDescent="0.25">
      <c r="B131" s="154" t="str">
        <f t="array" ref="B131">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110)),COLUMN(A110))," ")</f>
        <v>Mining - Ore - no Four of Eleven</v>
      </c>
      <c r="F131" s="271" t="str">
        <f t="shared" si="12"/>
        <v>Stonn</v>
      </c>
      <c r="G131" s="271"/>
      <c r="H131" s="271" t="str">
        <f t="shared" si="13"/>
        <v>Helvia</v>
      </c>
      <c r="I131" s="271"/>
      <c r="J131" s="271" t="str">
        <f t="shared" si="14"/>
        <v>Domitia</v>
      </c>
      <c r="K131" s="270"/>
      <c r="L131" s="154" t="str">
        <f t="shared" si="15"/>
        <v>This provides full synergy to captain increasing mining speed. Any of the 'Surveyors &amp; Miners' group can be used in the officer slots with the same effect - Providing one of each officer class is present on the bridge. One side of synergy can be swapped for Ten Of Eleven for even faster speeds</v>
      </c>
    </row>
    <row r="132" spans="2:12" x14ac:dyDescent="0.25">
      <c r="B132" s="154" t="str">
        <f t="array" ref="B132">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111)),COLUMN(A111))," ")</f>
        <v>Mining - Protection and increase Warp Range</v>
      </c>
      <c r="F132" s="271" t="str">
        <f t="shared" si="12"/>
        <v>Ghrush</v>
      </c>
      <c r="G132" s="271"/>
      <c r="H132" s="271" t="str">
        <f t="shared" si="13"/>
        <v>Three Of Eleven</v>
      </c>
      <c r="I132" s="271"/>
      <c r="J132" s="271" t="str">
        <f t="shared" si="14"/>
        <v>T'Pring</v>
      </c>
      <c r="K132" s="270"/>
      <c r="L132" s="154" t="str">
        <f t="shared" si="15"/>
        <v>Higher the rank the better for Three of Eleven and T'pring for protection and same for Ghrush regarding warp range. Other options to replace side officers include Dupont (same rank:protection as T'Pring) and One of Eleven (even at max only offers a max of 50% protection Boost.</v>
      </c>
    </row>
    <row r="133" spans="2:12" x14ac:dyDescent="0.25">
      <c r="B133" s="154" t="str">
        <f t="array" ref="B133">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112)),COLUMN(A112))," ")</f>
        <v>Mission Boss - Yuki - General</v>
      </c>
      <c r="F133" s="271" t="str">
        <f t="shared" si="12"/>
        <v>Yuki</v>
      </c>
      <c r="G133" s="271"/>
      <c r="H133" s="271" t="str">
        <f t="shared" si="13"/>
        <v>Khan</v>
      </c>
      <c r="I133" s="271"/>
      <c r="J133" s="271" t="str">
        <f t="shared" si="14"/>
        <v>Gorkon</v>
      </c>
      <c r="K133" s="270"/>
      <c r="L133" s="154" t="str">
        <f t="shared" si="15"/>
        <v>Yuki strips the opponents shield by 10% per round meaning you get through to the hull faster. Khan and Gorkon increase critical chance and damage with Hull Breach.</v>
      </c>
    </row>
    <row r="134" spans="2:12" x14ac:dyDescent="0.25">
      <c r="B134" s="154" t="str">
        <f t="array" ref="B134">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113)),COLUMN(A113))," ")</f>
        <v>Mission Boss - Yuki vs Explorers</v>
      </c>
      <c r="F134" s="271" t="str">
        <f t="shared" si="12"/>
        <v>Yuki</v>
      </c>
      <c r="G134" s="271"/>
      <c r="H134" s="271" t="str">
        <f t="shared" si="13"/>
        <v>Khan</v>
      </c>
      <c r="I134" s="271"/>
      <c r="J134" s="271" t="str">
        <f t="shared" si="14"/>
        <v>Marcus</v>
      </c>
      <c r="K134" s="270"/>
      <c r="L134" s="154" t="str">
        <f t="shared" si="15"/>
        <v>Stack Defence for Marcus. Yuki strips the opponents shield by 15% per round (as Marcus add synergy) meaning you get through to the hull faster. Marcus Officer ability specifically built for fighing explorers as he increases penetration to their strongest defensive stat.</v>
      </c>
    </row>
    <row r="135" spans="2:12" x14ac:dyDescent="0.25">
      <c r="B135" s="154" t="str">
        <f t="array" ref="B135">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114)),COLUMN(A114))," ")</f>
        <v>Mission Boss - Yuki vs Explorers</v>
      </c>
      <c r="F135" s="271" t="str">
        <f t="shared" si="12"/>
        <v>Yuki</v>
      </c>
      <c r="G135" s="271"/>
      <c r="H135" s="271" t="str">
        <f t="shared" si="13"/>
        <v>Khan</v>
      </c>
      <c r="I135" s="271"/>
      <c r="J135" s="271" t="str">
        <f t="shared" si="14"/>
        <v>Marcus</v>
      </c>
      <c r="K135" s="270"/>
      <c r="L135" s="154" t="str">
        <f t="shared" si="15"/>
        <v>Stack Defence for Marcus. Yuki strips the opponents shield by 15% per round (as Marcus add synergy) meaning you get through to the hull faster. Marcus Officer ability specifically built for fighing explorers as he increases penetration to their strongest defensive stat.</v>
      </c>
    </row>
    <row r="136" spans="2:12" x14ac:dyDescent="0.25">
      <c r="B136" s="154" t="str">
        <f t="array" ref="B136">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115)),COLUMN(A115))," ")</f>
        <v>Mission Boss - Yuki vs Explorers</v>
      </c>
      <c r="F136" s="271" t="str">
        <f t="shared" si="12"/>
        <v>Yuki</v>
      </c>
      <c r="G136" s="271"/>
      <c r="H136" s="271" t="str">
        <f t="shared" si="13"/>
        <v>Khan</v>
      </c>
      <c r="I136" s="271"/>
      <c r="J136" s="271" t="str">
        <f t="shared" si="14"/>
        <v>Marcus</v>
      </c>
      <c r="K136" s="270"/>
      <c r="L136" s="154" t="str">
        <f t="shared" si="15"/>
        <v>Stack Defence for Marcus. Yuki strips the opponents shield by 15% per round (as Marcus add synergy) meaning you get through to the hull faster. Marcus Officer ability specifically built for fighing explorers as he increases penetration to their strongest defensive stat.</v>
      </c>
    </row>
    <row r="137" spans="2:12" x14ac:dyDescent="0.25">
      <c r="B137" s="154" t="str">
        <f t="array" ref="B137">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116)),COLUMN(A116))," ")</f>
        <v>Probes - Alternative Crew</v>
      </c>
      <c r="F137" s="271" t="str">
        <f t="shared" si="12"/>
        <v>Five Of Eleven</v>
      </c>
      <c r="G137" s="271"/>
      <c r="H137" s="271" t="str">
        <f t="shared" si="13"/>
        <v>T'Laan</v>
      </c>
      <c r="I137" s="271"/>
      <c r="J137" s="271" t="str">
        <f t="shared" si="14"/>
        <v>Chen</v>
      </c>
      <c r="K137" s="270"/>
      <c r="L137" s="154" t="str">
        <f t="shared" si="15"/>
        <v>5 must be min rank 2 for this set up to net more probes than Pike hostile crew</v>
      </c>
    </row>
    <row r="138" spans="2:12" x14ac:dyDescent="0.25">
      <c r="B138" s="154" t="str">
        <f t="array" ref="B138">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117)),COLUMN(A117))," ")</f>
        <v>Probes - Picard</v>
      </c>
      <c r="F138" s="271" t="str">
        <f t="shared" si="12"/>
        <v>Jean-Luc Picard</v>
      </c>
      <c r="G138" s="271"/>
      <c r="H138" s="271" t="str">
        <f t="shared" si="13"/>
        <v>Beverly Crusher</v>
      </c>
      <c r="I138" s="271"/>
      <c r="J138" s="271" t="str">
        <f t="shared" si="14"/>
        <v>Chen</v>
      </c>
      <c r="K138" s="270"/>
      <c r="L138" s="154" t="str">
        <f t="shared" si="15"/>
        <v>Exception to this is when hitting level 29 probes where you would swap Chen for T'Laan due to their firing pattern. Better to use Pike version of this crew if you need to level the ship you are using at the same time.</v>
      </c>
    </row>
    <row r="139" spans="2:12" x14ac:dyDescent="0.25">
      <c r="B139" s="154" t="str">
        <f t="array" ref="B139">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118)),COLUMN(A118))," ")</f>
        <v>Probes - Picard vs 33s</v>
      </c>
      <c r="F139" s="271" t="str">
        <f t="shared" si="12"/>
        <v>Jean-Luc Picard</v>
      </c>
      <c r="G139" s="271"/>
      <c r="H139" s="271" t="str">
        <f t="shared" si="13"/>
        <v>Beverly Crusher</v>
      </c>
      <c r="I139" s="271"/>
      <c r="J139" s="271" t="str">
        <f t="shared" si="14"/>
        <v>T'Laan</v>
      </c>
      <c r="K139" s="270"/>
      <c r="L139" s="154" t="str">
        <f t="shared" si="15"/>
        <v>If T'Laan is NOT maxed then swap for Chen</v>
      </c>
    </row>
    <row r="140" spans="2:12" x14ac:dyDescent="0.25">
      <c r="B140" s="154" t="str">
        <f t="array" ref="B140">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119)),COLUMN(A119))," ")</f>
        <v>Probes - Pike</v>
      </c>
      <c r="F140" s="271" t="str">
        <f t="shared" si="12"/>
        <v>Pike</v>
      </c>
      <c r="G140" s="271"/>
      <c r="H140" s="271" t="str">
        <f t="shared" si="13"/>
        <v>Moreau</v>
      </c>
      <c r="I140" s="271"/>
      <c r="J140" s="271" t="str">
        <f t="shared" si="14"/>
        <v>Chen</v>
      </c>
      <c r="K140" s="270"/>
      <c r="L140" s="154" t="str">
        <f t="shared" si="15"/>
        <v>Exception to this is when hitting level 29 probes where you would swap Chen for T'Laan due to their firing pattern</v>
      </c>
    </row>
    <row r="141" spans="2:12" x14ac:dyDescent="0.25">
      <c r="B141" s="154" t="str">
        <f t="array" ref="B141">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120)),COLUMN(A120))," ")</f>
        <v>Probes - Pike Vs 33s</v>
      </c>
      <c r="F141" s="271" t="str">
        <f t="shared" si="12"/>
        <v>Pike</v>
      </c>
      <c r="G141" s="271"/>
      <c r="H141" s="271" t="str">
        <f t="shared" si="13"/>
        <v>Moreau</v>
      </c>
      <c r="I141" s="271"/>
      <c r="J141" s="271" t="str">
        <f t="shared" si="14"/>
        <v>T'Laan</v>
      </c>
      <c r="K141" s="270"/>
      <c r="L141" s="154" t="str">
        <f t="shared" si="15"/>
        <v>If T'Laan is NOT maxed then swap for Chen</v>
      </c>
    </row>
    <row r="142" spans="2:12" x14ac:dyDescent="0.25">
      <c r="B142" s="154" t="str">
        <f t="array" ref="B142">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121)),COLUMN(A121))," ")</f>
        <v>Probes - Vs 33s not using Pike/Picard</v>
      </c>
      <c r="F142" s="271" t="str">
        <f t="shared" si="12"/>
        <v>Five Of Eleven</v>
      </c>
      <c r="G142" s="271"/>
      <c r="H142" s="271" t="str">
        <f t="shared" si="13"/>
        <v>Seven Of Eleven</v>
      </c>
      <c r="I142" s="271"/>
      <c r="J142" s="271" t="str">
        <f t="shared" si="14"/>
        <v>T'Laan</v>
      </c>
      <c r="K142" s="270"/>
      <c r="L142" s="154" t="str">
        <f t="shared" si="15"/>
        <v>This crew keeps Chen free for other grinding. If T'Laan is NOT maxed then swap for Chen</v>
      </c>
    </row>
    <row r="143" spans="2:12" x14ac:dyDescent="0.25">
      <c r="B143" s="154" t="str">
        <f t="array" ref="B143">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122)),COLUMN(A122))," ")</f>
        <v>Probes - vs Level 29 Borg</v>
      </c>
      <c r="F143" s="271" t="str">
        <f t="shared" si="12"/>
        <v>Seven Of Eleven</v>
      </c>
      <c r="G143" s="271"/>
      <c r="H143" s="271" t="str">
        <f t="shared" si="13"/>
        <v>Eight Of Eleven</v>
      </c>
      <c r="I143" s="271"/>
      <c r="J143" s="271" t="str">
        <f t="shared" si="14"/>
        <v>Nine Of Eleven</v>
      </c>
      <c r="K143" s="270"/>
      <c r="L143" s="154" t="str">
        <f t="shared" si="15"/>
        <v>Should fill cargo providing Vi'dar is at least tier 7 with the top gun upgraded. Five Of Eleven can be swapped in for 8 or Nine Of Eleven if you have her - This would increase your loot drops and speed up your run</v>
      </c>
    </row>
    <row r="144" spans="2:12" x14ac:dyDescent="0.25">
      <c r="B144" s="154" t="str">
        <f t="array" ref="B144">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123)),COLUMN(A123))," ")</f>
        <v>PVP - explorer vs Battleship with Marcus</v>
      </c>
      <c r="F144" s="271" t="str">
        <f t="shared" si="12"/>
        <v>Gowron</v>
      </c>
      <c r="G144" s="271"/>
      <c r="H144" s="271" t="str">
        <f t="shared" si="13"/>
        <v>Honorguard Worf</v>
      </c>
      <c r="I144" s="271"/>
      <c r="J144" s="271" t="str">
        <f t="shared" si="14"/>
        <v>Charvanek</v>
      </c>
      <c r="K144" s="270"/>
      <c r="L144" s="154" t="str">
        <f t="shared" si="15"/>
        <v>Primarily for use on a ship with energy weapons(generally explorers) to utilise Gowrons Officer ability. Not for use on G3 enterprise as no morale to trigger ship ability. Gowron is stats based and combats the effectiveness of Marcus. Higher the Gowron and lower the Marcus you are fighting the better results this will have. Charvanek for her penetration boost specific to fighting battleships</v>
      </c>
    </row>
    <row r="145" spans="2:12" x14ac:dyDescent="0.25">
      <c r="B145" s="154" t="str">
        <f t="array" ref="B145">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124)),COLUMN(A124))," ")</f>
        <v>PVP - explorer vs explorer with Marcus</v>
      </c>
      <c r="F145" s="271" t="str">
        <f t="shared" si="12"/>
        <v>Gowron</v>
      </c>
      <c r="G145" s="271"/>
      <c r="H145" s="271" t="str">
        <f t="shared" si="13"/>
        <v>Honorguard Worf</v>
      </c>
      <c r="I145" s="271"/>
      <c r="J145" s="271" t="str">
        <f t="shared" si="14"/>
        <v>Marcus</v>
      </c>
      <c r="K145" s="270"/>
      <c r="L145" s="154" t="str">
        <f t="shared" si="15"/>
        <v>Primarily for use on a ship with energy weapons(generally explorers) to utilise Gowrons Officer ability. Not for use on G3 enterprise as no morale to trigger ship ability. Gowron is stats based and combats the effectiveness of Marcus. Higher the Gowron and lower the Marcus you are fighting the better results this will have. Marcus for penetration boost specific to fighting explorers</v>
      </c>
    </row>
    <row r="146" spans="2:12" x14ac:dyDescent="0.25">
      <c r="B146" s="154" t="str">
        <f t="array" ref="B146">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125)),COLUMN(A125))," ")</f>
        <v>PVP - explorer vs Interceptor with Marcus</v>
      </c>
      <c r="F146" s="271" t="str">
        <f t="shared" si="12"/>
        <v>Gowron</v>
      </c>
      <c r="G146" s="271"/>
      <c r="H146" s="271" t="str">
        <f t="shared" si="13"/>
        <v>Honorguard Worf</v>
      </c>
      <c r="I146" s="271"/>
      <c r="J146" s="271" t="str">
        <f t="shared" si="14"/>
        <v>Kang</v>
      </c>
      <c r="K146" s="270"/>
      <c r="L146" s="154" t="str">
        <f t="shared" si="15"/>
        <v>Primarily for use on a ship with energy weapons(generally explorers) to utilise Gowrons Officer ability. Not for use on G3 enterprise as no morale to trigger ship ability. Gowron is stats based and combats the effectiveness of Marcus. Higher the Gowron and lower the Marcus you are fighting the better results this will have. Kang for penetration boost specific to fighting Interceptors</v>
      </c>
    </row>
    <row r="147" spans="2:12" x14ac:dyDescent="0.25">
      <c r="B147" s="154" t="str">
        <f t="array" ref="B147">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126)),COLUMN(A126))," ")</f>
        <v>PVP - Max anti Fed Battleship</v>
      </c>
      <c r="F147" s="271" t="str">
        <f t="shared" si="12"/>
        <v>Charvanek</v>
      </c>
      <c r="G147" s="271"/>
      <c r="H147" s="271" t="str">
        <f t="shared" si="13"/>
        <v>Mirek</v>
      </c>
      <c r="I147" s="271"/>
      <c r="J147" s="271" t="str">
        <f t="shared" si="14"/>
        <v>Krell</v>
      </c>
      <c r="K147" s="270"/>
      <c r="L147" s="154" t="str">
        <f t="shared" si="15"/>
        <v>Stack Health and Defence. Mirek and Krell generate damage boost vs Federation Ships. Charvanek for her penetration boost specific to fighting battleships</v>
      </c>
    </row>
    <row r="148" spans="2:12" x14ac:dyDescent="0.25">
      <c r="B148" s="154" t="str">
        <f t="array" ref="B148">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127)),COLUMN(A127))," ")</f>
        <v>PVP - Max anti Fed Explorer</v>
      </c>
      <c r="F148" s="271" t="str">
        <f t="shared" si="12"/>
        <v>Marcus</v>
      </c>
      <c r="G148" s="271"/>
      <c r="H148" s="271" t="str">
        <f t="shared" si="13"/>
        <v>Mirek</v>
      </c>
      <c r="I148" s="271"/>
      <c r="J148" s="271" t="str">
        <f t="shared" si="14"/>
        <v>Krell</v>
      </c>
      <c r="K148" s="270"/>
      <c r="L148" s="154" t="str">
        <f t="shared" si="15"/>
        <v>Stack Defence for all officers. Mirek and Krell generate damage boost vs Federation Ships. Marcus for penetration boost specific to fighting explorers</v>
      </c>
    </row>
    <row r="149" spans="2:12" x14ac:dyDescent="0.25">
      <c r="B149" s="154" t="str">
        <f t="array" ref="B149">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128)),COLUMN(A128))," ")</f>
        <v>PVP - Max anti Fed Interceptor</v>
      </c>
      <c r="F149" s="271" t="str">
        <f t="shared" si="12"/>
        <v>Kang</v>
      </c>
      <c r="G149" s="271"/>
      <c r="H149" s="271" t="str">
        <f t="shared" si="13"/>
        <v>Mirek</v>
      </c>
      <c r="I149" s="271"/>
      <c r="J149" s="271" t="str">
        <f t="shared" si="14"/>
        <v>Krell</v>
      </c>
      <c r="K149" s="270"/>
      <c r="L149" s="154" t="str">
        <f t="shared" si="15"/>
        <v>Stack Health and Attack. Mirek and Krell generate damage boost vs Federation Ships. Kang for her penetration boost specific to fighting Interceptors</v>
      </c>
    </row>
    <row r="150" spans="2:12" x14ac:dyDescent="0.25">
      <c r="B150" s="154" t="str">
        <f t="array" ref="B150">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129)),COLUMN(A129))," ")</f>
        <v>PVP - Max anti Klingon Battleship</v>
      </c>
      <c r="F150" s="271" t="str">
        <f t="shared" ref="F150:F181" si="16">IFERROR(IF(VLOOKUP(B150,PSFull,2,FALSE)=0,"",IFERROR(VLOOKUP(B150,PSFull,2,FALSE),"")),"")</f>
        <v>Charvanek</v>
      </c>
      <c r="G150" s="271"/>
      <c r="H150" s="271" t="str">
        <f t="shared" ref="H150:H181" si="17">IFERROR(IF(VLOOKUP(B150,PSFull,4,FALSE)=0,"",IFERROR(VLOOKUP(B150,PSFull,4,FALSE),"")),"")</f>
        <v>L'Nar</v>
      </c>
      <c r="I150" s="271"/>
      <c r="J150" s="271" t="str">
        <f t="shared" ref="J150:J181" si="18">IFERROR(IF(VLOOKUP(B150,PSFull,6,FALSE)=0,"",IFERROR(VLOOKUP(B150,PSFull,6,FALSE),"")),"")</f>
        <v>Tomalak</v>
      </c>
      <c r="K150" s="270"/>
      <c r="L150" s="154" t="str">
        <f t="shared" ref="L150:L181" si="19">IFERROR(IF(VLOOKUP(B150,PSFull,8,FALSE)=0,"",IFERROR(VLOOKUP(B150,PSFull,8,FALSE),"")),"")</f>
        <v>Stack Attack and Health. L'Nar and Tomalak give bonus damage vs Klingon ships. Charvanek for penetration Boost vs Battleships</v>
      </c>
    </row>
    <row r="151" spans="2:12" x14ac:dyDescent="0.25">
      <c r="B151" s="154" t="str">
        <f t="array" ref="B151">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130)),COLUMN(A130))," ")</f>
        <v>PVP - Max anti Klingon Explorer</v>
      </c>
      <c r="F151" s="271" t="str">
        <f t="shared" si="16"/>
        <v>Marcus</v>
      </c>
      <c r="G151" s="271"/>
      <c r="H151" s="271" t="str">
        <f t="shared" si="17"/>
        <v>L'Nar</v>
      </c>
      <c r="I151" s="271"/>
      <c r="J151" s="271" t="str">
        <f t="shared" si="18"/>
        <v>Tomalak</v>
      </c>
      <c r="K151" s="270"/>
      <c r="L151" s="154" t="str">
        <f t="shared" si="19"/>
        <v>Stack Attack and Defence. L'Nar and Tomalak give bonus damage vs Klingon ships. Marcus for penetration Boost vs Explorers</v>
      </c>
    </row>
    <row r="152" spans="2:12" x14ac:dyDescent="0.25">
      <c r="B152" s="154" t="str">
        <f t="array" ref="B152">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131)),COLUMN(A131))," ")</f>
        <v>PVP - Max anti Klingon Interceptor</v>
      </c>
      <c r="F152" s="271" t="str">
        <f t="shared" si="16"/>
        <v>Kang</v>
      </c>
      <c r="G152" s="271"/>
      <c r="H152" s="271" t="str">
        <f t="shared" si="17"/>
        <v>L'Nar</v>
      </c>
      <c r="I152" s="271"/>
      <c r="J152" s="271" t="str">
        <f t="shared" si="18"/>
        <v>Tomalak</v>
      </c>
      <c r="K152" s="270"/>
      <c r="L152" s="154" t="str">
        <f t="shared" si="19"/>
        <v>Stack Attack for all officers. L'Nar and Tomalak give bonus damage vs Klingon ships. Kang for penetration Boost vs Interceptors</v>
      </c>
    </row>
    <row r="153" spans="2:12" x14ac:dyDescent="0.25">
      <c r="B153" s="154" t="str">
        <f t="array" ref="B153">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132)),COLUMN(A132))," ")</f>
        <v>PVP - Max anti Rom battleship</v>
      </c>
      <c r="F153" s="271" t="str">
        <f t="shared" si="16"/>
        <v>Yuki</v>
      </c>
      <c r="G153" s="271"/>
      <c r="H153" s="271" t="str">
        <f t="shared" si="17"/>
        <v>Yan'Agh</v>
      </c>
      <c r="I153" s="271"/>
      <c r="J153" s="271" t="str">
        <f t="shared" si="18"/>
        <v>Charvanek</v>
      </c>
      <c r="K153" s="270"/>
      <c r="L153" s="154" t="str">
        <f t="shared" si="19"/>
        <v>Stack Health for all officers. Yuki offer shield strip at 10% per round. Yuki and Yan'Agh give binus damages roms and ideally should be maxed. Charvanek for her penetration boost specific to fighting battleships</v>
      </c>
    </row>
    <row r="154" spans="2:12" x14ac:dyDescent="0.25">
      <c r="B154" s="154" t="str">
        <f t="array" ref="B154">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133)),COLUMN(A133))," ")</f>
        <v>PVP - Max anti Rom Explorer</v>
      </c>
      <c r="F154" s="271" t="str">
        <f t="shared" si="16"/>
        <v>Yuki</v>
      </c>
      <c r="G154" s="271"/>
      <c r="H154" s="271" t="str">
        <f t="shared" si="17"/>
        <v>Yan'Agh</v>
      </c>
      <c r="I154" s="271"/>
      <c r="J154" s="271" t="str">
        <f t="shared" si="18"/>
        <v>Marcus</v>
      </c>
      <c r="K154" s="270"/>
      <c r="L154" s="154" t="str">
        <f t="shared" si="19"/>
        <v>Stack Health and Defence. Yuki offer shield strip at 15% per round due to Synergy from Marcus. Yuki and Yan'Agh give bonus damage vs roms and ideally should be maxed. Marcus for penetration boost specific to fighting explorers</v>
      </c>
    </row>
    <row r="155" spans="2:12" x14ac:dyDescent="0.25">
      <c r="B155" s="154" t="str">
        <f t="array" ref="B155">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134)),COLUMN(A134))," ")</f>
        <v>PVP - Max anti Rom interceptor</v>
      </c>
      <c r="F155" s="271" t="str">
        <f t="shared" si="16"/>
        <v>Yuki</v>
      </c>
      <c r="G155" s="271"/>
      <c r="H155" s="271" t="str">
        <f t="shared" si="17"/>
        <v>Yan'Agh</v>
      </c>
      <c r="I155" s="271"/>
      <c r="J155" s="271" t="str">
        <f t="shared" si="18"/>
        <v>Kang</v>
      </c>
      <c r="K155" s="270"/>
      <c r="L155" s="154" t="str">
        <f t="shared" si="19"/>
        <v>Stack Health and Attack. Yuki offer shield strip at 10% per round. Yuki and Yan'Agh give bonus damage vs roms and ideally should be maxed. Kang for penetration boost specific to fighting Interceptors</v>
      </c>
    </row>
    <row r="156" spans="2:12" x14ac:dyDescent="0.25">
      <c r="B156" s="154" t="str">
        <f t="array" ref="B156">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135)),COLUMN(A135))," ")</f>
        <v>Raiding - Max Cargo (Amalgam only)</v>
      </c>
      <c r="F156" s="271" t="str">
        <f t="shared" si="16"/>
        <v>B'Etor</v>
      </c>
      <c r="G156" s="271"/>
      <c r="H156" s="271" t="str">
        <f t="shared" si="17"/>
        <v>Stonn</v>
      </c>
      <c r="I156" s="271"/>
      <c r="J156" s="271" t="str">
        <f t="shared" si="18"/>
        <v>Four Of Eleven</v>
      </c>
      <c r="K156" s="270"/>
      <c r="L156" s="154" t="str">
        <f t="shared" si="19"/>
        <v>Higher the rank of Stonn and four of eleven the better. Loot bonus while raiding increases as you promote B'Etor so the same for her. This crew combination can be in any order on the bridge as for all 3 it is the officer ability that is being utilised.</v>
      </c>
    </row>
    <row r="157" spans="2:12" x14ac:dyDescent="0.25">
      <c r="B157" s="154" t="str">
        <f t="array" ref="B157">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136)),COLUMN(A136))," ")</f>
        <v>Sarcophagus - Anti-Battleship</v>
      </c>
      <c r="F157" s="271" t="str">
        <f t="shared" si="16"/>
        <v>Gorkon</v>
      </c>
      <c r="G157" s="271"/>
      <c r="H157" s="271" t="str">
        <f t="shared" si="17"/>
        <v>Kerla</v>
      </c>
      <c r="I157" s="271"/>
      <c r="J157" s="271" t="str">
        <f t="shared" si="18"/>
        <v>Charvanek</v>
      </c>
      <c r="K157" s="270"/>
      <c r="L157" s="154" t="str">
        <f t="shared" si="19"/>
        <v>Stack lower decks for Health</v>
      </c>
    </row>
    <row r="158" spans="2:12" x14ac:dyDescent="0.25">
      <c r="B158" s="154" t="str">
        <f t="array" ref="B158">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137)),COLUMN(A137))," ")</f>
        <v>Sarcophagus - Anti-Explorer</v>
      </c>
      <c r="F158" s="271" t="str">
        <f t="shared" si="16"/>
        <v>Gorkon</v>
      </c>
      <c r="G158" s="271"/>
      <c r="H158" s="271" t="str">
        <f t="shared" si="17"/>
        <v>Kerla</v>
      </c>
      <c r="I158" s="271"/>
      <c r="J158" s="271" t="str">
        <f t="shared" si="18"/>
        <v>Marcus</v>
      </c>
      <c r="K158" s="270"/>
      <c r="L158" s="154" t="str">
        <f t="shared" si="19"/>
        <v>Stack lower decks for Defence</v>
      </c>
    </row>
    <row r="159" spans="2:12" x14ac:dyDescent="0.25">
      <c r="B159" s="154" t="str">
        <f t="array" ref="B159">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138)),COLUMN(A138))," ")</f>
        <v>Sarcophagus - Anti-Interceptor</v>
      </c>
      <c r="F159" s="271" t="str">
        <f t="shared" si="16"/>
        <v>Gorkon</v>
      </c>
      <c r="G159" s="271"/>
      <c r="H159" s="271" t="str">
        <f t="shared" si="17"/>
        <v>Kerla</v>
      </c>
      <c r="I159" s="271"/>
      <c r="J159" s="271" t="str">
        <f t="shared" si="18"/>
        <v>Kang</v>
      </c>
      <c r="K159" s="270"/>
      <c r="L159" s="154" t="str">
        <f t="shared" si="19"/>
        <v>Stack lower decks for Attack</v>
      </c>
    </row>
    <row r="160" spans="2:12" x14ac:dyDescent="0.25">
      <c r="B160" s="154" t="str">
        <f t="array" ref="B160">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139)),COLUMN(A139))," ")</f>
        <v>Sarcophagus - Gorkon/Kerla/Harrison</v>
      </c>
      <c r="F160" s="271" t="str">
        <f t="shared" si="16"/>
        <v>Gorkon</v>
      </c>
      <c r="G160" s="271"/>
      <c r="H160" s="271" t="str">
        <f t="shared" si="17"/>
        <v>Kerla</v>
      </c>
      <c r="I160" s="271"/>
      <c r="J160" s="271" t="str">
        <f t="shared" si="18"/>
        <v>Harrison</v>
      </c>
      <c r="K160" s="270"/>
      <c r="L160" s="154" t="str">
        <f t="shared" si="19"/>
        <v>Get attack bonus as high as possible.</v>
      </c>
    </row>
    <row r="161" spans="2:12" x14ac:dyDescent="0.25">
      <c r="B161" s="154" t="str">
        <f t="array" ref="B161">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140)),COLUMN(A140))," ")</f>
        <v>Summoning</v>
      </c>
      <c r="F161" s="271" t="str">
        <f t="shared" si="16"/>
        <v>Paul Stamets</v>
      </c>
      <c r="G161" s="271"/>
      <c r="H161" s="271" t="str">
        <f t="shared" si="17"/>
        <v>Culber</v>
      </c>
      <c r="I161" s="271"/>
      <c r="J161" s="271" t="str">
        <f t="shared" si="18"/>
        <v>Saru</v>
      </c>
      <c r="K161" s="270"/>
      <c r="L161" s="154" t="str">
        <f t="shared" si="19"/>
        <v>Most efficiency jump and summoning crew for Discovery. Promoting Culber increases efficiency further. Saru can be swapped out for Georgio or Arium and maintain the same efficiency.</v>
      </c>
    </row>
    <row r="162" spans="2:12" x14ac:dyDescent="0.25">
      <c r="B162" s="154" t="str">
        <f t="array" ref="B162">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141)),COLUMN(A141))," ")</f>
        <v>Swarm - Alternative with Beverley</v>
      </c>
      <c r="F162" s="271" t="str">
        <f t="shared" si="16"/>
        <v>Beverly Crusher</v>
      </c>
      <c r="G162" s="271"/>
      <c r="H162" s="271" t="str">
        <f t="shared" si="17"/>
        <v>Kang</v>
      </c>
      <c r="I162" s="271"/>
      <c r="J162" s="271" t="str">
        <f t="shared" si="18"/>
        <v>Jaylah</v>
      </c>
      <c r="K162" s="270"/>
      <c r="L162" s="154" t="str">
        <f t="shared" si="19"/>
        <v>Stack for Attack and Defence to fuel Kang and Beverley. Swap Jaylah to captain if during the battle you do not lose shield to increase loot bonus. Beverleys captain manoeuvre restores shields and if in battle logs you do not lose Shield then you do not need as captain and can benefit from the extra loot from Jaylah as captain</v>
      </c>
    </row>
    <row r="163" spans="2:12" x14ac:dyDescent="0.25">
      <c r="B163" s="154" t="str">
        <f t="array" ref="B163">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142)),COLUMN(A142))," ")</f>
        <v>Swarm - Alternative with Five</v>
      </c>
      <c r="F163" s="271" t="str">
        <f t="shared" si="16"/>
        <v>Five Of Eleven</v>
      </c>
      <c r="G163" s="271"/>
      <c r="H163" s="271" t="str">
        <f t="shared" si="17"/>
        <v>Seven Of Eleven</v>
      </c>
      <c r="I163" s="271"/>
      <c r="J163" s="271" t="str">
        <f t="shared" si="18"/>
        <v>Kang</v>
      </c>
      <c r="K163" s="270"/>
      <c r="L163" s="154" t="str">
        <f t="shared" si="19"/>
        <v>Use when other hostile crew are busy</v>
      </c>
    </row>
    <row r="164" spans="2:12" x14ac:dyDescent="0.25">
      <c r="B164" s="154" t="str">
        <f t="array" ref="B164">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143)),COLUMN(A143))," ")</f>
        <v>Swarm - Cadet Crew</v>
      </c>
      <c r="F164" s="271" t="str">
        <f t="shared" si="16"/>
        <v>Cadet Uhura</v>
      </c>
      <c r="G164" s="271"/>
      <c r="H164" s="271" t="str">
        <f t="shared" si="17"/>
        <v>Cadet Kirk</v>
      </c>
      <c r="I164" s="271"/>
      <c r="J164" s="271" t="str">
        <f t="shared" si="18"/>
        <v>T'Laan</v>
      </c>
      <c r="K164" s="270"/>
      <c r="L164" s="154" t="str">
        <f t="shared" si="19"/>
        <v>Never use Chen for swarms. Can swap Cadet Kirk for Cadet Mccoy.</v>
      </c>
    </row>
    <row r="165" spans="2:12" x14ac:dyDescent="0.25">
      <c r="B165" s="154" t="str">
        <f t="array" ref="B165">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144)),COLUMN(A144))," ")</f>
        <v>Swarm - Picard no Jaylah</v>
      </c>
      <c r="F165" s="271" t="str">
        <f t="shared" si="16"/>
        <v>Jean-Luc Picard</v>
      </c>
      <c r="G165" s="271"/>
      <c r="H165" s="271" t="str">
        <f t="shared" si="17"/>
        <v>Beverly Crusher</v>
      </c>
      <c r="I165" s="271"/>
      <c r="J165" s="271" t="str">
        <f t="shared" si="18"/>
        <v>T'Laan</v>
      </c>
      <c r="K165" s="270"/>
      <c r="L165" s="154" t="str">
        <f t="shared" si="19"/>
        <v>Never use Chen for swarms.Better to use Pike version of this crew if you need to level the ship you are using at the same time. stack defence for Beverley</v>
      </c>
    </row>
    <row r="166" spans="2:12" x14ac:dyDescent="0.25">
      <c r="B166" s="154" t="str">
        <f t="array" ref="B166">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145)),COLUMN(A145))," ")</f>
        <v>Swarm - Picard with Jaylah</v>
      </c>
      <c r="F166" s="271" t="str">
        <f t="shared" si="16"/>
        <v>Jean-Luc Picard</v>
      </c>
      <c r="G166" s="271"/>
      <c r="H166" s="271" t="str">
        <f t="shared" si="17"/>
        <v>Beverly Crusher</v>
      </c>
      <c r="I166" s="271"/>
      <c r="J166" s="271" t="str">
        <f t="shared" si="18"/>
        <v>Jaylah</v>
      </c>
      <c r="K166" s="270"/>
      <c r="L166" s="154" t="str">
        <f t="shared" si="19"/>
        <v>Better to use Pike version of this crew if you need to level the ship you are using at the same time. stack defence for Beverley</v>
      </c>
    </row>
    <row r="167" spans="2:12" x14ac:dyDescent="0.25">
      <c r="B167" s="154" t="str">
        <f t="array" ref="B167">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146)),COLUMN(A146))," ")</f>
        <v>Swarm - Pike no Jaylah</v>
      </c>
      <c r="F167" s="271" t="str">
        <f t="shared" si="16"/>
        <v>Pike</v>
      </c>
      <c r="G167" s="271"/>
      <c r="H167" s="271" t="str">
        <f t="shared" si="17"/>
        <v>Moreau</v>
      </c>
      <c r="I167" s="271"/>
      <c r="J167" s="271" t="str">
        <f t="shared" si="18"/>
        <v>T'Laan</v>
      </c>
      <c r="K167" s="270"/>
      <c r="L167" s="154" t="str">
        <f t="shared" si="19"/>
        <v>Never use Chen for swarms</v>
      </c>
    </row>
    <row r="168" spans="2:12" x14ac:dyDescent="0.25">
      <c r="B168" s="154" t="str">
        <f t="array" ref="B168">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147)),COLUMN(A147))," ")</f>
        <v>Swarm - Pike with Jaylah</v>
      </c>
      <c r="F168" s="271" t="str">
        <f t="shared" si="16"/>
        <v>Pike</v>
      </c>
      <c r="G168" s="271"/>
      <c r="H168" s="271" t="str">
        <f t="shared" si="17"/>
        <v>Moreau</v>
      </c>
      <c r="I168" s="271"/>
      <c r="J168" s="271" t="str">
        <f t="shared" si="18"/>
        <v>Jaylah</v>
      </c>
      <c r="K168" s="270"/>
      <c r="L168" s="154" t="str">
        <f t="shared" si="19"/>
        <v/>
      </c>
    </row>
    <row r="169" spans="2:12" x14ac:dyDescent="0.25">
      <c r="B169" s="154" t="str">
        <f t="array" ref="B169">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148)),COLUMN(A148))," ")</f>
        <v>Swarm - TNG Crew</v>
      </c>
      <c r="F169" s="271" t="str">
        <f t="shared" si="16"/>
        <v>Next Gen La Forge</v>
      </c>
      <c r="G169" s="271"/>
      <c r="H169" s="271" t="str">
        <f t="shared" si="17"/>
        <v>Next Gen Data</v>
      </c>
      <c r="I169" s="271"/>
      <c r="J169" s="271" t="str">
        <f t="shared" si="18"/>
        <v>T'Laan</v>
      </c>
      <c r="K169" s="270"/>
      <c r="L169" s="154" t="str">
        <f t="shared" si="19"/>
        <v>Never use Chen for swarms. Direct alternative to Cadet crew and to be used until Pike is unlocked. Can swap Next Gen Data for Next Gen Crusher</v>
      </c>
    </row>
    <row r="170" spans="2:12" x14ac:dyDescent="0.25">
      <c r="B170" s="154" t="str">
        <f t="array" ref="B170">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149)),COLUMN(A149))," ")</f>
        <v>Swarms - Max Loot</v>
      </c>
      <c r="F170" s="271" t="str">
        <f t="shared" si="16"/>
        <v>Jaylah</v>
      </c>
      <c r="G170" s="271"/>
      <c r="H170" s="271" t="str">
        <f t="shared" si="17"/>
        <v>Kang</v>
      </c>
      <c r="I170" s="271"/>
      <c r="J170" s="271" t="str">
        <f t="shared" si="18"/>
        <v>Beverly Crusher</v>
      </c>
      <c r="K170" s="270"/>
      <c r="L170" s="154" t="str">
        <f t="shared" si="19"/>
        <v>Crew will net more frequency Modulators than any other standard swarm crew in each hull of your Franklin-A. If you lose shield when hitting hostiles, then swap Beverley to captain for her shield regeneration ability. This will reduce loot per hostile but may result in more Kills per hull.</v>
      </c>
    </row>
    <row r="171" spans="2:12" x14ac:dyDescent="0.25">
      <c r="B171" s="154" t="str">
        <f t="array" ref="B171">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150)),COLUMN(A150))," ")</f>
        <v>Territory Capture - Revival Crew</v>
      </c>
      <c r="F171" s="271" t="str">
        <f t="shared" si="16"/>
        <v>Vemet</v>
      </c>
      <c r="G171" s="271"/>
      <c r="H171" s="271" t="str">
        <f t="shared" si="17"/>
        <v/>
      </c>
      <c r="I171" s="271"/>
      <c r="J171" s="271" t="str">
        <f t="shared" si="18"/>
        <v/>
      </c>
      <c r="K171" s="270"/>
      <c r="L171" s="154" t="str">
        <f t="shared" si="19"/>
        <v>Use on cheap ship such as realta during takeovers to be resurrected once destroyed in attempt to gain additional points. Specific side officers are completely optional for this build.</v>
      </c>
    </row>
    <row r="172" spans="2:12" x14ac:dyDescent="0.25">
      <c r="B172" s="154" t="str">
        <f t="array" ref="B172">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151)),COLUMN(A151))," ")</f>
        <v>TOS mining node defense</v>
      </c>
      <c r="F172" s="271" t="str">
        <f t="shared" si="16"/>
        <v>TOS Kirk</v>
      </c>
      <c r="G172" s="271"/>
      <c r="H172" s="271" t="str">
        <f t="shared" si="17"/>
        <v>TOS Uhura</v>
      </c>
      <c r="I172" s="271"/>
      <c r="J172" s="271" t="str">
        <f t="shared" si="18"/>
        <v>TOS Chekov</v>
      </c>
      <c r="K172" s="270"/>
      <c r="L172" s="154" t="str">
        <f t="shared" si="19"/>
        <v>Good for defending against lower power warships. Vidars are the main OPC hunting crew so can swap Chekov for Kang if a higher Rank</v>
      </c>
    </row>
    <row r="173" spans="2:12" x14ac:dyDescent="0.25">
      <c r="B173" s="154" t="str">
        <f t="array" ref="B173">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152)),COLUMN(A152))," ")</f>
        <v>TOS PVP - Generic</v>
      </c>
      <c r="F173" s="271" t="str">
        <f t="shared" si="16"/>
        <v>TOS Kirk</v>
      </c>
      <c r="G173" s="271"/>
      <c r="H173" s="271" t="str">
        <f t="shared" si="17"/>
        <v>TOS Uhura</v>
      </c>
      <c r="I173" s="271"/>
      <c r="J173" s="271" t="str">
        <f t="shared" si="18"/>
        <v>TOS McCoy</v>
      </c>
      <c r="K173" s="270"/>
      <c r="L173" s="154" t="str">
        <f t="shared" si="19"/>
        <v>Explorers only. swap for HGW/Khan if Mccoy only t1/t2</v>
      </c>
    </row>
    <row r="174" spans="2:12" x14ac:dyDescent="0.25">
      <c r="B174" s="154" t="str">
        <f t="array" ref="B174">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153)),COLUMN(A153))," ")</f>
        <v>TOS PVP - Vs Battleship</v>
      </c>
      <c r="F174" s="271" t="str">
        <f t="shared" si="16"/>
        <v>TOS Kirk</v>
      </c>
      <c r="G174" s="271"/>
      <c r="H174" s="271" t="str">
        <f t="shared" si="17"/>
        <v>TOS Uhura</v>
      </c>
      <c r="I174" s="271"/>
      <c r="J174" s="271" t="str">
        <f t="shared" si="18"/>
        <v>Charvanek</v>
      </c>
      <c r="K174" s="270"/>
      <c r="L174" s="154" t="str">
        <f t="shared" si="19"/>
        <v>Stack lower decks for Defence and Health</v>
      </c>
    </row>
    <row r="175" spans="2:12" x14ac:dyDescent="0.25">
      <c r="B175" s="154" t="str">
        <f t="array" ref="B175">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154)),COLUMN(A154))," ")</f>
        <v>TOS PVP - Vs Explorers</v>
      </c>
      <c r="F175" s="271" t="str">
        <f t="shared" si="16"/>
        <v>TOS Kirk</v>
      </c>
      <c r="G175" s="271"/>
      <c r="H175" s="271" t="str">
        <f t="shared" si="17"/>
        <v>TOS Uhura</v>
      </c>
      <c r="I175" s="271"/>
      <c r="J175" s="271" t="str">
        <f t="shared" si="18"/>
        <v>Marcus</v>
      </c>
      <c r="K175" s="270"/>
      <c r="L175" s="154" t="str">
        <f t="shared" si="19"/>
        <v>Stack lower decks for Defence</v>
      </c>
    </row>
    <row r="176" spans="2:12" x14ac:dyDescent="0.25">
      <c r="B176" s="154" t="str">
        <f t="array" ref="B176">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155)),COLUMN(A155))," ")</f>
        <v>TOS PVP - Vs Interceptor</v>
      </c>
      <c r="F176" s="271" t="str">
        <f t="shared" si="16"/>
        <v>TOS Kirk</v>
      </c>
      <c r="G176" s="271"/>
      <c r="H176" s="271" t="str">
        <f t="shared" si="17"/>
        <v>TOS Uhura</v>
      </c>
      <c r="I176" s="271"/>
      <c r="J176" s="271" t="str">
        <f t="shared" si="18"/>
        <v>Kang</v>
      </c>
      <c r="K176" s="270"/>
      <c r="L176" s="154" t="str">
        <f t="shared" si="19"/>
        <v>Stack lower decks for Defence and Attack</v>
      </c>
    </row>
    <row r="177" spans="2:12" x14ac:dyDescent="0.25">
      <c r="B177" s="154" t="str">
        <f t="array" ref="B177">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156)),COLUMN(A156))," ")</f>
        <v>XP grinding - Alternative</v>
      </c>
      <c r="F177" s="271" t="str">
        <f t="shared" si="16"/>
        <v>T'Laan</v>
      </c>
      <c r="G177" s="271"/>
      <c r="H177" s="271" t="str">
        <f t="shared" si="17"/>
        <v>Pike</v>
      </c>
      <c r="I177" s="271"/>
      <c r="J177" s="271" t="str">
        <f t="shared" si="18"/>
        <v>Goon</v>
      </c>
      <c r="K177" s="270"/>
      <c r="L177" s="154" t="str">
        <f t="shared" si="19"/>
        <v>Crew where you have not attained the Shakedown Cruise officers (Currently only available through purchase packs) If you do not yet have pike would suggest using chen to help survivability</v>
      </c>
    </row>
    <row r="178" spans="2:12" x14ac:dyDescent="0.25">
      <c r="B178" s="154" t="str">
        <f t="array" ref="B178">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157)),COLUMN(A157))," ")</f>
        <v>XP grinding - No Pike - Battleship</v>
      </c>
      <c r="F178" s="271" t="str">
        <f t="shared" si="16"/>
        <v>T'Laan</v>
      </c>
      <c r="G178" s="271"/>
      <c r="H178" s="271" t="str">
        <f t="shared" si="17"/>
        <v>Goon</v>
      </c>
      <c r="I178" s="271"/>
      <c r="J178" s="271" t="str">
        <f t="shared" si="18"/>
        <v>Leslie</v>
      </c>
      <c r="K178" s="270"/>
      <c r="L178" s="154" t="str">
        <f t="shared" si="19"/>
        <v>Allows you to grind ship xp while keeping Pike free for other tasks</v>
      </c>
    </row>
    <row r="179" spans="2:12" x14ac:dyDescent="0.25">
      <c r="B179" s="154" t="str">
        <f t="array" ref="B179">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158)),COLUMN(A158))," ")</f>
        <v>XP grinding - No Pike - Explorer</v>
      </c>
      <c r="F179" s="271" t="str">
        <f t="shared" si="16"/>
        <v>T'Laan</v>
      </c>
      <c r="G179" s="271"/>
      <c r="H179" s="271" t="str">
        <f t="shared" si="17"/>
        <v>Goon</v>
      </c>
      <c r="I179" s="271"/>
      <c r="J179" s="271" t="str">
        <f t="shared" si="18"/>
        <v>Hendorff</v>
      </c>
      <c r="K179" s="270"/>
      <c r="L179" s="154" t="str">
        <f t="shared" si="19"/>
        <v>Allows you to grind ship xp while keeping Pike free for other tasks</v>
      </c>
    </row>
    <row r="180" spans="2:12" x14ac:dyDescent="0.25">
      <c r="B180" s="154" t="str">
        <f t="array" ref="B180">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159)),COLUMN(A159))," ")</f>
        <v>XP grinding - No Pike - Interceptor</v>
      </c>
      <c r="F180" s="271" t="str">
        <f t="shared" si="16"/>
        <v>T'Laan</v>
      </c>
      <c r="G180" s="271"/>
      <c r="H180" s="271" t="str">
        <f t="shared" si="17"/>
        <v>Goon</v>
      </c>
      <c r="I180" s="271"/>
      <c r="J180" s="271" t="str">
        <f t="shared" si="18"/>
        <v>Darwin</v>
      </c>
      <c r="K180" s="270"/>
      <c r="L180" s="154" t="str">
        <f t="shared" si="19"/>
        <v>Allows you to grind ship xp while keeping Pike free for other tasks</v>
      </c>
    </row>
    <row r="181" spans="2:12" x14ac:dyDescent="0.25">
      <c r="B181" s="154" t="str">
        <f t="array" ref="B181">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160)),COLUMN(A160))," ")</f>
        <v>XP grinding - No Pike - Survey</v>
      </c>
      <c r="F181" s="271" t="str">
        <f t="shared" si="16"/>
        <v>T'Laan</v>
      </c>
      <c r="G181" s="271"/>
      <c r="H181" s="271" t="str">
        <f t="shared" si="17"/>
        <v>Goon</v>
      </c>
      <c r="I181" s="271"/>
      <c r="J181" s="271" t="str">
        <f t="shared" si="18"/>
        <v>Hadley</v>
      </c>
      <c r="K181" s="270"/>
      <c r="L181" s="154" t="str">
        <f t="shared" si="19"/>
        <v>Allows you to grind ship xp while keeping Pike free for other tasks</v>
      </c>
    </row>
    <row r="182" spans="2:12" x14ac:dyDescent="0.25">
      <c r="B182" s="154">
        <f t="array" ref="B182">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161)),COLUMN(A161))," ")</f>
        <v>0</v>
      </c>
      <c r="F182" s="271" t="str">
        <f t="shared" ref="F182:F200" si="20">IFERROR(IF(VLOOKUP(B182,PSFull,2,FALSE)=0,"",IFERROR(VLOOKUP(B182,PSFull,2,FALSE),"")),"")</f>
        <v/>
      </c>
      <c r="G182" s="271"/>
      <c r="H182" s="271" t="str">
        <f t="shared" ref="H182:H200" si="21">IFERROR(IF(VLOOKUP(B182,PSFull,4,FALSE)=0,"",IFERROR(VLOOKUP(B182,PSFull,4,FALSE),"")),"")</f>
        <v/>
      </c>
      <c r="I182" s="271"/>
      <c r="J182" s="271" t="str">
        <f t="shared" ref="J182:J200" si="22">IFERROR(IF(VLOOKUP(B182,PSFull,6,FALSE)=0,"",IFERROR(VLOOKUP(B182,PSFull,6,FALSE),"")),"")</f>
        <v/>
      </c>
      <c r="K182" s="270"/>
      <c r="L182" s="154" t="str">
        <f t="shared" ref="L182:L200" si="23">IFERROR(IF(VLOOKUP(B182,PSFull,8,FALSE)=0,"",IFERROR(VLOOKUP(B182,PSFull,8,FALSE),"")),"")</f>
        <v/>
      </c>
    </row>
    <row r="183" spans="2:12" x14ac:dyDescent="0.25">
      <c r="B183" s="154">
        <f t="array" ref="B183">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162)),COLUMN(A162))," ")</f>
        <v>0</v>
      </c>
      <c r="F183" s="271" t="str">
        <f t="shared" si="20"/>
        <v/>
      </c>
      <c r="G183" s="271"/>
      <c r="H183" s="271" t="str">
        <f t="shared" si="21"/>
        <v/>
      </c>
      <c r="I183" s="271"/>
      <c r="J183" s="271" t="str">
        <f t="shared" si="22"/>
        <v/>
      </c>
      <c r="K183" s="270"/>
      <c r="L183" s="154" t="str">
        <f t="shared" si="23"/>
        <v/>
      </c>
    </row>
    <row r="184" spans="2:12" x14ac:dyDescent="0.25">
      <c r="B184" s="154">
        <f t="array" ref="B184">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163)),COLUMN(A163))," ")</f>
        <v>0</v>
      </c>
      <c r="F184" s="271" t="str">
        <f t="shared" si="20"/>
        <v/>
      </c>
      <c r="G184" s="271"/>
      <c r="H184" s="271" t="str">
        <f t="shared" si="21"/>
        <v/>
      </c>
      <c r="I184" s="271"/>
      <c r="J184" s="271" t="str">
        <f t="shared" si="22"/>
        <v/>
      </c>
      <c r="K184" s="270"/>
      <c r="L184" s="154" t="str">
        <f t="shared" si="23"/>
        <v/>
      </c>
    </row>
    <row r="185" spans="2:12" x14ac:dyDescent="0.25">
      <c r="B185" s="154">
        <f t="array" ref="B185">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164)),COLUMN(A164))," ")</f>
        <v>0</v>
      </c>
      <c r="F185" s="271" t="str">
        <f t="shared" si="20"/>
        <v/>
      </c>
      <c r="G185" s="271"/>
      <c r="H185" s="271" t="str">
        <f t="shared" si="21"/>
        <v/>
      </c>
      <c r="I185" s="271"/>
      <c r="J185" s="271" t="str">
        <f t="shared" si="22"/>
        <v/>
      </c>
      <c r="K185" s="270"/>
      <c r="L185" s="154" t="str">
        <f t="shared" si="23"/>
        <v/>
      </c>
    </row>
    <row r="186" spans="2:12" x14ac:dyDescent="0.25">
      <c r="B186" s="154">
        <f t="array" ref="B186">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165)),COLUMN(A165))," ")</f>
        <v>0</v>
      </c>
      <c r="F186" s="271" t="str">
        <f t="shared" si="20"/>
        <v/>
      </c>
      <c r="G186" s="271"/>
      <c r="H186" s="271" t="str">
        <f t="shared" si="21"/>
        <v/>
      </c>
      <c r="I186" s="271"/>
      <c r="J186" s="271" t="str">
        <f t="shared" si="22"/>
        <v/>
      </c>
      <c r="K186" s="270"/>
      <c r="L186" s="154" t="str">
        <f t="shared" si="23"/>
        <v/>
      </c>
    </row>
    <row r="187" spans="2:12" x14ac:dyDescent="0.25">
      <c r="B187" s="154">
        <f t="array" ref="B187">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166)),COLUMN(A166))," ")</f>
        <v>0</v>
      </c>
      <c r="F187" s="271" t="str">
        <f t="shared" si="20"/>
        <v/>
      </c>
      <c r="G187" s="271"/>
      <c r="H187" s="271" t="str">
        <f t="shared" si="21"/>
        <v/>
      </c>
      <c r="I187" s="271"/>
      <c r="J187" s="271" t="str">
        <f t="shared" si="22"/>
        <v/>
      </c>
      <c r="K187" s="270"/>
      <c r="L187" s="154" t="str">
        <f t="shared" si="23"/>
        <v/>
      </c>
    </row>
    <row r="188" spans="2:12" x14ac:dyDescent="0.25">
      <c r="B188" s="154">
        <f t="array" ref="B188">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167)),COLUMN(A167))," ")</f>
        <v>0</v>
      </c>
      <c r="F188" s="271" t="str">
        <f t="shared" si="20"/>
        <v/>
      </c>
      <c r="G188" s="271"/>
      <c r="H188" s="271" t="str">
        <f t="shared" si="21"/>
        <v/>
      </c>
      <c r="I188" s="271"/>
      <c r="J188" s="271" t="str">
        <f t="shared" si="22"/>
        <v/>
      </c>
      <c r="K188" s="270"/>
      <c r="L188" s="154" t="str">
        <f t="shared" si="23"/>
        <v/>
      </c>
    </row>
    <row r="189" spans="2:12" x14ac:dyDescent="0.25">
      <c r="B189" s="154">
        <f t="array" ref="B189">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168)),COLUMN(A168))," ")</f>
        <v>0</v>
      </c>
      <c r="F189" s="271" t="str">
        <f t="shared" si="20"/>
        <v/>
      </c>
      <c r="G189" s="271"/>
      <c r="H189" s="271" t="str">
        <f t="shared" si="21"/>
        <v/>
      </c>
      <c r="I189" s="271"/>
      <c r="J189" s="271" t="str">
        <f t="shared" si="22"/>
        <v/>
      </c>
      <c r="K189" s="270"/>
      <c r="L189" s="154" t="str">
        <f t="shared" si="23"/>
        <v/>
      </c>
    </row>
    <row r="190" spans="2:12" x14ac:dyDescent="0.25">
      <c r="B190" s="154">
        <f t="array" ref="B190">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169)),COLUMN(A169))," ")</f>
        <v>0</v>
      </c>
      <c r="F190" s="271" t="str">
        <f t="shared" si="20"/>
        <v/>
      </c>
      <c r="G190" s="271"/>
      <c r="H190" s="271" t="str">
        <f t="shared" si="21"/>
        <v/>
      </c>
      <c r="I190" s="271"/>
      <c r="J190" s="271" t="str">
        <f t="shared" si="22"/>
        <v/>
      </c>
      <c r="K190" s="270"/>
      <c r="L190" s="154" t="str">
        <f t="shared" si="23"/>
        <v/>
      </c>
    </row>
    <row r="191" spans="2:12" x14ac:dyDescent="0.25">
      <c r="B191" s="154">
        <f t="array" ref="B191">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170)),COLUMN(A170))," ")</f>
        <v>0</v>
      </c>
      <c r="F191" s="271" t="str">
        <f t="shared" si="20"/>
        <v/>
      </c>
      <c r="G191" s="271"/>
      <c r="H191" s="271" t="str">
        <f t="shared" si="21"/>
        <v/>
      </c>
      <c r="I191" s="271"/>
      <c r="J191" s="271" t="str">
        <f t="shared" si="22"/>
        <v/>
      </c>
      <c r="K191" s="270"/>
      <c r="L191" s="154" t="str">
        <f t="shared" si="23"/>
        <v/>
      </c>
    </row>
    <row r="192" spans="2:12" x14ac:dyDescent="0.25">
      <c r="B192" s="154">
        <f t="array" ref="B192">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171)),COLUMN(A171))," ")</f>
        <v>0</v>
      </c>
      <c r="F192" s="271" t="str">
        <f t="shared" si="20"/>
        <v/>
      </c>
      <c r="G192" s="271"/>
      <c r="H192" s="271" t="str">
        <f t="shared" si="21"/>
        <v/>
      </c>
      <c r="I192" s="271"/>
      <c r="J192" s="271" t="str">
        <f t="shared" si="22"/>
        <v/>
      </c>
      <c r="K192" s="270"/>
      <c r="L192" s="154" t="str">
        <f t="shared" si="23"/>
        <v/>
      </c>
    </row>
    <row r="193" spans="2:12" x14ac:dyDescent="0.25">
      <c r="B193" s="154">
        <f t="array" ref="B193">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172)),COLUMN(A172))," ")</f>
        <v>0</v>
      </c>
      <c r="F193" s="271" t="str">
        <f t="shared" si="20"/>
        <v/>
      </c>
      <c r="G193" s="271"/>
      <c r="H193" s="271" t="str">
        <f t="shared" si="21"/>
        <v/>
      </c>
      <c r="I193" s="271"/>
      <c r="J193" s="271" t="str">
        <f t="shared" si="22"/>
        <v/>
      </c>
      <c r="K193" s="270"/>
      <c r="L193" s="154" t="str">
        <f t="shared" si="23"/>
        <v/>
      </c>
    </row>
    <row r="194" spans="2:12" x14ac:dyDescent="0.25">
      <c r="B194" s="154">
        <f t="array" ref="B194">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173)),COLUMN(A173))," ")</f>
        <v>0</v>
      </c>
      <c r="F194" s="271" t="str">
        <f t="shared" si="20"/>
        <v/>
      </c>
      <c r="G194" s="271"/>
      <c r="H194" s="271" t="str">
        <f t="shared" si="21"/>
        <v/>
      </c>
      <c r="I194" s="271"/>
      <c r="J194" s="271" t="str">
        <f t="shared" si="22"/>
        <v/>
      </c>
      <c r="K194" s="270"/>
      <c r="L194" s="154" t="str">
        <f t="shared" si="23"/>
        <v/>
      </c>
    </row>
    <row r="195" spans="2:12" x14ac:dyDescent="0.25">
      <c r="B195" s="154">
        <f t="array" ref="B195">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174)),COLUMN(A174))," ")</f>
        <v>0</v>
      </c>
      <c r="F195" s="271" t="str">
        <f t="shared" si="20"/>
        <v/>
      </c>
      <c r="G195" s="271"/>
      <c r="H195" s="271" t="str">
        <f t="shared" si="21"/>
        <v/>
      </c>
      <c r="I195" s="271"/>
      <c r="J195" s="271" t="str">
        <f t="shared" si="22"/>
        <v/>
      </c>
      <c r="K195" s="270"/>
      <c r="L195" s="154" t="str">
        <f t="shared" si="23"/>
        <v/>
      </c>
    </row>
    <row r="196" spans="2:12" x14ac:dyDescent="0.25">
      <c r="B196" s="154">
        <f t="array" ref="B196">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175)),COLUMN(A175))," ")</f>
        <v>0</v>
      </c>
      <c r="F196" s="271" t="str">
        <f t="shared" si="20"/>
        <v/>
      </c>
      <c r="G196" s="271"/>
      <c r="H196" s="271" t="str">
        <f t="shared" si="21"/>
        <v/>
      </c>
      <c r="I196" s="271"/>
      <c r="J196" s="271" t="str">
        <f t="shared" si="22"/>
        <v/>
      </c>
      <c r="K196" s="270"/>
      <c r="L196" s="154" t="str">
        <f t="shared" si="23"/>
        <v/>
      </c>
    </row>
    <row r="197" spans="2:12" x14ac:dyDescent="0.25">
      <c r="B197" s="154">
        <f t="array" ref="B197">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176)),COLUMN(A176))," ")</f>
        <v>0</v>
      </c>
      <c r="F197" s="271" t="str">
        <f t="shared" si="20"/>
        <v/>
      </c>
      <c r="G197" s="271"/>
      <c r="H197" s="271" t="str">
        <f t="shared" si="21"/>
        <v/>
      </c>
      <c r="I197" s="271"/>
      <c r="J197" s="271" t="str">
        <f t="shared" si="22"/>
        <v/>
      </c>
      <c r="K197" s="270"/>
      <c r="L197" s="154" t="str">
        <f t="shared" si="23"/>
        <v/>
      </c>
    </row>
    <row r="198" spans="2:12" x14ac:dyDescent="0.25">
      <c r="B198" s="154">
        <f t="array" ref="B198">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177)),COLUMN(A177))," ")</f>
        <v>0</v>
      </c>
      <c r="F198" s="271" t="str">
        <f t="shared" si="20"/>
        <v/>
      </c>
      <c r="G198" s="271"/>
      <c r="H198" s="271" t="str">
        <f t="shared" si="21"/>
        <v/>
      </c>
      <c r="I198" s="271"/>
      <c r="J198" s="271" t="str">
        <f t="shared" si="22"/>
        <v/>
      </c>
      <c r="K198" s="270"/>
      <c r="L198" s="154" t="str">
        <f t="shared" si="23"/>
        <v/>
      </c>
    </row>
    <row r="199" spans="2:12" x14ac:dyDescent="0.25">
      <c r="B199" s="154">
        <f t="array" ref="B199">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178)),COLUMN(A178))," ")</f>
        <v>0</v>
      </c>
      <c r="F199" s="271" t="str">
        <f t="shared" si="20"/>
        <v/>
      </c>
      <c r="G199" s="271"/>
      <c r="H199" s="271" t="str">
        <f t="shared" si="21"/>
        <v/>
      </c>
      <c r="I199" s="271"/>
      <c r="J199" s="271" t="str">
        <f t="shared" si="22"/>
        <v/>
      </c>
      <c r="K199" s="270"/>
      <c r="L199" s="154" t="str">
        <f t="shared" si="23"/>
        <v/>
      </c>
    </row>
    <row r="200" spans="2:12" x14ac:dyDescent="0.25">
      <c r="B200" s="154">
        <f t="array" ref="B200">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179)),COLUMN(A179))," ")</f>
        <v>0</v>
      </c>
      <c r="F200" s="271" t="str">
        <f t="shared" si="20"/>
        <v/>
      </c>
      <c r="G200" s="271"/>
      <c r="H200" s="271" t="str">
        <f t="shared" si="21"/>
        <v/>
      </c>
      <c r="I200" s="271"/>
      <c r="J200" s="271" t="str">
        <f t="shared" si="22"/>
        <v/>
      </c>
      <c r="K200" s="270"/>
      <c r="L200" s="154" t="str">
        <f t="shared" si="23"/>
        <v/>
      </c>
    </row>
  </sheetData>
  <mergeCells count="9">
    <mergeCell ref="L4:M4"/>
    <mergeCell ref="E5:H5"/>
    <mergeCell ref="F7:S9"/>
    <mergeCell ref="J5:K5"/>
    <mergeCell ref="L5:M5"/>
    <mergeCell ref="N5:O5"/>
    <mergeCell ref="J6:K6"/>
    <mergeCell ref="L6:M6"/>
    <mergeCell ref="N6:O6"/>
  </mergeCells>
  <conditionalFormatting sqref="F22:J200">
    <cfRule type="expression" dxfId="69" priority="11">
      <formula>VLOOKUP(F22,RankLookup,3,FALSE) =0</formula>
    </cfRule>
  </conditionalFormatting>
  <conditionalFormatting sqref="B22:B200">
    <cfRule type="cellIs" dxfId="68" priority="10" operator="equal">
      <formula>0</formula>
    </cfRule>
  </conditionalFormatting>
  <conditionalFormatting sqref="F22:F200">
    <cfRule type="expression" dxfId="67" priority="9">
      <formula>VLOOKUP(F22,RankLookup,3,FALSE) &gt;= VLOOKUP(B22,PSFull,3,FALSE)</formula>
    </cfRule>
  </conditionalFormatting>
  <conditionalFormatting sqref="J22:J200">
    <cfRule type="expression" dxfId="66" priority="7">
      <formula>VLOOKUP(J22,RankLookup,3,FALSE) &gt;= VLOOKUP(B22,PSFull,7,FALSE)</formula>
    </cfRule>
  </conditionalFormatting>
  <conditionalFormatting sqref="H22:H200">
    <cfRule type="expression" dxfId="65" priority="8">
      <formula>VLOOKUP(H22,RankLookup,3,FALSE) &gt;= VLOOKUP(B22,PSFull,5,FALSE)</formula>
    </cfRule>
  </conditionalFormatting>
  <conditionalFormatting sqref="J6:K6">
    <cfRule type="expression" dxfId="64" priority="5">
      <formula>VLOOKUP(J5,RankLookup,3,FALSE) = 0</formula>
    </cfRule>
    <cfRule type="expression" dxfId="63" priority="6">
      <formula>VLOOKUP(J5,RankLookup,3,FALSE) &gt;= VLOOKUP(E5,PSFull,5,FALSE)</formula>
    </cfRule>
  </conditionalFormatting>
  <conditionalFormatting sqref="L6:M6">
    <cfRule type="expression" dxfId="62" priority="3">
      <formula>VLOOKUP(L5,RankLookup,3,FALSE) =0</formula>
    </cfRule>
    <cfRule type="expression" dxfId="61" priority="4">
      <formula>VLOOKUP(L5,RankLookup,3,FALSE) &gt;= VLOOKUP(E5,PSFull,3,FALSE)</formula>
    </cfRule>
  </conditionalFormatting>
  <conditionalFormatting sqref="N6:O6">
    <cfRule type="expression" dxfId="60" priority="1">
      <formula>VLOOKUP(N5,RankLookup,3,FALSE) = 0</formula>
    </cfRule>
    <cfRule type="expression" dxfId="59" priority="2">
      <formula>VLOOKUP(N5,RankLookup,3,FALSE) &gt;= VLOOKUP(E5,PSFull,7,FALSE)</formula>
    </cfRule>
  </conditionalFormatting>
  <dataValidations count="1">
    <dataValidation type="list" allowBlank="1" showInputMessage="1" showErrorMessage="1" sqref="E5:H5">
      <formula1>PSCrews</formula1>
    </dataValidation>
  </dataValidation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6148" r:id="rId4" name="Check Box 4">
              <controlPr defaultSize="0" autoFill="0" autoLine="0" autoPict="0">
                <anchor moveWithCells="1">
                  <from>
                    <xdr:col>4</xdr:col>
                    <xdr:colOff>171450</xdr:colOff>
                    <xdr:row>9</xdr:row>
                    <xdr:rowOff>152400</xdr:rowOff>
                  </from>
                  <to>
                    <xdr:col>4</xdr:col>
                    <xdr:colOff>400050</xdr:colOff>
                    <xdr:row>11</xdr:row>
                    <xdr:rowOff>28575</xdr:rowOff>
                  </to>
                </anchor>
              </controlPr>
            </control>
          </mc:Choice>
        </mc:AlternateContent>
        <mc:AlternateContent xmlns:mc="http://schemas.openxmlformats.org/markup-compatibility/2006">
          <mc:Choice Requires="x14">
            <control shapeId="6149" r:id="rId5" name="Check Box 5">
              <controlPr defaultSize="0" autoFill="0" autoLine="0" autoPict="0">
                <anchor moveWithCells="1">
                  <from>
                    <xdr:col>4</xdr:col>
                    <xdr:colOff>171450</xdr:colOff>
                    <xdr:row>10</xdr:row>
                    <xdr:rowOff>152400</xdr:rowOff>
                  </from>
                  <to>
                    <xdr:col>4</xdr:col>
                    <xdr:colOff>400050</xdr:colOff>
                    <xdr:row>12</xdr:row>
                    <xdr:rowOff>28575</xdr:rowOff>
                  </to>
                </anchor>
              </controlPr>
            </control>
          </mc:Choice>
        </mc:AlternateContent>
        <mc:AlternateContent xmlns:mc="http://schemas.openxmlformats.org/markup-compatibility/2006">
          <mc:Choice Requires="x14">
            <control shapeId="6150" r:id="rId6" name="Check Box 6">
              <controlPr defaultSize="0" autoFill="0" autoLine="0" autoPict="0">
                <anchor moveWithCells="1">
                  <from>
                    <xdr:col>8</xdr:col>
                    <xdr:colOff>171450</xdr:colOff>
                    <xdr:row>9</xdr:row>
                    <xdr:rowOff>152400</xdr:rowOff>
                  </from>
                  <to>
                    <xdr:col>8</xdr:col>
                    <xdr:colOff>400050</xdr:colOff>
                    <xdr:row>11</xdr:row>
                    <xdr:rowOff>28575</xdr:rowOff>
                  </to>
                </anchor>
              </controlPr>
            </control>
          </mc:Choice>
        </mc:AlternateContent>
        <mc:AlternateContent xmlns:mc="http://schemas.openxmlformats.org/markup-compatibility/2006">
          <mc:Choice Requires="x14">
            <control shapeId="6151" r:id="rId7" name="Check Box 7">
              <controlPr defaultSize="0" autoFill="0" autoLine="0" autoPict="0">
                <anchor moveWithCells="1">
                  <from>
                    <xdr:col>8</xdr:col>
                    <xdr:colOff>171450</xdr:colOff>
                    <xdr:row>10</xdr:row>
                    <xdr:rowOff>152400</xdr:rowOff>
                  </from>
                  <to>
                    <xdr:col>8</xdr:col>
                    <xdr:colOff>400050</xdr:colOff>
                    <xdr:row>12</xdr:row>
                    <xdr:rowOff>28575</xdr:rowOff>
                  </to>
                </anchor>
              </controlPr>
            </control>
          </mc:Choice>
        </mc:AlternateContent>
        <mc:AlternateContent xmlns:mc="http://schemas.openxmlformats.org/markup-compatibility/2006">
          <mc:Choice Requires="x14">
            <control shapeId="6152" r:id="rId8" name="Check Box 8">
              <controlPr defaultSize="0" autoFill="0" autoLine="0" autoPict="0">
                <anchor moveWithCells="1">
                  <from>
                    <xdr:col>8</xdr:col>
                    <xdr:colOff>171450</xdr:colOff>
                    <xdr:row>11</xdr:row>
                    <xdr:rowOff>152400</xdr:rowOff>
                  </from>
                  <to>
                    <xdr:col>8</xdr:col>
                    <xdr:colOff>400050</xdr:colOff>
                    <xdr:row>13</xdr:row>
                    <xdr:rowOff>28575</xdr:rowOff>
                  </to>
                </anchor>
              </controlPr>
            </control>
          </mc:Choice>
        </mc:AlternateContent>
        <mc:AlternateContent xmlns:mc="http://schemas.openxmlformats.org/markup-compatibility/2006">
          <mc:Choice Requires="x14">
            <control shapeId="6153" r:id="rId9" name="Check Box 9">
              <controlPr defaultSize="0" autoFill="0" autoLine="0" autoPict="0">
                <anchor moveWithCells="1">
                  <from>
                    <xdr:col>12</xdr:col>
                    <xdr:colOff>171450</xdr:colOff>
                    <xdr:row>9</xdr:row>
                    <xdr:rowOff>152400</xdr:rowOff>
                  </from>
                  <to>
                    <xdr:col>12</xdr:col>
                    <xdr:colOff>400050</xdr:colOff>
                    <xdr:row>11</xdr:row>
                    <xdr:rowOff>28575</xdr:rowOff>
                  </to>
                </anchor>
              </controlPr>
            </control>
          </mc:Choice>
        </mc:AlternateContent>
        <mc:AlternateContent xmlns:mc="http://schemas.openxmlformats.org/markup-compatibility/2006">
          <mc:Choice Requires="x14">
            <control shapeId="6154" r:id="rId10" name="Check Box 10">
              <controlPr defaultSize="0" autoFill="0" autoLine="0" autoPict="0">
                <anchor moveWithCells="1">
                  <from>
                    <xdr:col>12</xdr:col>
                    <xdr:colOff>171450</xdr:colOff>
                    <xdr:row>10</xdr:row>
                    <xdr:rowOff>152400</xdr:rowOff>
                  </from>
                  <to>
                    <xdr:col>12</xdr:col>
                    <xdr:colOff>400050</xdr:colOff>
                    <xdr:row>12</xdr:row>
                    <xdr:rowOff>28575</xdr:rowOff>
                  </to>
                </anchor>
              </controlPr>
            </control>
          </mc:Choice>
        </mc:AlternateContent>
        <mc:AlternateContent xmlns:mc="http://schemas.openxmlformats.org/markup-compatibility/2006">
          <mc:Choice Requires="x14">
            <control shapeId="6155" r:id="rId11" name="Check Box 11">
              <controlPr defaultSize="0" autoFill="0" autoLine="0" autoPict="0">
                <anchor moveWithCells="1">
                  <from>
                    <xdr:col>12</xdr:col>
                    <xdr:colOff>171450</xdr:colOff>
                    <xdr:row>9</xdr:row>
                    <xdr:rowOff>152400</xdr:rowOff>
                  </from>
                  <to>
                    <xdr:col>12</xdr:col>
                    <xdr:colOff>400050</xdr:colOff>
                    <xdr:row>11</xdr:row>
                    <xdr:rowOff>28575</xdr:rowOff>
                  </to>
                </anchor>
              </controlPr>
            </control>
          </mc:Choice>
        </mc:AlternateContent>
        <mc:AlternateContent xmlns:mc="http://schemas.openxmlformats.org/markup-compatibility/2006">
          <mc:Choice Requires="x14">
            <control shapeId="6156" r:id="rId12" name="Check Box 12">
              <controlPr defaultSize="0" autoFill="0" autoLine="0" autoPict="0">
                <anchor moveWithCells="1">
                  <from>
                    <xdr:col>12</xdr:col>
                    <xdr:colOff>171450</xdr:colOff>
                    <xdr:row>10</xdr:row>
                    <xdr:rowOff>152400</xdr:rowOff>
                  </from>
                  <to>
                    <xdr:col>12</xdr:col>
                    <xdr:colOff>400050</xdr:colOff>
                    <xdr:row>12</xdr:row>
                    <xdr:rowOff>28575</xdr:rowOff>
                  </to>
                </anchor>
              </controlPr>
            </control>
          </mc:Choice>
        </mc:AlternateContent>
        <mc:AlternateContent xmlns:mc="http://schemas.openxmlformats.org/markup-compatibility/2006">
          <mc:Choice Requires="x14">
            <control shapeId="6157" r:id="rId13" name="Check Box 13">
              <controlPr defaultSize="0" autoFill="0" autoLine="0" autoPict="0">
                <anchor moveWithCells="1">
                  <from>
                    <xdr:col>12</xdr:col>
                    <xdr:colOff>171450</xdr:colOff>
                    <xdr:row>11</xdr:row>
                    <xdr:rowOff>152400</xdr:rowOff>
                  </from>
                  <to>
                    <xdr:col>12</xdr:col>
                    <xdr:colOff>400050</xdr:colOff>
                    <xdr:row>13</xdr:row>
                    <xdr:rowOff>28575</xdr:rowOff>
                  </to>
                </anchor>
              </controlPr>
            </control>
          </mc:Choice>
        </mc:AlternateContent>
        <mc:AlternateContent xmlns:mc="http://schemas.openxmlformats.org/markup-compatibility/2006">
          <mc:Choice Requires="x14">
            <control shapeId="6158" r:id="rId14" name="Check Box 14">
              <controlPr defaultSize="0" autoFill="0" autoLine="0" autoPict="0">
                <anchor moveWithCells="1">
                  <from>
                    <xdr:col>12</xdr:col>
                    <xdr:colOff>171450</xdr:colOff>
                    <xdr:row>12</xdr:row>
                    <xdr:rowOff>152400</xdr:rowOff>
                  </from>
                  <to>
                    <xdr:col>12</xdr:col>
                    <xdr:colOff>400050</xdr:colOff>
                    <xdr:row>14</xdr:row>
                    <xdr:rowOff>28575</xdr:rowOff>
                  </to>
                </anchor>
              </controlPr>
            </control>
          </mc:Choice>
        </mc:AlternateContent>
        <mc:AlternateContent xmlns:mc="http://schemas.openxmlformats.org/markup-compatibility/2006">
          <mc:Choice Requires="x14">
            <control shapeId="6159" r:id="rId15" name="Check Box 15">
              <controlPr defaultSize="0" autoFill="0" autoLine="0" autoPict="0">
                <anchor moveWithCells="1">
                  <from>
                    <xdr:col>12</xdr:col>
                    <xdr:colOff>171450</xdr:colOff>
                    <xdr:row>13</xdr:row>
                    <xdr:rowOff>152400</xdr:rowOff>
                  </from>
                  <to>
                    <xdr:col>12</xdr:col>
                    <xdr:colOff>400050</xdr:colOff>
                    <xdr:row>15</xdr:row>
                    <xdr:rowOff>28575</xdr:rowOff>
                  </to>
                </anchor>
              </controlPr>
            </control>
          </mc:Choice>
        </mc:AlternateContent>
        <mc:AlternateContent xmlns:mc="http://schemas.openxmlformats.org/markup-compatibility/2006">
          <mc:Choice Requires="x14">
            <control shapeId="6160" r:id="rId16" name="Check Box 16">
              <controlPr defaultSize="0" autoFill="0" autoLine="0" autoPict="0">
                <anchor moveWithCells="1">
                  <from>
                    <xdr:col>8</xdr:col>
                    <xdr:colOff>171450</xdr:colOff>
                    <xdr:row>12</xdr:row>
                    <xdr:rowOff>152400</xdr:rowOff>
                  </from>
                  <to>
                    <xdr:col>8</xdr:col>
                    <xdr:colOff>400050</xdr:colOff>
                    <xdr:row>14</xdr:row>
                    <xdr:rowOff>28575</xdr:rowOff>
                  </to>
                </anchor>
              </controlPr>
            </control>
          </mc:Choice>
        </mc:AlternateContent>
        <mc:AlternateContent xmlns:mc="http://schemas.openxmlformats.org/markup-compatibility/2006">
          <mc:Choice Requires="x14">
            <control shapeId="6161" r:id="rId17" name="Check Box 17">
              <controlPr defaultSize="0" autoFill="0" autoLine="0" autoPict="0">
                <anchor moveWithCells="1">
                  <from>
                    <xdr:col>8</xdr:col>
                    <xdr:colOff>171450</xdr:colOff>
                    <xdr:row>13</xdr:row>
                    <xdr:rowOff>152400</xdr:rowOff>
                  </from>
                  <to>
                    <xdr:col>8</xdr:col>
                    <xdr:colOff>400050</xdr:colOff>
                    <xdr:row>15</xdr:row>
                    <xdr:rowOff>28575</xdr:rowOff>
                  </to>
                </anchor>
              </controlPr>
            </control>
          </mc:Choice>
        </mc:AlternateContent>
        <mc:AlternateContent xmlns:mc="http://schemas.openxmlformats.org/markup-compatibility/2006">
          <mc:Choice Requires="x14">
            <control shapeId="6162" r:id="rId18" name="Check Box 18">
              <controlPr defaultSize="0" autoFill="0" autoLine="0" autoPict="0">
                <anchor moveWithCells="1">
                  <from>
                    <xdr:col>8</xdr:col>
                    <xdr:colOff>171450</xdr:colOff>
                    <xdr:row>14</xdr:row>
                    <xdr:rowOff>152400</xdr:rowOff>
                  </from>
                  <to>
                    <xdr:col>8</xdr:col>
                    <xdr:colOff>400050</xdr:colOff>
                    <xdr:row>16</xdr:row>
                    <xdr:rowOff>9525</xdr:rowOff>
                  </to>
                </anchor>
              </controlPr>
            </control>
          </mc:Choice>
        </mc:AlternateContent>
        <mc:AlternateContent xmlns:mc="http://schemas.openxmlformats.org/markup-compatibility/2006">
          <mc:Choice Requires="x14">
            <control shapeId="6163" r:id="rId19" name="Check Box 19">
              <controlPr defaultSize="0" autoFill="0" autoLine="0" autoPict="0">
                <anchor moveWithCells="1">
                  <from>
                    <xdr:col>16</xdr:col>
                    <xdr:colOff>171450</xdr:colOff>
                    <xdr:row>9</xdr:row>
                    <xdr:rowOff>152400</xdr:rowOff>
                  </from>
                  <to>
                    <xdr:col>16</xdr:col>
                    <xdr:colOff>400050</xdr:colOff>
                    <xdr:row>11</xdr:row>
                    <xdr:rowOff>28575</xdr:rowOff>
                  </to>
                </anchor>
              </controlPr>
            </control>
          </mc:Choice>
        </mc:AlternateContent>
        <mc:AlternateContent xmlns:mc="http://schemas.openxmlformats.org/markup-compatibility/2006">
          <mc:Choice Requires="x14">
            <control shapeId="6164" r:id="rId20" name="Check Box 20">
              <controlPr defaultSize="0" autoFill="0" autoLine="0" autoPict="0">
                <anchor moveWithCells="1">
                  <from>
                    <xdr:col>16</xdr:col>
                    <xdr:colOff>171450</xdr:colOff>
                    <xdr:row>10</xdr:row>
                    <xdr:rowOff>152400</xdr:rowOff>
                  </from>
                  <to>
                    <xdr:col>16</xdr:col>
                    <xdr:colOff>400050</xdr:colOff>
                    <xdr:row>12</xdr:row>
                    <xdr:rowOff>28575</xdr:rowOff>
                  </to>
                </anchor>
              </controlPr>
            </control>
          </mc:Choice>
        </mc:AlternateContent>
        <mc:AlternateContent xmlns:mc="http://schemas.openxmlformats.org/markup-compatibility/2006">
          <mc:Choice Requires="x14">
            <control shapeId="6165" r:id="rId21" name="Check Box 21">
              <controlPr defaultSize="0" autoFill="0" autoLine="0" autoPict="0">
                <anchor moveWithCells="1">
                  <from>
                    <xdr:col>16</xdr:col>
                    <xdr:colOff>171450</xdr:colOff>
                    <xdr:row>9</xdr:row>
                    <xdr:rowOff>152400</xdr:rowOff>
                  </from>
                  <to>
                    <xdr:col>16</xdr:col>
                    <xdr:colOff>400050</xdr:colOff>
                    <xdr:row>11</xdr:row>
                    <xdr:rowOff>28575</xdr:rowOff>
                  </to>
                </anchor>
              </controlPr>
            </control>
          </mc:Choice>
        </mc:AlternateContent>
        <mc:AlternateContent xmlns:mc="http://schemas.openxmlformats.org/markup-compatibility/2006">
          <mc:Choice Requires="x14">
            <control shapeId="6166" r:id="rId22" name="Check Box 22">
              <controlPr defaultSize="0" autoFill="0" autoLine="0" autoPict="0">
                <anchor moveWithCells="1">
                  <from>
                    <xdr:col>16</xdr:col>
                    <xdr:colOff>171450</xdr:colOff>
                    <xdr:row>10</xdr:row>
                    <xdr:rowOff>152400</xdr:rowOff>
                  </from>
                  <to>
                    <xdr:col>16</xdr:col>
                    <xdr:colOff>400050</xdr:colOff>
                    <xdr:row>12</xdr:row>
                    <xdr:rowOff>28575</xdr:rowOff>
                  </to>
                </anchor>
              </controlPr>
            </control>
          </mc:Choice>
        </mc:AlternateContent>
        <mc:AlternateContent xmlns:mc="http://schemas.openxmlformats.org/markup-compatibility/2006">
          <mc:Choice Requires="x14">
            <control shapeId="6167" r:id="rId23" name="Check Box 23">
              <controlPr defaultSize="0" autoFill="0" autoLine="0" autoPict="0">
                <anchor moveWithCells="1">
                  <from>
                    <xdr:col>16</xdr:col>
                    <xdr:colOff>171450</xdr:colOff>
                    <xdr:row>11</xdr:row>
                    <xdr:rowOff>152400</xdr:rowOff>
                  </from>
                  <to>
                    <xdr:col>16</xdr:col>
                    <xdr:colOff>400050</xdr:colOff>
                    <xdr:row>13</xdr:row>
                    <xdr:rowOff>28575</xdr:rowOff>
                  </to>
                </anchor>
              </controlPr>
            </control>
          </mc:Choice>
        </mc:AlternateContent>
        <mc:AlternateContent xmlns:mc="http://schemas.openxmlformats.org/markup-compatibility/2006">
          <mc:Choice Requires="x14">
            <control shapeId="6168" r:id="rId24" name="Check Box 24">
              <controlPr defaultSize="0" autoFill="0" autoLine="0" autoPict="0">
                <anchor moveWithCells="1">
                  <from>
                    <xdr:col>16</xdr:col>
                    <xdr:colOff>171450</xdr:colOff>
                    <xdr:row>12</xdr:row>
                    <xdr:rowOff>152400</xdr:rowOff>
                  </from>
                  <to>
                    <xdr:col>16</xdr:col>
                    <xdr:colOff>400050</xdr:colOff>
                    <xdr:row>14</xdr:row>
                    <xdr:rowOff>28575</xdr:rowOff>
                  </to>
                </anchor>
              </controlPr>
            </control>
          </mc:Choice>
        </mc:AlternateContent>
        <mc:AlternateContent xmlns:mc="http://schemas.openxmlformats.org/markup-compatibility/2006">
          <mc:Choice Requires="x14">
            <control shapeId="6170" r:id="rId25" name="Check Box 26">
              <controlPr defaultSize="0" autoFill="0" autoLine="0" autoPict="0">
                <anchor moveWithCells="1">
                  <from>
                    <xdr:col>4</xdr:col>
                    <xdr:colOff>171450</xdr:colOff>
                    <xdr:row>12</xdr:row>
                    <xdr:rowOff>152400</xdr:rowOff>
                  </from>
                  <to>
                    <xdr:col>4</xdr:col>
                    <xdr:colOff>400050</xdr:colOff>
                    <xdr:row>14</xdr:row>
                    <xdr:rowOff>28575</xdr:rowOff>
                  </to>
                </anchor>
              </controlPr>
            </control>
          </mc:Choice>
        </mc:AlternateContent>
        <mc:AlternateContent xmlns:mc="http://schemas.openxmlformats.org/markup-compatibility/2006">
          <mc:Choice Requires="x14">
            <control shapeId="6171" r:id="rId26" name="Check Box 27">
              <controlPr defaultSize="0" autoFill="0" autoLine="0" autoPict="0">
                <anchor moveWithCells="1">
                  <from>
                    <xdr:col>4</xdr:col>
                    <xdr:colOff>171450</xdr:colOff>
                    <xdr:row>13</xdr:row>
                    <xdr:rowOff>152400</xdr:rowOff>
                  </from>
                  <to>
                    <xdr:col>4</xdr:col>
                    <xdr:colOff>400050</xdr:colOff>
                    <xdr:row>15</xdr:row>
                    <xdr:rowOff>28575</xdr:rowOff>
                  </to>
                </anchor>
              </controlPr>
            </control>
          </mc:Choice>
        </mc:AlternateContent>
        <mc:AlternateContent xmlns:mc="http://schemas.openxmlformats.org/markup-compatibility/2006">
          <mc:Choice Requires="x14">
            <control shapeId="6179" r:id="rId27" name="Check Box 35">
              <controlPr defaultSize="0" autoFill="0" autoLine="0" autoPict="0">
                <anchor moveWithCells="1">
                  <from>
                    <xdr:col>8</xdr:col>
                    <xdr:colOff>171450</xdr:colOff>
                    <xdr:row>15</xdr:row>
                    <xdr:rowOff>152400</xdr:rowOff>
                  </from>
                  <to>
                    <xdr:col>8</xdr:col>
                    <xdr:colOff>400050</xdr:colOff>
                    <xdr:row>17</xdr:row>
                    <xdr:rowOff>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99CC"/>
    <pageSetUpPr autoPageBreaks="0"/>
  </sheetPr>
  <dimension ref="A1:X89"/>
  <sheetViews>
    <sheetView zoomScaleNormal="100" workbookViewId="0">
      <pane ySplit="21" topLeftCell="A22" activePane="bottomLeft" state="frozen"/>
      <selection pane="bottomLeft" activeCell="E5" sqref="E5:H5"/>
    </sheetView>
  </sheetViews>
  <sheetFormatPr defaultRowHeight="15.75" x14ac:dyDescent="0.25"/>
  <cols>
    <col min="1" max="1" width="7.140625" style="154" customWidth="1"/>
    <col min="2" max="2" width="9.140625" style="154" customWidth="1"/>
    <col min="3" max="3" width="11.28515625" style="154" customWidth="1"/>
    <col min="4" max="20" width="9.140625" style="154"/>
    <col min="21" max="21" width="13.85546875" style="154" customWidth="1"/>
    <col min="22" max="22" width="11.28515625" style="154" customWidth="1"/>
    <col min="23" max="16384" width="9.140625" style="154"/>
  </cols>
  <sheetData>
    <row r="1" spans="1:24" ht="6" customHeight="1" thickBot="1" x14ac:dyDescent="0.3"/>
    <row r="2" spans="1:24" s="296" customFormat="1" ht="17.25" customHeight="1" thickBot="1" x14ac:dyDescent="0.3">
      <c r="A2" s="288"/>
      <c r="B2" s="288"/>
      <c r="C2" s="289"/>
      <c r="D2" s="290"/>
      <c r="E2" s="291"/>
      <c r="F2" s="291"/>
      <c r="G2" s="291"/>
      <c r="H2" s="291"/>
      <c r="I2" s="52">
        <v>653.81600000000003</v>
      </c>
      <c r="J2" s="290"/>
      <c r="K2" s="291"/>
      <c r="L2" s="291"/>
      <c r="M2" s="291"/>
      <c r="N2" s="291"/>
      <c r="O2" s="291"/>
      <c r="P2" s="292"/>
      <c r="Q2" s="293"/>
      <c r="R2" s="293"/>
      <c r="S2" s="293"/>
      <c r="T2" s="294"/>
      <c r="U2" s="295"/>
      <c r="V2" s="295"/>
      <c r="W2" s="295"/>
      <c r="X2" s="295"/>
    </row>
    <row r="3" spans="1:24" s="296" customFormat="1" ht="19.5" customHeight="1" x14ac:dyDescent="0.25">
      <c r="A3" s="288"/>
      <c r="B3" s="288"/>
      <c r="C3" s="297"/>
      <c r="D3" s="297"/>
      <c r="E3" s="295"/>
      <c r="F3" s="154"/>
      <c r="G3" s="154"/>
      <c r="H3" s="154"/>
      <c r="I3" s="154"/>
      <c r="J3" s="154"/>
      <c r="K3" s="154"/>
      <c r="L3" s="295"/>
      <c r="M3" s="295"/>
      <c r="N3" s="154"/>
      <c r="O3" s="154"/>
      <c r="P3" s="297"/>
      <c r="Q3" s="297"/>
      <c r="R3" s="297"/>
      <c r="S3" s="297"/>
      <c r="T3" s="297"/>
      <c r="U3" s="298"/>
      <c r="V3" s="295"/>
      <c r="W3" s="295"/>
      <c r="X3" s="295"/>
    </row>
    <row r="4" spans="1:24" ht="19.5" customHeight="1" thickBot="1" x14ac:dyDescent="0.3">
      <c r="E4" s="182" t="s">
        <v>211</v>
      </c>
      <c r="J4" s="318" t="s">
        <v>214</v>
      </c>
      <c r="K4" s="318" t="s">
        <v>959</v>
      </c>
      <c r="L4" s="320"/>
      <c r="M4" s="322" t="s">
        <v>1343</v>
      </c>
      <c r="N4" s="318" t="s">
        <v>1344</v>
      </c>
    </row>
    <row r="5" spans="1:24" ht="16.5" customHeight="1" x14ac:dyDescent="0.25">
      <c r="A5" s="155"/>
      <c r="B5" s="156"/>
      <c r="E5" s="650"/>
      <c r="F5" s="650"/>
      <c r="G5" s="650"/>
      <c r="H5" s="650"/>
      <c r="J5" s="324" t="str">
        <f>IFERROR(VLOOKUP($E$5,ShipLevels,4,FALSE),"")</f>
        <v/>
      </c>
      <c r="K5" s="325" t="str">
        <f>IFERROR(VLOOKUP($E$5,ShipLevels,5,FALSE),"")</f>
        <v/>
      </c>
      <c r="L5" s="321"/>
      <c r="M5" s="326" t="str">
        <f>IFERROR(VLOOKUP($E$5&amp;"Crew",ShipList,J5+3,FALSE),"")</f>
        <v/>
      </c>
      <c r="N5" s="324" t="str">
        <f>IFERROR(VLOOKUP($E$5&amp;"Crew",ShipList,K5+3,FALSE),"")</f>
        <v/>
      </c>
      <c r="O5" s="319"/>
      <c r="V5" s="157"/>
      <c r="W5" s="158"/>
    </row>
    <row r="6" spans="1:24" ht="16.5" customHeight="1" x14ac:dyDescent="0.25">
      <c r="A6" s="159"/>
      <c r="B6" s="153" t="s">
        <v>957</v>
      </c>
      <c r="I6" s="287"/>
      <c r="J6" s="656"/>
      <c r="K6" s="656"/>
      <c r="L6" s="656"/>
      <c r="M6" s="656"/>
      <c r="N6" s="656"/>
      <c r="O6" s="656"/>
      <c r="Q6" s="160"/>
      <c r="R6" s="160"/>
      <c r="S6" s="160"/>
      <c r="T6" s="160"/>
      <c r="U6" s="161"/>
      <c r="V6" s="162"/>
      <c r="W6" s="163"/>
    </row>
    <row r="7" spans="1:24" ht="16.5" customHeight="1" thickBot="1" x14ac:dyDescent="0.3">
      <c r="A7" s="159"/>
      <c r="B7" s="153" t="s">
        <v>1548</v>
      </c>
      <c r="E7" s="182" t="s">
        <v>957</v>
      </c>
      <c r="F7" s="651" t="str">
        <f>IF(J5&gt;0,IFERROR(VLOOKUP($E$5&amp;"Ability",ShipList,3,FALSE),"") &amp; IFERROR(VLOOKUP($E$5&amp;"Ability",ShipList,$J$5+3,FALSE)*100&amp;"%",""),IFERROR(VLOOKUP($E$5&amp;"Ability",ShipList,3,FALSE),"")&amp;"0%")</f>
        <v/>
      </c>
      <c r="G7" s="651"/>
      <c r="H7" s="651"/>
      <c r="I7" s="651"/>
      <c r="J7" s="651"/>
      <c r="K7" s="651"/>
      <c r="L7" s="651"/>
      <c r="M7" s="651"/>
      <c r="N7" s="651"/>
      <c r="O7" s="651"/>
      <c r="P7" s="651"/>
      <c r="Q7" s="651"/>
      <c r="R7" s="651"/>
      <c r="S7" s="651"/>
      <c r="T7" s="160"/>
      <c r="V7" s="164"/>
      <c r="W7" s="165"/>
    </row>
    <row r="8" spans="1:24" ht="16.5" thickBot="1" x14ac:dyDescent="0.3">
      <c r="A8" s="159"/>
      <c r="B8" s="166"/>
      <c r="E8" s="182" t="s">
        <v>958</v>
      </c>
      <c r="F8" s="651"/>
      <c r="G8" s="651"/>
      <c r="H8" s="651"/>
      <c r="I8" s="651"/>
      <c r="J8" s="651"/>
      <c r="K8" s="651"/>
      <c r="L8" s="651"/>
      <c r="M8" s="651"/>
      <c r="N8" s="651"/>
      <c r="O8" s="651"/>
      <c r="P8" s="651"/>
      <c r="Q8" s="651"/>
      <c r="R8" s="651"/>
      <c r="S8" s="651"/>
      <c r="T8" s="160"/>
      <c r="V8" s="167"/>
      <c r="W8" s="168"/>
    </row>
    <row r="9" spans="1:24" ht="16.5" customHeight="1" thickBot="1" x14ac:dyDescent="0.3">
      <c r="A9" s="169"/>
      <c r="B9" s="170"/>
      <c r="F9" s="651"/>
      <c r="G9" s="651"/>
      <c r="H9" s="651"/>
      <c r="I9" s="651"/>
      <c r="J9" s="651"/>
      <c r="K9" s="651"/>
      <c r="L9" s="651"/>
      <c r="M9" s="651"/>
      <c r="N9" s="651"/>
      <c r="O9" s="651"/>
      <c r="P9" s="651"/>
      <c r="Q9" s="651"/>
      <c r="R9" s="651"/>
      <c r="S9" s="651"/>
      <c r="T9" s="160"/>
      <c r="V9" s="171"/>
      <c r="W9" s="172"/>
    </row>
    <row r="10" spans="1:24" ht="15.75" customHeight="1" x14ac:dyDescent="0.25">
      <c r="A10" s="173"/>
      <c r="B10" s="174"/>
      <c r="F10" s="160"/>
      <c r="G10" s="160"/>
      <c r="H10" s="160"/>
      <c r="I10" s="160"/>
      <c r="J10" s="160"/>
      <c r="K10" s="160"/>
      <c r="L10" s="160"/>
      <c r="M10" s="160"/>
      <c r="N10" s="160"/>
      <c r="O10" s="160"/>
      <c r="P10" s="160"/>
      <c r="Q10" s="160"/>
      <c r="R10" s="160"/>
      <c r="S10" s="160"/>
      <c r="T10" s="160"/>
      <c r="V10" s="175"/>
      <c r="W10" s="11" t="s">
        <v>139</v>
      </c>
    </row>
    <row r="11" spans="1:24" ht="15.75" customHeight="1" thickBot="1" x14ac:dyDescent="0.3">
      <c r="A11" s="176"/>
      <c r="B11" s="177"/>
      <c r="E11" s="323" t="s">
        <v>957</v>
      </c>
      <c r="F11" s="327" t="str">
        <f>IFERROR(VLOOKUP($E$5&amp;"Bonuses",ShipList,5,FALSE),"")</f>
        <v/>
      </c>
      <c r="G11" s="327" t="str">
        <f>IFERROR(VLOOKUP($E$5&amp;"Bonuses",ShipList,7,FALSE),"")</f>
        <v/>
      </c>
      <c r="H11" s="327" t="str">
        <f>IFERROR(VLOOKUP($E$5&amp;"Bonuses",ShipList,9,FALSE),"")</f>
        <v/>
      </c>
      <c r="I11" s="327" t="str">
        <f>IFERROR(VLOOKUP($E$5&amp;"Bonuses",ShipList,11,FALSE),"")</f>
        <v/>
      </c>
      <c r="J11" s="327" t="str">
        <f>IFERROR(VLOOKUP($E$5&amp;"Bonuses",ShipList,13,FALSE),"")</f>
        <v/>
      </c>
      <c r="K11" s="327" t="str">
        <f>IFERROR(VLOOKUP($E$5&amp;"Bonuses",ShipList,15,FALSE),"")</f>
        <v/>
      </c>
      <c r="L11" s="327" t="str">
        <f>IFERROR(VLOOKUP($E$5&amp;"Bonuses",ShipList,17,FALSE),"")</f>
        <v/>
      </c>
      <c r="M11" s="327" t="str">
        <f>IFERROR(VLOOKUP($E$5&amp;"Bonuses",ShipList,19,FALSE),"")</f>
        <v/>
      </c>
      <c r="N11" s="327" t="str">
        <f>IFERROR(VLOOKUP($E$5&amp;"Bonuses",ShipList,21,FALSE),"")</f>
        <v/>
      </c>
      <c r="O11" s="327" t="str">
        <f>IFERROR(VLOOKUP($E$5&amp;"Bonuses",ShipList,23,FALSE),"")</f>
        <v/>
      </c>
      <c r="P11" s="189"/>
      <c r="Q11" s="286"/>
      <c r="R11" s="299"/>
      <c r="S11" s="211"/>
      <c r="V11" s="178"/>
      <c r="W11" s="179"/>
    </row>
    <row r="12" spans="1:24" ht="15.75" customHeight="1" x14ac:dyDescent="0.25">
      <c r="A12" s="176"/>
      <c r="B12" s="180" t="s">
        <v>140</v>
      </c>
      <c r="E12" s="209" t="s">
        <v>142</v>
      </c>
      <c r="F12" s="328" t="str">
        <f>IFERROR(VLOOKUP($E$5&amp;"Bonuses",ShipList,4,FALSE),"")</f>
        <v/>
      </c>
      <c r="G12" s="328" t="str">
        <f>IFERROR(VLOOKUP($E$5&amp;"Bonuses",ShipList,6,FALSE),"")</f>
        <v/>
      </c>
      <c r="H12" s="328" t="str">
        <f>IFERROR(VLOOKUP($E$5&amp;"Bonuses",ShipList,8,FALSE),"")</f>
        <v/>
      </c>
      <c r="I12" s="328" t="str">
        <f>IFERROR(VLOOKUP($E$5&amp;"Bonuses",ShipList,10,FALSE),"")</f>
        <v/>
      </c>
      <c r="J12" s="328" t="str">
        <f>IFERROR(VLOOKUP($E$5&amp;"Bonuses",ShipList,12,FALSE),"")</f>
        <v/>
      </c>
      <c r="K12" s="328" t="str">
        <f>IFERROR(VLOOKUP($E$5&amp;"Bonuses",ShipList,14,FALSE),"")</f>
        <v/>
      </c>
      <c r="L12" s="328" t="str">
        <f>IFERROR(VLOOKUP($E$5&amp;"Bonuses",ShipList,16,FALSE),"")</f>
        <v/>
      </c>
      <c r="M12" s="328" t="str">
        <f>IFERROR(VLOOKUP($E$5&amp;"Bonuses",ShipList,18,FALSE),"")</f>
        <v/>
      </c>
      <c r="N12" s="328" t="str">
        <f>IFERROR(VLOOKUP($E$5&amp;"Bonuses",ShipList,20,FALSE),"")</f>
        <v/>
      </c>
      <c r="O12" s="328" t="str">
        <f>IFERROR(VLOOKUP($E$5&amp;"Bonuses",ShipList,22,FALSE),"")</f>
        <v/>
      </c>
      <c r="P12" s="189"/>
      <c r="Q12" s="200"/>
      <c r="R12" s="201"/>
      <c r="S12" s="202"/>
      <c r="V12" s="171"/>
      <c r="W12" s="172"/>
    </row>
    <row r="13" spans="1:24" ht="15.75" customHeight="1" x14ac:dyDescent="0.25">
      <c r="A13" s="176"/>
      <c r="B13" s="177"/>
      <c r="E13" s="657" t="s">
        <v>1070</v>
      </c>
      <c r="F13" s="658"/>
      <c r="G13" s="659"/>
      <c r="H13" s="586" t="s">
        <v>2309</v>
      </c>
      <c r="I13" s="587" t="s">
        <v>2310</v>
      </c>
      <c r="J13" s="588" t="s">
        <v>2311</v>
      </c>
      <c r="K13" s="589" t="s">
        <v>2312</v>
      </c>
      <c r="L13" s="590" t="s">
        <v>2313</v>
      </c>
      <c r="M13" s="587" t="s">
        <v>2314</v>
      </c>
      <c r="N13" s="588" t="s">
        <v>2315</v>
      </c>
      <c r="O13" s="589" t="s">
        <v>2316</v>
      </c>
      <c r="P13" s="590" t="s">
        <v>2317</v>
      </c>
      <c r="Q13" s="591" t="s">
        <v>2318</v>
      </c>
      <c r="R13" s="592" t="s">
        <v>2319</v>
      </c>
      <c r="S13" s="593" t="s">
        <v>2320</v>
      </c>
      <c r="T13" s="594" t="s">
        <v>2321</v>
      </c>
      <c r="V13" s="175"/>
      <c r="W13" s="11" t="s">
        <v>207</v>
      </c>
    </row>
    <row r="14" spans="1:24" ht="15.75" customHeight="1" thickBot="1" x14ac:dyDescent="0.3">
      <c r="A14" s="176"/>
      <c r="B14" s="177"/>
      <c r="D14" s="209" t="s">
        <v>1345</v>
      </c>
      <c r="E14" s="655" t="str">
        <f>IFERROR(VLOOKUP($E$5&amp;"1",ShipWeapons,2,FALSE),"")</f>
        <v/>
      </c>
      <c r="F14" s="655"/>
      <c r="G14" s="655"/>
      <c r="H14" s="329" t="str">
        <f>IFERROR(VLOOKUP($E$5&amp;"1",ShipWeapons,3,FALSE),"")</f>
        <v/>
      </c>
      <c r="I14" s="330" t="str">
        <f>IFERROR(VLOOKUP($E$5&amp;"1",ShipWeapons,4,FALSE),"")</f>
        <v/>
      </c>
      <c r="J14" s="328" t="str">
        <f>IFERROR(VLOOKUP($E$5&amp;"1",ShipWeapons,5,FALSE),"")</f>
        <v/>
      </c>
      <c r="K14" s="328" t="str">
        <f>IFERROR(VLOOKUP($E$5&amp;"1",ShipWeapons,6,FALSE),"")</f>
        <v/>
      </c>
      <c r="L14" s="328" t="str">
        <f>IFERROR(VLOOKUP($E$5&amp;"1",ShipWeapons,7,FALSE),"")</f>
        <v/>
      </c>
      <c r="M14" s="328" t="str">
        <f>IFERROR(VLOOKUP($E$5&amp;"1",ShipWeapons,8,FALSE),"")</f>
        <v/>
      </c>
      <c r="N14" s="328" t="str">
        <f>IFERROR(VLOOKUP($E$5&amp;"1",ShipWeapons,9,FALSE),"")</f>
        <v/>
      </c>
      <c r="O14" s="328" t="str">
        <f>IFERROR(VLOOKUP($E$5&amp;"1",ShipWeapons,10,FALSE),"")</f>
        <v/>
      </c>
      <c r="P14" s="328" t="str">
        <f>IFERROR(VLOOKUP($E$5&amp;"1",ShipWeapons,11,FALSE),"")</f>
        <v/>
      </c>
      <c r="Q14" s="328" t="str">
        <f>IFERROR(VLOOKUP($E$5&amp;"1",ShipWeapons,12,FALSE),"")</f>
        <v/>
      </c>
      <c r="R14" s="328" t="str">
        <f>IFERROR(VLOOKUP($E$5&amp;"1",ShipWeapons,13,FALSE),"")</f>
        <v/>
      </c>
      <c r="S14" s="328" t="str">
        <f>IFERROR(VLOOKUP($E$5&amp;"1",ShipWeapons,14,FALSE),"")</f>
        <v/>
      </c>
      <c r="T14" s="330" t="str">
        <f>IFERROR(VLOOKUP($E$5&amp;"1",ShipWeapons,15,FALSE),"")</f>
        <v/>
      </c>
      <c r="V14" s="178"/>
      <c r="W14" s="179"/>
    </row>
    <row r="15" spans="1:24" ht="15.75" customHeight="1" thickBot="1" x14ac:dyDescent="0.3">
      <c r="A15" s="173"/>
      <c r="B15" s="174"/>
      <c r="D15" s="209" t="s">
        <v>1346</v>
      </c>
      <c r="E15" s="655" t="str">
        <f>IFERROR(VLOOKUP($E$5&amp;"2",ShipWeapons,2,FALSE),"")</f>
        <v/>
      </c>
      <c r="F15" s="655"/>
      <c r="G15" s="655"/>
      <c r="H15" s="329" t="str">
        <f>IFERROR(VLOOKUP($E$5&amp;"2",ShipWeapons,3,FALSE),"")</f>
        <v/>
      </c>
      <c r="I15" s="330" t="str">
        <f>IFERROR(VLOOKUP($E$5&amp;"2",ShipWeapons,4,FALSE),"")</f>
        <v/>
      </c>
      <c r="J15" s="328" t="str">
        <f>IFERROR(VLOOKUP($E$5&amp;"2",ShipWeapons,5,FALSE),"")</f>
        <v/>
      </c>
      <c r="K15" s="328" t="str">
        <f>IFERROR(VLOOKUP($E$5&amp;"2",ShipWeapons,6,FALSE),"")</f>
        <v/>
      </c>
      <c r="L15" s="328" t="str">
        <f>IFERROR(VLOOKUP($E$5&amp;"2",ShipWeapons,7,FALSE),"")</f>
        <v/>
      </c>
      <c r="M15" s="328" t="str">
        <f>IFERROR(VLOOKUP($E$5&amp;"2",ShipWeapons,8,FALSE),"")</f>
        <v/>
      </c>
      <c r="N15" s="328" t="str">
        <f>IFERROR(VLOOKUP($E$5&amp;"2",ShipWeapons,9,FALSE),"")</f>
        <v/>
      </c>
      <c r="O15" s="328" t="str">
        <f>IFERROR(VLOOKUP($E$5&amp;"2",ShipWeapons,10,FALSE),"")</f>
        <v/>
      </c>
      <c r="P15" s="328" t="str">
        <f>IFERROR(VLOOKUP($E$5&amp;"2",ShipWeapons,11,FALSE),"")</f>
        <v/>
      </c>
      <c r="Q15" s="328" t="str">
        <f>IFERROR(VLOOKUP($E$5&amp;"2",ShipWeapons,12,FALSE),"")</f>
        <v/>
      </c>
      <c r="R15" s="328" t="str">
        <f>IFERROR(VLOOKUP($E$5&amp;"2",ShipWeapons,13,FALSE),"")</f>
        <v/>
      </c>
      <c r="S15" s="328" t="str">
        <f>IFERROR(VLOOKUP($E$5&amp;"2",ShipWeapons,14,FALSE),"")</f>
        <v/>
      </c>
      <c r="T15" s="330" t="str">
        <f>IFERROR(VLOOKUP($E$5&amp;"2",ShipWeapons,15,FALSE),"")</f>
        <v/>
      </c>
      <c r="V15" s="167"/>
      <c r="W15" s="168"/>
    </row>
    <row r="16" spans="1:24" ht="17.25" customHeight="1" thickBot="1" x14ac:dyDescent="0.3">
      <c r="A16" s="185"/>
      <c r="B16" s="186"/>
      <c r="D16" s="189"/>
      <c r="E16" s="655" t="str">
        <f>IFERROR(VLOOKUP($E$5&amp;"3",ShipWeapons,2,FALSE),"")</f>
        <v/>
      </c>
      <c r="F16" s="655"/>
      <c r="G16" s="655"/>
      <c r="H16" s="329" t="str">
        <f>IFERROR(VLOOKUP($E$5&amp;"3",ShipWeapons,3,FALSE),"")</f>
        <v/>
      </c>
      <c r="I16" s="330" t="str">
        <f>IFERROR(VLOOKUP($E$5&amp;"3",ShipWeapons,4,FALSE),"")</f>
        <v/>
      </c>
      <c r="J16" s="328" t="str">
        <f>IFERROR(VLOOKUP($E$5&amp;"3",ShipWeapons,5,FALSE),"")</f>
        <v/>
      </c>
      <c r="K16" s="328" t="str">
        <f>IFERROR(VLOOKUP($E$5&amp;"3",ShipWeapons,6,FALSE),"")</f>
        <v/>
      </c>
      <c r="L16" s="328" t="str">
        <f>IFERROR(VLOOKUP($E$5&amp;"3",ShipWeapons,7,FALSE),"")</f>
        <v/>
      </c>
      <c r="M16" s="328" t="str">
        <f>IFERROR(VLOOKUP($E$5&amp;"3",ShipWeapons,8,FALSE),"")</f>
        <v/>
      </c>
      <c r="N16" s="328" t="str">
        <f>IFERROR(VLOOKUP($E$5&amp;"3",ShipWeapons,9,FALSE),"")</f>
        <v/>
      </c>
      <c r="O16" s="328" t="str">
        <f>IFERROR(VLOOKUP($E$5&amp;"3",ShipWeapons,10,FALSE),"")</f>
        <v/>
      </c>
      <c r="P16" s="328" t="str">
        <f>IFERROR(VLOOKUP($E$5&amp;"3",ShipWeapons,11,FALSE),"")</f>
        <v/>
      </c>
      <c r="Q16" s="328" t="str">
        <f>IFERROR(VLOOKUP($E$5&amp;"3",ShipWeapons,12,FALSE),"")</f>
        <v/>
      </c>
      <c r="R16" s="328" t="str">
        <f>IFERROR(VLOOKUP($E$5&amp;"3",ShipWeapons,13,FALSE),"")</f>
        <v/>
      </c>
      <c r="S16" s="328" t="str">
        <f>IFERROR(VLOOKUP($E$5&amp;"3",ShipWeapons,14,FALSE),"")</f>
        <v/>
      </c>
      <c r="T16" s="330" t="str">
        <f>IFERROR(VLOOKUP($E$5&amp;"3",ShipWeapons,15,FALSE),"")</f>
        <v/>
      </c>
    </row>
    <row r="17" spans="1:24" ht="16.5" customHeight="1" x14ac:dyDescent="0.25">
      <c r="D17" s="189"/>
      <c r="E17" s="655" t="str">
        <f>IFERROR(VLOOKUP($E$5&amp;"4",ShipWeapons,2,FALSE),"")</f>
        <v/>
      </c>
      <c r="F17" s="655"/>
      <c r="G17" s="655"/>
      <c r="H17" s="329" t="str">
        <f>IFERROR(VLOOKUP($E$5&amp;"4",ShipWeapons,3,FALSE),"")</f>
        <v/>
      </c>
      <c r="I17" s="330" t="str">
        <f>IFERROR(VLOOKUP($E$5&amp;"4",ShipWeapons,4,FALSE),"")</f>
        <v/>
      </c>
      <c r="J17" s="328" t="str">
        <f>IFERROR(VLOOKUP($E$5&amp;"4",ShipWeapons,5,FALSE),"")</f>
        <v/>
      </c>
      <c r="K17" s="328" t="str">
        <f>IFERROR(VLOOKUP($E$5&amp;"4",ShipWeapons,6,FALSE),"")</f>
        <v/>
      </c>
      <c r="L17" s="328" t="str">
        <f>IFERROR(VLOOKUP($E$5&amp;"4",ShipWeapons,7,FALSE),"")</f>
        <v/>
      </c>
      <c r="M17" s="328" t="str">
        <f>IFERROR(VLOOKUP($E$5&amp;"4",ShipWeapons,8,FALSE),"")</f>
        <v/>
      </c>
      <c r="N17" s="328" t="str">
        <f>IFERROR(VLOOKUP($E$5&amp;"4",ShipWeapons,9,FALSE),"")</f>
        <v/>
      </c>
      <c r="O17" s="328" t="str">
        <f>IFERROR(VLOOKUP($E$5&amp;"4",ShipWeapons,10,FALSE),"")</f>
        <v/>
      </c>
      <c r="P17" s="328" t="str">
        <f>IFERROR(VLOOKUP($E$5&amp;"4",ShipWeapons,11,FALSE),"")</f>
        <v/>
      </c>
      <c r="Q17" s="328" t="str">
        <f>IFERROR(VLOOKUP($E$5&amp;"4",ShipWeapons,12,FALSE),"")</f>
        <v/>
      </c>
      <c r="R17" s="328" t="str">
        <f>IFERROR(VLOOKUP($E$5&amp;"4",ShipWeapons,13,FALSE),"")</f>
        <v/>
      </c>
      <c r="S17" s="328" t="str">
        <f>IFERROR(VLOOKUP($E$5&amp;"4",ShipWeapons,14,FALSE),"")</f>
        <v/>
      </c>
      <c r="T17" s="330" t="str">
        <f>IFERROR(VLOOKUP($E$5&amp;"4",ShipWeapons,15,FALSE),"")</f>
        <v/>
      </c>
    </row>
    <row r="18" spans="1:24" ht="8.25" customHeight="1" thickBot="1" x14ac:dyDescent="0.3"/>
    <row r="19" spans="1:24" s="296" customFormat="1" ht="17.25" customHeight="1" thickBot="1" x14ac:dyDescent="0.3">
      <c r="A19" s="288"/>
      <c r="B19" s="288"/>
      <c r="C19" s="288"/>
      <c r="D19" s="290"/>
      <c r="E19" s="300"/>
      <c r="F19" s="5">
        <v>745.68499999999995</v>
      </c>
      <c r="G19" s="301"/>
      <c r="H19" s="302"/>
      <c r="I19" s="302"/>
      <c r="J19" s="302"/>
      <c r="K19" s="302"/>
      <c r="L19" s="303"/>
      <c r="M19" s="303"/>
      <c r="N19" s="304"/>
      <c r="O19" s="20">
        <v>689.11400000000003</v>
      </c>
      <c r="P19" s="305"/>
      <c r="Q19" s="51" t="s">
        <v>141</v>
      </c>
      <c r="R19" s="306"/>
      <c r="S19" s="307"/>
      <c r="T19" s="308"/>
      <c r="U19" s="309"/>
      <c r="V19" s="295"/>
      <c r="W19" s="295"/>
      <c r="X19" s="295"/>
    </row>
    <row r="20" spans="1:24" s="296" customFormat="1" ht="6.75" customHeight="1" x14ac:dyDescent="0.25">
      <c r="A20" s="288"/>
      <c r="B20" s="288"/>
      <c r="C20" s="288"/>
      <c r="D20" s="310"/>
      <c r="E20" s="311"/>
      <c r="F20" s="312"/>
      <c r="G20" s="313"/>
      <c r="H20" s="310"/>
      <c r="I20" s="310"/>
      <c r="J20" s="310"/>
      <c r="K20" s="310"/>
      <c r="L20" s="314"/>
      <c r="M20" s="314"/>
      <c r="N20" s="315"/>
      <c r="O20" s="315"/>
      <c r="P20" s="315"/>
      <c r="Q20" s="315"/>
      <c r="R20" s="316"/>
      <c r="S20" s="316"/>
      <c r="T20" s="288"/>
      <c r="U20" s="309"/>
      <c r="V20" s="295"/>
      <c r="W20" s="295"/>
      <c r="X20" s="295"/>
    </row>
    <row r="21" spans="1:24" s="182" customFormat="1" ht="15.75" customHeight="1" x14ac:dyDescent="0.25">
      <c r="B21" s="183" t="s">
        <v>1341</v>
      </c>
      <c r="C21" s="183"/>
      <c r="D21" s="183"/>
      <c r="E21" s="318" t="s">
        <v>214</v>
      </c>
      <c r="F21" s="318" t="s">
        <v>1342</v>
      </c>
      <c r="G21" s="182" t="s">
        <v>958</v>
      </c>
    </row>
    <row r="22" spans="1:24" x14ac:dyDescent="0.25">
      <c r="B22" s="154" t="s">
        <v>1923</v>
      </c>
      <c r="E22" s="317">
        <f t="shared" ref="E22" si="0">IFERROR(INDEX(ImportShipLevel,MATCH(B22,ImportShipList,0)),0)</f>
        <v>0</v>
      </c>
      <c r="F22" s="317">
        <f t="shared" ref="F22" si="1">VLOOKUP(B22&amp;"Crew",ShipList,2,FALSE)</f>
        <v>45</v>
      </c>
      <c r="G22" s="154" t="str">
        <f t="shared" ref="G22:G61" si="2">IF(E22&gt;0,IFERROR(VLOOKUP(B22&amp;"Ability",ShipList,3,FALSE),"") &amp; IFERROR(VLOOKUP(B22&amp;"Ability",ShipList,E22+3,FALSE)*100&amp;"%",""),IFERROR(VLOOKUP(B22&amp;"Ability",ShipList,3,FALSE),"")&amp;"0%")</f>
        <v>This ability only activates if the Amalgam has available empty Cargo Space before attacking. After winning a battle, if the target has more resources than the Amalgam's available Cargo Space, the Amalgam fills its Cargo Space and then takes an additional amount of the remaining resources by 0%</v>
      </c>
    </row>
    <row r="23" spans="1:24" x14ac:dyDescent="0.25">
      <c r="B23" s="154" t="s">
        <v>187</v>
      </c>
      <c r="E23" s="317">
        <f t="shared" ref="E23:E86" si="3">IFERROR(INDEX(ImportShipLevel,MATCH(B23,ImportShipList,0)),0)</f>
        <v>0</v>
      </c>
      <c r="F23" s="317">
        <f t="shared" ref="F23:F86" si="4">VLOOKUP(B23&amp;"Crew",ShipList,2,FALSE)</f>
        <v>45</v>
      </c>
      <c r="G23" s="154" t="str">
        <f t="shared" ref="G23" si="5">IF(E23&gt;0,IFERROR(VLOOKUP(B23&amp;"Ability",ShipList,3,FALSE),"") &amp; IFERROR(VLOOKUP(B23&amp;"Ability",ShipList,E23+3,FALSE)*100&amp;"%",""),IFERROR(VLOOKUP(B23&amp;"Ability",ShipList,3,FALSE),"")&amp;"0%")</f>
        <v>As long as the opponent's ship is Burning, if the opponent is hit with the Obliterator weapon, the AUGUR increases all weapon damage (Cumulative) by 0%</v>
      </c>
    </row>
    <row r="24" spans="1:24" x14ac:dyDescent="0.25">
      <c r="B24" s="154" t="s">
        <v>197</v>
      </c>
      <c r="E24" s="317">
        <f t="shared" si="3"/>
        <v>0</v>
      </c>
      <c r="F24" s="317">
        <f t="shared" si="4"/>
        <v>60</v>
      </c>
      <c r="G24" s="154" t="str">
        <f t="shared" si="2"/>
        <v>The Mining Rate of Crystal is increased by 0%</v>
      </c>
    </row>
    <row r="25" spans="1:24" x14ac:dyDescent="0.25">
      <c r="B25" s="154" t="s">
        <v>176</v>
      </c>
      <c r="E25" s="317">
        <f t="shared" si="3"/>
        <v>0</v>
      </c>
      <c r="F25" s="317">
        <f t="shared" si="4"/>
        <v>45</v>
      </c>
      <c r="G25" s="154" t="str">
        <f t="shared" si="2"/>
        <v>When defending the Station, The BORTAS increases the damage of all the other ships and Defense Platforms by 0%</v>
      </c>
    </row>
    <row r="26" spans="1:24" x14ac:dyDescent="0.25">
      <c r="B26" s="154" t="s">
        <v>165</v>
      </c>
      <c r="E26" s="317">
        <f t="shared" si="3"/>
        <v>0</v>
      </c>
      <c r="F26" s="317">
        <f t="shared" si="4"/>
        <v>45</v>
      </c>
      <c r="G26" s="154" t="str">
        <f t="shared" si="2"/>
        <v>The Botany Bay's Mining Bonus from the Mining Laser, when mining Corrupted Data and Decoded Data, is increased by 0%</v>
      </c>
    </row>
    <row r="27" spans="1:24" x14ac:dyDescent="0.25">
      <c r="B27" s="154" t="s">
        <v>177</v>
      </c>
      <c r="E27" s="317">
        <f t="shared" si="3"/>
        <v>0</v>
      </c>
      <c r="F27" s="317">
        <f t="shared" si="4"/>
        <v>45</v>
      </c>
      <c r="G27" s="154" t="str">
        <f t="shared" si="2"/>
        <v>When fighting Hostiles, for the first round of Combat, the B'REL decreases the opponent's ship Armor Piercing, Shield Piercing and Accuracy by 0%</v>
      </c>
    </row>
    <row r="28" spans="1:24" x14ac:dyDescent="0.25">
      <c r="B28" s="154" t="s">
        <v>185</v>
      </c>
      <c r="E28" s="317">
        <f t="shared" si="3"/>
        <v>0</v>
      </c>
      <c r="F28" s="317">
        <f t="shared" si="4"/>
        <v>45</v>
      </c>
      <c r="G28" s="154" t="str">
        <f t="shared" si="2"/>
        <v>When defending , The CENTURION increases the Armor, Shield deflection and Dodge of all ships and defense platforms by 0%</v>
      </c>
    </row>
    <row r="29" spans="1:24" x14ac:dyDescent="0.25">
      <c r="B29" s="154" t="s">
        <v>1708</v>
      </c>
      <c r="E29" s="317">
        <f t="shared" si="3"/>
        <v>0</v>
      </c>
      <c r="F29" s="317">
        <f t="shared" si="4"/>
        <v>60</v>
      </c>
      <c r="G29" s="154" t="str">
        <f t="shared" ref="G29" si="6">IF(E29&gt;0,IFERROR(VLOOKUP(B29&amp;"Ability",ShipList,3,FALSE),"") &amp; IFERROR(VLOOKUP(B29&amp;"Ability",ShipList,E29+3,FALSE)*100&amp;"%",""),IFERROR(VLOOKUP(B29&amp;"Ability",ShipList,3,FALSE),"")&amp;"0%")</f>
        <v>Each time the Corvus is hit, it increases the Armor Piercing, Shield Piercing, and Accuracy (Cumulative) by  0%</v>
      </c>
    </row>
    <row r="30" spans="1:24" x14ac:dyDescent="0.25">
      <c r="B30" s="154" t="s">
        <v>175</v>
      </c>
      <c r="E30" s="317">
        <f t="shared" si="3"/>
        <v>0</v>
      </c>
      <c r="F30" s="317">
        <f t="shared" si="4"/>
        <v>45</v>
      </c>
      <c r="G30" s="154" t="str">
        <f t="shared" si="2"/>
        <v>The D3 CLASS's weapon damage is increased, against Romulan ships, by 0%</v>
      </c>
    </row>
    <row r="31" spans="1:24" x14ac:dyDescent="0.25">
      <c r="B31" s="154" t="s">
        <v>178</v>
      </c>
      <c r="E31" s="317">
        <f t="shared" si="3"/>
        <v>0</v>
      </c>
      <c r="F31" s="317">
        <f t="shared" si="4"/>
        <v>45</v>
      </c>
      <c r="G31" s="154" t="str">
        <f t="shared" si="2"/>
        <v>As long as the opponent has a Hull Breach, The D4 Increases its Weapon Damage, every round (cumulative) by 0%</v>
      </c>
    </row>
    <row r="32" spans="1:24" x14ac:dyDescent="0.25">
      <c r="B32" s="154" t="s">
        <v>1762</v>
      </c>
      <c r="E32" s="317">
        <f t="shared" si="3"/>
        <v>0</v>
      </c>
      <c r="F32" s="317">
        <f t="shared" si="4"/>
        <v>60</v>
      </c>
      <c r="G32" s="154" t="str">
        <f t="shared" ref="G32" si="7">IF(E32&gt;0,IFERROR(VLOOKUP(B32&amp;"Ability",ShipList,3,FALSE),"") &amp; IFERROR(VLOOKUP(B32&amp;"Ability",ShipList,E32+3,FALSE)*100&amp;"%",""),IFERROR(VLOOKUP(B32&amp;"Ability",ShipList,3,FALSE),"")&amp;"0%")</f>
        <v>As long as the opponent is Burning, the D'deridex increases the number of shots of each weapon (cumulative) by 0%</v>
      </c>
    </row>
    <row r="33" spans="2:7" x14ac:dyDescent="0.25">
      <c r="B33" s="154" t="s">
        <v>1986</v>
      </c>
      <c r="E33" s="317">
        <f t="shared" si="3"/>
        <v>0</v>
      </c>
      <c r="F33" s="317">
        <f t="shared" si="4"/>
        <v>60</v>
      </c>
      <c r="G33" s="154" t="str">
        <f t="shared" ref="G33" si="8">IF(E33&gt;0,IFERROR(VLOOKUP(B33&amp;"Ability",ShipList,3,FALSE),"") &amp; IFERROR(VLOOKUP(B33&amp;"Ability",ShipList,E33+3,FALSE)*100&amp;"%",""),IFERROR(VLOOKUP(B33&amp;"Ability",ShipList,3,FALSE),"")&amp;"0%")</f>
        <v>Mining bonus for Concentrated Latinum 0%</v>
      </c>
    </row>
    <row r="34" spans="2:7" x14ac:dyDescent="0.25">
      <c r="B34" s="154" t="s">
        <v>158</v>
      </c>
      <c r="E34" s="317">
        <f t="shared" si="3"/>
        <v>0</v>
      </c>
      <c r="F34" s="317">
        <f t="shared" si="4"/>
        <v>20</v>
      </c>
      <c r="G34" s="154" t="str">
        <f t="shared" si="2"/>
        <v>The Mining Rate of Parsteel is increased by 0%</v>
      </c>
    </row>
    <row r="35" spans="2:7" x14ac:dyDescent="0.25">
      <c r="B35" s="154" t="s">
        <v>172</v>
      </c>
      <c r="E35" s="317">
        <f t="shared" si="3"/>
        <v>0</v>
      </c>
      <c r="F35" s="317">
        <f t="shared" si="4"/>
        <v>45</v>
      </c>
      <c r="G35" s="154" t="str">
        <f t="shared" si="2"/>
        <v>The Mining Rate of Dilithium is increased by 0%</v>
      </c>
    </row>
    <row r="36" spans="2:7" x14ac:dyDescent="0.25">
      <c r="B36" s="154" t="s">
        <v>163</v>
      </c>
      <c r="E36" s="317">
        <f t="shared" si="3"/>
        <v>0</v>
      </c>
      <c r="F36" s="317">
        <f t="shared" si="4"/>
        <v>35</v>
      </c>
      <c r="G36" s="154" t="str">
        <f t="shared" si="2"/>
        <v>The Mining Rate of Tritanium is increased by 0%</v>
      </c>
    </row>
    <row r="37" spans="2:7" x14ac:dyDescent="0.25">
      <c r="B37" s="154" t="s">
        <v>170</v>
      </c>
      <c r="E37" s="317">
        <f t="shared" si="3"/>
        <v>0</v>
      </c>
      <c r="F37" s="317">
        <f t="shared" si="4"/>
        <v>45</v>
      </c>
      <c r="G37" s="154" t="str">
        <f t="shared" si="2"/>
        <v>The D'Vor's Mining Bonus from the Mining Laser, when mining Raw Latinum, is increased by 0%</v>
      </c>
    </row>
    <row r="38" spans="2:7" x14ac:dyDescent="0.25">
      <c r="B38" s="154" t="s">
        <v>186</v>
      </c>
      <c r="E38" s="317">
        <f t="shared" si="3"/>
        <v>0</v>
      </c>
      <c r="F38" s="317">
        <f t="shared" si="4"/>
        <v>45</v>
      </c>
      <c r="G38" s="154" t="str">
        <f t="shared" si="2"/>
        <v>When fighting Hostiles, the GLADIUS increases damage by 0%</v>
      </c>
    </row>
    <row r="39" spans="2:7" x14ac:dyDescent="0.25">
      <c r="B39" s="154" t="s">
        <v>202</v>
      </c>
      <c r="E39" s="317">
        <f t="shared" si="3"/>
        <v>0</v>
      </c>
      <c r="F39" s="317">
        <f t="shared" si="4"/>
        <v>60</v>
      </c>
      <c r="G39" s="154" t="str">
        <f t="shared" si="2"/>
        <v>As long as the opponent has a Hull Breach, every time the Hegh'ta hits it with a weapon attack, it increases the Critical Hit Chances by 0%</v>
      </c>
    </row>
    <row r="40" spans="2:7" x14ac:dyDescent="0.25">
      <c r="B40" s="154" t="s">
        <v>190</v>
      </c>
      <c r="E40" s="317">
        <f t="shared" si="3"/>
        <v>0</v>
      </c>
      <c r="F40" s="317">
        <f t="shared" si="4"/>
        <v>45</v>
      </c>
      <c r="G40" s="154" t="str">
        <f t="shared" si="2"/>
        <v>The D3 CLASS's weapon damage is increased, against Romulan ships, by 0%</v>
      </c>
    </row>
    <row r="41" spans="2:7" x14ac:dyDescent="0.25">
      <c r="B41" s="154" t="s">
        <v>192</v>
      </c>
      <c r="E41" s="317">
        <f t="shared" si="3"/>
        <v>0</v>
      </c>
      <c r="F41" s="317">
        <f t="shared" si="4"/>
        <v>45</v>
      </c>
      <c r="G41" s="154" t="str">
        <f t="shared" si="2"/>
        <v>The LEGIONARY's weapon damage is increased, against Federation ships, by 0%</v>
      </c>
    </row>
    <row r="42" spans="2:7" x14ac:dyDescent="0.25">
      <c r="B42" s="154" t="s">
        <v>191</v>
      </c>
      <c r="E42" s="317">
        <f t="shared" si="3"/>
        <v>0</v>
      </c>
      <c r="F42" s="317">
        <f t="shared" si="4"/>
        <v>45</v>
      </c>
      <c r="G42" s="154" t="str">
        <f t="shared" si="2"/>
        <v>The USS MAYFLOWER's weapon damage is increased against Klingon ships by 0%</v>
      </c>
    </row>
    <row r="43" spans="2:7" x14ac:dyDescent="0.25">
      <c r="B43" s="154" t="s">
        <v>193</v>
      </c>
      <c r="E43" s="317">
        <f t="shared" si="3"/>
        <v>0</v>
      </c>
      <c r="F43" s="317">
        <f t="shared" si="4"/>
        <v>60</v>
      </c>
      <c r="G43" s="154" t="str">
        <f t="shared" si="2"/>
        <v>The ISS Jellyfish gains additional damage bonus at the start of every combat round (This bonus stacks with no limit) by 0%</v>
      </c>
    </row>
    <row r="44" spans="2:7" x14ac:dyDescent="0.25">
      <c r="B44" s="154" t="s">
        <v>161</v>
      </c>
      <c r="E44" s="317">
        <f t="shared" si="3"/>
        <v>0</v>
      </c>
      <c r="F44" s="317">
        <f t="shared" si="4"/>
        <v>35</v>
      </c>
      <c r="G44" s="154" t="str">
        <f t="shared" si="2"/>
        <v>The JELLYFISH increases the effectiveness of its Captain Maneuver by 0%</v>
      </c>
    </row>
    <row r="45" spans="2:7" x14ac:dyDescent="0.25">
      <c r="B45" s="154" t="s">
        <v>166</v>
      </c>
      <c r="E45" s="317">
        <f t="shared" si="3"/>
        <v>0</v>
      </c>
      <c r="F45" s="317">
        <f t="shared" si="4"/>
        <v>45</v>
      </c>
      <c r="G45" s="154" t="str">
        <f t="shared" si="2"/>
        <v>If the opponent's ship is a Battleship, the KEHRA increases its Armor Piercing by 0%</v>
      </c>
    </row>
    <row r="46" spans="2:7" x14ac:dyDescent="0.25">
      <c r="B46" s="154" t="s">
        <v>201</v>
      </c>
      <c r="E46" s="317">
        <f t="shared" si="3"/>
        <v>0</v>
      </c>
      <c r="F46" s="317">
        <f t="shared" si="4"/>
        <v>60</v>
      </c>
      <c r="G46" s="154" t="str">
        <f t="shared" si="2"/>
        <v>The Korinar gains more resources from Hostiles by 0%</v>
      </c>
    </row>
    <row r="47" spans="2:7" x14ac:dyDescent="0.25">
      <c r="B47" s="154" t="s">
        <v>200</v>
      </c>
      <c r="E47" s="317">
        <f t="shared" si="3"/>
        <v>0</v>
      </c>
      <c r="F47" s="317">
        <f t="shared" si="4"/>
        <v>60</v>
      </c>
      <c r="G47" s="154" t="str">
        <f t="shared" si="2"/>
        <v>When defending,at the start of each round, the K'T'inga increases the Damage of all Ships and Defense Platforms by 0%</v>
      </c>
    </row>
    <row r="48" spans="2:7" x14ac:dyDescent="0.25">
      <c r="B48" s="154" t="s">
        <v>168</v>
      </c>
      <c r="E48" s="317">
        <f t="shared" si="3"/>
        <v>0</v>
      </c>
      <c r="F48" s="317">
        <f t="shared" si="4"/>
        <v>45</v>
      </c>
      <c r="G48" s="154" t="str">
        <f t="shared" si="2"/>
        <v>If the opponent's ship is an Explorer, the KUMARI increases its Shield Piercing by 0%</v>
      </c>
    </row>
    <row r="49" spans="2:7" x14ac:dyDescent="0.25">
      <c r="B49" s="154" t="s">
        <v>198</v>
      </c>
      <c r="E49" s="317">
        <f t="shared" si="3"/>
        <v>0</v>
      </c>
      <c r="F49" s="317">
        <f t="shared" si="4"/>
        <v>45</v>
      </c>
      <c r="G49" s="154" t="str">
        <f t="shared" si="2"/>
        <v>The Mining Rate of Crystal is increased by 0%</v>
      </c>
    </row>
    <row r="50" spans="2:7" x14ac:dyDescent="0.25">
      <c r="B50" s="154" t="s">
        <v>184</v>
      </c>
      <c r="E50" s="317">
        <f t="shared" si="3"/>
        <v>0</v>
      </c>
      <c r="F50" s="317">
        <f t="shared" si="4"/>
        <v>45</v>
      </c>
      <c r="G50" s="154" t="str">
        <f t="shared" si="2"/>
        <v>The LEGIONARY's weapon damage is increased, against Federation ships, by 0%</v>
      </c>
    </row>
    <row r="51" spans="2:7" x14ac:dyDescent="0.25">
      <c r="B51" s="154" t="s">
        <v>908</v>
      </c>
      <c r="E51" s="317">
        <f t="shared" si="3"/>
        <v>0</v>
      </c>
      <c r="F51" s="317">
        <f t="shared" si="4"/>
        <v>45</v>
      </c>
      <c r="G51" s="154" t="str">
        <f t="shared" si="2"/>
        <v>The Meridian's Mining Bonus from the Mining Laser is increased, when mining Isogen, by 0%</v>
      </c>
    </row>
    <row r="52" spans="2:7" x14ac:dyDescent="0.25">
      <c r="B52" s="154" t="s">
        <v>169</v>
      </c>
      <c r="E52" s="317">
        <f t="shared" si="3"/>
        <v>0</v>
      </c>
      <c r="F52" s="317">
        <f t="shared" si="4"/>
        <v>45</v>
      </c>
      <c r="G52" s="154" t="str">
        <f t="shared" si="2"/>
        <v>The mining rate of 3★ Gas, Ore and Crystal is increased by % per total Officer Health point of all Officers on the ship
(0.20% of 1000 total Health gives a mining bonus of 200%) 0%</v>
      </c>
    </row>
    <row r="53" spans="2:7" x14ac:dyDescent="0.25">
      <c r="B53" s="154" t="s">
        <v>1783</v>
      </c>
      <c r="E53" s="317">
        <f t="shared" si="3"/>
        <v>0</v>
      </c>
      <c r="F53" s="317">
        <f t="shared" si="4"/>
        <v>45</v>
      </c>
      <c r="G53" s="154" t="str">
        <f t="shared" ref="G53" si="9">IF(E53&gt;0,IFERROR(VLOOKUP(B53&amp;"Ability",ShipList,3,FALSE),"") &amp; IFERROR(VLOOKUP(B53&amp;"Ability",ShipList,E53+3,FALSE)*100&amp;"%",""),IFERROR(VLOOKUP(B53&amp;"Ability",ShipList,3,FALSE),"")&amp;"0%")</f>
        <v>When mining 5* Crystal, Gas and Ore, The Nova's mining speed is increased by 0%</v>
      </c>
    </row>
    <row r="54" spans="2:7" x14ac:dyDescent="0.25">
      <c r="B54" s="154" t="s">
        <v>157</v>
      </c>
      <c r="E54" s="317">
        <f t="shared" si="3"/>
        <v>0</v>
      </c>
      <c r="F54" s="317">
        <f t="shared" si="4"/>
        <v>20</v>
      </c>
      <c r="G54" s="154" t="str">
        <f>IF(E54&gt;0,IFERROR(VLOOKUP(B54&amp;"Ability",ShipList,3,FALSE),"") &amp; IFERROR(VLOOKUP(B54&amp;"Ability",ShipList,E54+3,FALSE),""),IFERROR(VLOOKUP(B54&amp;"Ability",ShipList,3,FALSE),"")&amp;"0")</f>
        <v>The Maximum Hull Health of the ORION CORVETTE is increased by 0</v>
      </c>
    </row>
    <row r="55" spans="2:7" x14ac:dyDescent="0.25">
      <c r="B55" s="154" t="s">
        <v>159</v>
      </c>
      <c r="E55" s="317">
        <f t="shared" si="3"/>
        <v>0</v>
      </c>
      <c r="F55" s="317">
        <f t="shared" si="4"/>
        <v>35</v>
      </c>
      <c r="G55" s="154" t="str">
        <f t="shared" si="2"/>
        <v>If the opponent's ship is a Battleship, the PHINDRA increases its Weapon Damage by 0%</v>
      </c>
    </row>
    <row r="56" spans="2:7" x14ac:dyDescent="0.25">
      <c r="B56" s="154" t="s">
        <v>205</v>
      </c>
      <c r="E56" s="317">
        <f t="shared" si="3"/>
        <v>0</v>
      </c>
      <c r="F56" s="317">
        <f t="shared" si="4"/>
        <v>60</v>
      </c>
      <c r="G56" s="154" t="str">
        <f t="shared" si="2"/>
        <v>The Pilum gains more resources from Hostiles by 0%</v>
      </c>
    </row>
    <row r="57" spans="2:7" x14ac:dyDescent="0.25">
      <c r="B57" s="154" t="s">
        <v>1784</v>
      </c>
      <c r="E57" s="317">
        <f t="shared" si="3"/>
        <v>0</v>
      </c>
      <c r="F57" s="317">
        <f t="shared" si="4"/>
        <v>60</v>
      </c>
      <c r="G57" s="154" t="str">
        <f t="shared" ref="G57" si="10">IF(E57&gt;0,IFERROR(VLOOKUP(B57&amp;"Ability",ShipList,3,FALSE),"") &amp; IFERROR(VLOOKUP(B57&amp;"Ability",ShipList,E57+3,FALSE)*100&amp;"%",""),IFERROR(VLOOKUP(B57&amp;"Ability",ShipList,3,FALSE),"")&amp;"0%")</f>
        <v>When fighting Hostiles, the Quv'Sompek decreases Hostile Armor Piercing, Shield Piercing, and Accuracy, for the first 5 rounds of combat, by  0%</v>
      </c>
    </row>
    <row r="58" spans="2:7" x14ac:dyDescent="0.25">
      <c r="B58" s="154" t="s">
        <v>156</v>
      </c>
      <c r="E58" s="317">
        <f t="shared" si="3"/>
        <v>0</v>
      </c>
      <c r="F58" s="317">
        <f t="shared" si="4"/>
        <v>20</v>
      </c>
      <c r="G58" s="154" t="str">
        <f>IF(E58&gt;0,IFERROR(VLOOKUP(B58&amp;"Ability",ShipList,3,FALSE),"") &amp; IFERROR(VLOOKUP(B58&amp;"Ability",ShipList,E58+3,FALSE),""),IFERROR(VLOOKUP(B58&amp;"Ability",ShipList,3,FALSE),"")&amp;"0")</f>
        <v>The Maximum Shield Health of the REALTA is increased by 0</v>
      </c>
    </row>
    <row r="59" spans="2:7" x14ac:dyDescent="0.25">
      <c r="B59" s="154" t="s">
        <v>1799</v>
      </c>
      <c r="E59" s="317">
        <f t="shared" si="3"/>
        <v>0</v>
      </c>
      <c r="F59" s="317">
        <f t="shared" si="4"/>
        <v>60</v>
      </c>
      <c r="G59" s="154" t="str">
        <f>IF(E59&gt;0,IFERROR(VLOOKUP(B59&amp;"Ability",ShipList,3,FALSE),"") &amp; IFERROR(VLOOKUP(B59&amp;"Ability",ShipList,E59+3,FALSE),""),IFERROR(VLOOKUP(B59&amp;"Ability",ShipList,3,FALSE),"")&amp;"0")</f>
        <v>As long as the opponent has a Hull Breach, every time the Rotarran deals a Critical Hit with a weapon attack, it increases the Critical Hit Damage (cumulative) by 0</v>
      </c>
    </row>
    <row r="60" spans="2:7" x14ac:dyDescent="0.25">
      <c r="B60" s="154" t="s">
        <v>1808</v>
      </c>
      <c r="E60" s="317">
        <f t="shared" si="3"/>
        <v>0</v>
      </c>
      <c r="F60" s="317">
        <f t="shared" si="4"/>
        <v>60</v>
      </c>
      <c r="G60" s="154" t="str">
        <f>IF(E60&gt;0,IFERROR(VLOOKUP(B60&amp;"Ability",ShipList,3,FALSE),"") &amp; IFERROR(VLOOKUP(B60&amp;"Ability",ShipList,E60+3,FALSE),""),IFERROR(VLOOKUP(B60&amp;"Ability",ShipList,3,FALSE),"")&amp;"0")</f>
        <v>When fighting Hostiles, at the beginning of each round for the first 5 rounds of combat, the Sanctus decreases Hostile Shield Health by 0</v>
      </c>
    </row>
    <row r="61" spans="2:7" x14ac:dyDescent="0.25">
      <c r="B61" s="154" t="s">
        <v>174</v>
      </c>
      <c r="E61" s="317">
        <f t="shared" si="3"/>
        <v>0</v>
      </c>
      <c r="F61" s="317">
        <f t="shared" si="4"/>
        <v>60</v>
      </c>
      <c r="G61" s="154" t="str">
        <f t="shared" si="2"/>
        <v>When attacking or defending on a capture or mining node in an active Takeover, the Sarcophagus' Weapon Damage is increased by 0%</v>
      </c>
    </row>
    <row r="62" spans="2:7" x14ac:dyDescent="0.25">
      <c r="B62" s="154" t="s">
        <v>189</v>
      </c>
      <c r="E62" s="317">
        <f t="shared" si="3"/>
        <v>0</v>
      </c>
      <c r="F62" s="317">
        <f t="shared" si="4"/>
        <v>45</v>
      </c>
      <c r="G62" s="154" t="str">
        <f t="shared" ref="G62:G88" si="11">IF(E62&gt;0,IFERROR(VLOOKUP(B62&amp;"Ability",ShipList,3,FALSE),"") &amp; IFERROR(VLOOKUP(B62&amp;"Ability",ShipList,E62+3,FALSE)*100&amp;"%",""),IFERROR(VLOOKUP(B62&amp;"Ability",ShipList,3,FALSE),"")&amp;"0%")</f>
        <v>The D3 CLASS's weapon damage is increased, against Romulan ships, by 0%</v>
      </c>
    </row>
    <row r="63" spans="2:7" x14ac:dyDescent="0.25">
      <c r="B63" s="154" t="s">
        <v>173</v>
      </c>
      <c r="E63" s="317">
        <f t="shared" si="3"/>
        <v>0</v>
      </c>
      <c r="F63" s="317">
        <f t="shared" si="4"/>
        <v>45</v>
      </c>
      <c r="G63" s="154" t="str">
        <f t="shared" si="11"/>
        <v>The STELLA increases the reward you get from Eclipse hostiles and Armada Targets by 0%</v>
      </c>
    </row>
    <row r="64" spans="2:7" x14ac:dyDescent="0.25">
      <c r="B64" s="154" t="s">
        <v>162</v>
      </c>
      <c r="E64" s="317">
        <f t="shared" si="3"/>
        <v>0</v>
      </c>
      <c r="F64" s="317">
        <f t="shared" si="4"/>
        <v>35</v>
      </c>
      <c r="G64" s="154" t="str">
        <f t="shared" si="11"/>
        <v>If the opponent's ship is an Explorer, the TALLA increases its Weapon Damage by 0%</v>
      </c>
    </row>
    <row r="65" spans="2:7" x14ac:dyDescent="0.25">
      <c r="B65" s="154" t="s">
        <v>206</v>
      </c>
      <c r="E65" s="317">
        <f t="shared" si="3"/>
        <v>0</v>
      </c>
      <c r="F65" s="317">
        <f t="shared" si="4"/>
        <v>60</v>
      </c>
      <c r="G65" s="154" t="str">
        <f t="shared" si="11"/>
        <v>As long as the opponent is Burning at the start of a round, the Tribune increases the number of shots of each weapon,  for this round,  by 0%</v>
      </c>
    </row>
    <row r="66" spans="2:7" x14ac:dyDescent="0.25">
      <c r="B66" s="154" t="s">
        <v>160</v>
      </c>
      <c r="E66" s="317">
        <f t="shared" si="3"/>
        <v>0</v>
      </c>
      <c r="F66" s="317">
        <f t="shared" si="4"/>
        <v>35</v>
      </c>
      <c r="G66" s="154" t="str">
        <f t="shared" si="11"/>
        <v>If the opponent's ship is an Interceptor, the TURAS increases its Weapon Damage by 0%</v>
      </c>
    </row>
    <row r="67" spans="2:7" x14ac:dyDescent="0.25">
      <c r="B67" s="154" t="s">
        <v>183</v>
      </c>
      <c r="E67" s="317">
        <f t="shared" si="3"/>
        <v>0</v>
      </c>
      <c r="F67" s="317">
        <f t="shared" si="4"/>
        <v>45</v>
      </c>
      <c r="G67" s="154" t="str">
        <f t="shared" si="11"/>
        <v>The Mining Rate of Gas is increased by 0%</v>
      </c>
    </row>
    <row r="68" spans="2:7" x14ac:dyDescent="0.25">
      <c r="B68" s="154" t="s">
        <v>2290</v>
      </c>
      <c r="E68" s="317">
        <f t="shared" si="3"/>
        <v>0</v>
      </c>
      <c r="F68" s="317">
        <f t="shared" si="4"/>
        <v>60</v>
      </c>
      <c r="G68" s="154" t="str">
        <f>IF(E68&gt;0,IFERROR(VLOOKUP(B68&amp;"Ability",ShipList,3,FALSE),"") &amp; IFERROR(VLOOKUP(B68&amp;"Ability",ShipList,E68+3,FALSE),""),IFERROR(VLOOKUP(B68&amp;"Ability",ShipList,3,FALSE),"")&amp;"0")</f>
        <v>When the USS Cerritos supports another ship, increase the support duration by 0</v>
      </c>
    </row>
    <row r="69" spans="2:7" x14ac:dyDescent="0.25">
      <c r="B69" s="154" t="s">
        <v>1809</v>
      </c>
      <c r="E69" s="317">
        <f t="shared" si="3"/>
        <v>0</v>
      </c>
      <c r="F69" s="317">
        <f t="shared" si="4"/>
        <v>60</v>
      </c>
      <c r="G69" s="154" t="str">
        <f t="shared" ref="G69" si="12">IF(E69&gt;0,IFERROR(VLOOKUP(B69&amp;"Ability",ShipList,3,FALSE),"") &amp; IFERROR(VLOOKUP(B69&amp;"Ability",ShipList,E69+3,FALSE)*100&amp;"%",""),IFERROR(VLOOKUP(B69&amp;"Ability",ShipList,3,FALSE),"")&amp;"0%")</f>
        <v>When fighting Hostiles, for the first 5 rounds of combat, the USS Crozier decreases Hostile Critical Hit Damage by 0%</v>
      </c>
    </row>
    <row r="70" spans="2:7" x14ac:dyDescent="0.25">
      <c r="B70" s="154" t="s">
        <v>171</v>
      </c>
      <c r="E70" s="317">
        <f t="shared" si="3"/>
        <v>0</v>
      </c>
      <c r="F70" s="317">
        <f t="shared" si="4"/>
        <v>45</v>
      </c>
      <c r="G70" s="154" t="str">
        <f t="shared" si="11"/>
        <v>The USS Discovery's Mycelium harvesting speed is increased by 0%</v>
      </c>
    </row>
    <row r="71" spans="2:7" x14ac:dyDescent="0.25">
      <c r="B71" s="154" t="s">
        <v>182</v>
      </c>
      <c r="E71" s="317">
        <f t="shared" si="3"/>
        <v>0</v>
      </c>
      <c r="F71" s="317">
        <f t="shared" si="4"/>
        <v>45</v>
      </c>
      <c r="G71" s="154" t="str">
        <f t="shared" si="11"/>
        <v>As long as the ship has Morale, the USS ENTERPRISE heals the Shield Health, whenever it gets hit, by 0%</v>
      </c>
    </row>
    <row r="72" spans="2:7" x14ac:dyDescent="0.25">
      <c r="B72" s="154" t="s">
        <v>213</v>
      </c>
      <c r="E72" s="317">
        <f t="shared" si="3"/>
        <v>0</v>
      </c>
      <c r="F72" s="317">
        <f t="shared" si="4"/>
        <v>60</v>
      </c>
      <c r="G72" s="154" t="str">
        <f t="shared" si="11"/>
        <v>As long as the USS Enterprise A has Morale , everytime it gets hit, it increases the Weapon Damage by 0%</v>
      </c>
    </row>
    <row r="73" spans="2:7" x14ac:dyDescent="0.25">
      <c r="B73" s="154" t="s">
        <v>1817</v>
      </c>
      <c r="E73" s="317">
        <f t="shared" si="3"/>
        <v>0</v>
      </c>
      <c r="F73" s="317">
        <f t="shared" si="4"/>
        <v>60</v>
      </c>
      <c r="G73" s="154" t="str">
        <f t="shared" ref="G73" si="13">IF(E73&gt;0,IFERROR(VLOOKUP(B73&amp;"Ability",ShipList,3,FALSE),"") &amp; IFERROR(VLOOKUP(B73&amp;"Ability",ShipList,E73+3,FALSE)*100&amp;"%",""),IFERROR(VLOOKUP(B73&amp;"Ability",ShipList,3,FALSE),"")&amp;"0%")</f>
        <v>As long as the ship has Morale, the USS Enterprise-D increases the Weapon Damage, each round (cumulative), by 0%</v>
      </c>
    </row>
    <row r="74" spans="2:7" x14ac:dyDescent="0.25">
      <c r="B74" s="154" t="s">
        <v>164</v>
      </c>
      <c r="E74" s="317">
        <f t="shared" si="3"/>
        <v>0</v>
      </c>
      <c r="F74" s="317">
        <f t="shared" si="4"/>
        <v>45</v>
      </c>
      <c r="G74" s="154" t="str">
        <f t="shared" si="11"/>
        <v>When fighting Swarm ships, The Franklin's Damage is increased by 0%</v>
      </c>
    </row>
    <row r="75" spans="2:7" x14ac:dyDescent="0.25">
      <c r="B75" s="154" t="s">
        <v>695</v>
      </c>
      <c r="E75" s="317">
        <f t="shared" si="3"/>
        <v>0</v>
      </c>
      <c r="F75" s="317">
        <f t="shared" si="4"/>
        <v>60</v>
      </c>
      <c r="G75" s="154" t="str">
        <f t="shared" si="11"/>
        <v>When fighting Swarm Hostiles or Swarm Armadas, The Franklin-A's Damage is increased by 0%</v>
      </c>
    </row>
    <row r="76" spans="2:7" x14ac:dyDescent="0.25">
      <c r="B76" s="154" t="s">
        <v>194</v>
      </c>
      <c r="E76" s="317">
        <f t="shared" si="3"/>
        <v>0</v>
      </c>
      <c r="F76" s="317">
        <f t="shared" si="4"/>
        <v>60</v>
      </c>
      <c r="G76" s="154" t="str">
        <f t="shared" si="11"/>
        <v>The Mining Rate of Gas is increased by 0%</v>
      </c>
    </row>
    <row r="77" spans="2:7" x14ac:dyDescent="0.25">
      <c r="B77" s="154" t="s">
        <v>181</v>
      </c>
      <c r="E77" s="317">
        <f t="shared" si="3"/>
        <v>0</v>
      </c>
      <c r="F77" s="317">
        <f t="shared" si="4"/>
        <v>45</v>
      </c>
      <c r="G77" s="154" t="str">
        <f t="shared" si="11"/>
        <v>When fighting Hostiles, The USS INTREPID increases its Armor, Shield Deflection and Dodge by 0%</v>
      </c>
    </row>
    <row r="78" spans="2:7" x14ac:dyDescent="0.25">
      <c r="B78" s="154" t="s">
        <v>195</v>
      </c>
      <c r="E78" s="317">
        <f t="shared" si="3"/>
        <v>0</v>
      </c>
      <c r="F78" s="317">
        <f t="shared" si="4"/>
        <v>60</v>
      </c>
      <c r="G78" s="154" t="str">
        <f t="shared" si="11"/>
        <v>When defending, at the start of each round, the USS Kelvin increases the Shield Piercing, Armor Piercing and Accuracy of every Ship and Defense Platform by 0%</v>
      </c>
    </row>
    <row r="79" spans="2:7" x14ac:dyDescent="0.25">
      <c r="B79" s="154" t="s">
        <v>179</v>
      </c>
      <c r="E79" s="317">
        <f t="shared" si="3"/>
        <v>0</v>
      </c>
      <c r="F79" s="317">
        <f t="shared" si="4"/>
        <v>45</v>
      </c>
      <c r="G79" s="154" t="str">
        <f t="shared" si="11"/>
        <v>The USS MAYFLOWER's weapon damage is increased against Klingon ships by 0%</v>
      </c>
    </row>
    <row r="80" spans="2:7" x14ac:dyDescent="0.25">
      <c r="B80" s="154" t="s">
        <v>196</v>
      </c>
      <c r="E80" s="317">
        <f t="shared" si="3"/>
        <v>0</v>
      </c>
      <c r="F80" s="317">
        <f t="shared" si="4"/>
        <v>60</v>
      </c>
      <c r="G80" s="154" t="str">
        <f t="shared" si="11"/>
        <v>The USS Newton increases resources gained from Hostiles by 0%</v>
      </c>
    </row>
    <row r="81" spans="1:24" x14ac:dyDescent="0.25">
      <c r="B81" s="154" t="s">
        <v>1829</v>
      </c>
      <c r="E81" s="317">
        <f t="shared" si="3"/>
        <v>0</v>
      </c>
      <c r="F81" s="317">
        <f t="shared" si="4"/>
        <v>60</v>
      </c>
      <c r="G81" s="154" t="str">
        <f t="shared" ref="G81" si="14">IF(E81&gt;0,IFERROR(VLOOKUP(B81&amp;"Ability",ShipList,3,FALSE),"") &amp; IFERROR(VLOOKUP(B81&amp;"Ability",ShipList,E81+3,FALSE)*100&amp;"%",""),IFERROR(VLOOKUP(B81&amp;"Ability",ShipList,3,FALSE),"")&amp;"0%")</f>
        <v>Each time the USS Northcutt is hit, it increases the Weapon Damage (cumulative) by 0%</v>
      </c>
    </row>
    <row r="82" spans="1:24" x14ac:dyDescent="0.25">
      <c r="B82" s="154" t="s">
        <v>180</v>
      </c>
      <c r="E82" s="317">
        <f t="shared" si="3"/>
        <v>0</v>
      </c>
      <c r="F82" s="317">
        <f t="shared" si="4"/>
        <v>45</v>
      </c>
      <c r="G82" s="154" t="str">
        <f t="shared" si="11"/>
        <v>When the Station or the USS SALADIN gets attacked, it increases the Shield Health of all the ships and Defense Platforms by 0%</v>
      </c>
    </row>
    <row r="83" spans="1:24" x14ac:dyDescent="0.25">
      <c r="B83" s="154" t="s">
        <v>167</v>
      </c>
      <c r="E83" s="317">
        <f t="shared" si="3"/>
        <v>0</v>
      </c>
      <c r="F83" s="317">
        <f t="shared" si="4"/>
        <v>45</v>
      </c>
      <c r="G83" s="154" t="str">
        <f t="shared" si="11"/>
        <v>If the opponent's ship is an Interceptor, the VAHKLAS increases its Accuracy by 0%</v>
      </c>
    </row>
    <row r="84" spans="1:24" x14ac:dyDescent="0.25">
      <c r="B84" s="154" t="s">
        <v>204</v>
      </c>
      <c r="E84" s="317">
        <f t="shared" si="3"/>
        <v>0</v>
      </c>
      <c r="F84" s="317">
        <f t="shared" si="4"/>
        <v>60</v>
      </c>
      <c r="G84" s="154" t="str">
        <f t="shared" si="11"/>
        <v>When defending, at the start of each round, the Valdore increases the Shield Deflection, Armor and Dodge of all ships and Defense platforms by 0%</v>
      </c>
    </row>
    <row r="85" spans="1:24" x14ac:dyDescent="0.25">
      <c r="B85" s="154" t="s">
        <v>188</v>
      </c>
      <c r="E85" s="317">
        <f t="shared" si="3"/>
        <v>0</v>
      </c>
      <c r="F85" s="317">
        <f t="shared" si="4"/>
        <v>45</v>
      </c>
      <c r="G85" s="154" t="str">
        <f t="shared" si="11"/>
        <v>The Mining Rate of Ore is increased by 0%</v>
      </c>
    </row>
    <row r="86" spans="1:24" x14ac:dyDescent="0.25">
      <c r="B86" s="154" t="s">
        <v>199</v>
      </c>
      <c r="E86" s="317">
        <f t="shared" si="3"/>
        <v>0</v>
      </c>
      <c r="F86" s="317">
        <f t="shared" si="4"/>
        <v>45</v>
      </c>
      <c r="G86" s="154" t="str">
        <f t="shared" si="11"/>
        <v>The Vi'dar's Damage in increased, against Borg hostiles, by 0%</v>
      </c>
    </row>
    <row r="87" spans="1:24" x14ac:dyDescent="0.25">
      <c r="B87" s="154" t="s">
        <v>1830</v>
      </c>
      <c r="E87" s="317">
        <f t="shared" ref="E87:E88" si="15">IFERROR(INDEX(ImportShipLevel,MATCH(B87,ImportShipList,0)),0)</f>
        <v>0</v>
      </c>
      <c r="F87" s="317">
        <f t="shared" ref="F87:F88" si="16">VLOOKUP(B87&amp;"Crew",ShipList,2,FALSE)</f>
        <v>60</v>
      </c>
      <c r="G87" s="154" t="str">
        <f t="shared" ref="G87" si="17">IF(E87&gt;0,IFERROR(VLOOKUP(B87&amp;"Ability",ShipList,3,FALSE),"") &amp; IFERROR(VLOOKUP(B87&amp;"Ability",ShipList,E87+3,FALSE)*100&amp;"%",""),IFERROR(VLOOKUP(B87&amp;"Ability",ShipList,3,FALSE),"")&amp;"0%")</f>
        <v>Each time the Vor'Cha is hit, it increases the Critical Hit Damage (cumulative) by 0%</v>
      </c>
    </row>
    <row r="88" spans="1:24" x14ac:dyDescent="0.25">
      <c r="B88" s="154" t="s">
        <v>203</v>
      </c>
      <c r="E88" s="317">
        <f t="shared" si="15"/>
        <v>0</v>
      </c>
      <c r="F88" s="317">
        <f t="shared" si="16"/>
        <v>60</v>
      </c>
      <c r="G88" s="154" t="str">
        <f t="shared" si="11"/>
        <v>The Mining Rate of Ore is increased by 0%</v>
      </c>
    </row>
    <row r="89" spans="1:24" s="13" customFormat="1" ht="27.75" customHeight="1" x14ac:dyDescent="0.25">
      <c r="A89" s="37"/>
      <c r="B89" s="38"/>
      <c r="C89" s="38"/>
      <c r="D89" s="39"/>
      <c r="E89" s="39"/>
      <c r="F89" s="39"/>
      <c r="G89" s="39"/>
      <c r="H89" s="39"/>
      <c r="I89" s="39"/>
      <c r="J89" s="39"/>
      <c r="K89" s="39"/>
      <c r="L89" s="39"/>
      <c r="M89" s="39"/>
      <c r="N89" s="39"/>
      <c r="O89" s="39"/>
      <c r="P89" s="39"/>
      <c r="Q89" s="39"/>
      <c r="R89" s="39"/>
      <c r="S89" s="39"/>
      <c r="T89" s="39"/>
      <c r="U89" s="39"/>
      <c r="V89" s="39"/>
      <c r="W89" s="39"/>
      <c r="X89" s="40"/>
    </row>
  </sheetData>
  <mergeCells count="10">
    <mergeCell ref="E16:G16"/>
    <mergeCell ref="E17:G17"/>
    <mergeCell ref="F7:S9"/>
    <mergeCell ref="E14:G14"/>
    <mergeCell ref="E5:H5"/>
    <mergeCell ref="J6:K6"/>
    <mergeCell ref="L6:M6"/>
    <mergeCell ref="N6:O6"/>
    <mergeCell ref="E15:G15"/>
    <mergeCell ref="E13:G13"/>
  </mergeCells>
  <conditionalFormatting sqref="J6:K6">
    <cfRule type="expression" dxfId="58" priority="10">
      <formula>VLOOKUP(J5,RankLookup,3,FALSE) = 0</formula>
    </cfRule>
    <cfRule type="expression" dxfId="57" priority="11">
      <formula>VLOOKUP(J5,RankLookup,3,FALSE) &gt;= VLOOKUP(E5,PSFull,5,FALSE)</formula>
    </cfRule>
  </conditionalFormatting>
  <conditionalFormatting sqref="L6:M6">
    <cfRule type="expression" dxfId="56" priority="8">
      <formula>VLOOKUP(L5,RankLookup,3,FALSE) =0</formula>
    </cfRule>
    <cfRule type="expression" dxfId="55" priority="9">
      <formula>VLOOKUP(L5,RankLookup,3,FALSE) &gt;= VLOOKUP(E5,PSFull,3,FALSE)</formula>
    </cfRule>
  </conditionalFormatting>
  <conditionalFormatting sqref="N6:O6">
    <cfRule type="expression" dxfId="54" priority="6">
      <formula>VLOOKUP(N5,RankLookup,3,FALSE) = 0</formula>
    </cfRule>
    <cfRule type="expression" dxfId="53" priority="7">
      <formula>VLOOKUP(N5,RankLookup,3,FALSE) &gt;= VLOOKUP(E5,PSFull,7,FALSE)</formula>
    </cfRule>
  </conditionalFormatting>
  <conditionalFormatting sqref="I14:T17">
    <cfRule type="cellIs" dxfId="52" priority="5" operator="equal">
      <formula>0</formula>
    </cfRule>
  </conditionalFormatting>
  <conditionalFormatting sqref="C89">
    <cfRule type="expression" dxfId="51" priority="1">
      <formula>B89="E"</formula>
    </cfRule>
    <cfRule type="expression" dxfId="50" priority="2">
      <formula>B89="R"</formula>
    </cfRule>
    <cfRule type="expression" dxfId="49" priority="3">
      <formula>B89="U"</formula>
    </cfRule>
    <cfRule type="expression" dxfId="48" priority="4">
      <formula>B89="C"</formula>
    </cfRule>
  </conditionalFormatting>
  <dataValidations count="2">
    <dataValidation type="list" allowBlank="1" showInputMessage="1" showErrorMessage="1" sqref="E5:H5">
      <formula1>ShipNames</formula1>
    </dataValidation>
    <dataValidation type="custom" allowBlank="1" showErrorMessage="1" errorTitle="Incorrect Level" error="Level exceeds ship's maximum level." sqref="E22:E88">
      <formula1>E22&lt;=F22</formula1>
    </dataValidation>
  </dataValidation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5C548"/>
  </sheetPr>
  <dimension ref="A1:Y184"/>
  <sheetViews>
    <sheetView workbookViewId="0">
      <pane ySplit="25" topLeftCell="A30" activePane="bottomLeft" state="frozen"/>
      <selection pane="bottomLeft" activeCell="D5" sqref="D5:I5"/>
    </sheetView>
  </sheetViews>
  <sheetFormatPr defaultRowHeight="15.75" x14ac:dyDescent="0.25"/>
  <cols>
    <col min="1" max="1" width="7.140625" style="154" customWidth="1"/>
    <col min="2" max="2" width="9.140625" style="154" customWidth="1"/>
    <col min="3" max="3" width="11.28515625" style="154" customWidth="1"/>
    <col min="4" max="20" width="9.140625" style="154"/>
    <col min="21" max="21" width="13.85546875" style="154" customWidth="1"/>
    <col min="22" max="22" width="11.28515625" style="154" customWidth="1"/>
    <col min="23" max="16384" width="9.140625" style="154"/>
  </cols>
  <sheetData>
    <row r="1" spans="1:25" ht="6" customHeight="1" thickBot="1" x14ac:dyDescent="0.3"/>
    <row r="2" spans="1:25" s="296" customFormat="1" ht="17.25" customHeight="1" thickBot="1" x14ac:dyDescent="0.3">
      <c r="A2" s="288"/>
      <c r="B2" s="288"/>
      <c r="C2" s="289"/>
      <c r="D2" s="290"/>
      <c r="E2" s="291"/>
      <c r="F2" s="291"/>
      <c r="G2" s="291"/>
      <c r="H2" s="291"/>
      <c r="I2" s="52">
        <v>653.81600000000003</v>
      </c>
      <c r="J2" s="290"/>
      <c r="K2" s="291"/>
      <c r="L2" s="291"/>
      <c r="M2" s="291"/>
      <c r="N2" s="291"/>
      <c r="O2" s="291"/>
      <c r="P2" s="292"/>
      <c r="Q2" s="293"/>
      <c r="R2" s="293"/>
      <c r="S2" s="293"/>
      <c r="T2" s="294"/>
      <c r="U2" s="295"/>
      <c r="V2" s="295"/>
      <c r="W2" s="295"/>
      <c r="X2" s="295"/>
    </row>
    <row r="3" spans="1:25" s="296" customFormat="1" ht="19.5" customHeight="1" x14ac:dyDescent="0.25">
      <c r="A3" s="288"/>
      <c r="B3" s="288"/>
      <c r="C3" s="297"/>
      <c r="D3" s="297"/>
      <c r="G3" s="161"/>
      <c r="H3" s="161"/>
      <c r="I3" s="161"/>
      <c r="J3" s="161"/>
      <c r="S3" s="297"/>
      <c r="T3" s="297"/>
      <c r="U3" s="298"/>
      <c r="V3" s="295"/>
      <c r="W3" s="295"/>
      <c r="X3" s="295"/>
    </row>
    <row r="4" spans="1:25" ht="19.5" customHeight="1" thickBot="1" x14ac:dyDescent="0.3">
      <c r="D4" s="666" t="s">
        <v>1554</v>
      </c>
      <c r="E4" s="666"/>
      <c r="G4" s="161"/>
      <c r="H4" s="161"/>
      <c r="I4" s="161"/>
      <c r="J4" s="343"/>
      <c r="K4" s="666" t="s">
        <v>1500</v>
      </c>
      <c r="L4" s="666"/>
      <c r="M4" s="666" t="s">
        <v>1501</v>
      </c>
      <c r="N4" s="666"/>
      <c r="O4" s="666" t="s">
        <v>1502</v>
      </c>
      <c r="P4" s="666"/>
      <c r="Q4" s="666" t="s">
        <v>1503</v>
      </c>
      <c r="R4" s="666"/>
      <c r="S4" s="665" t="s">
        <v>1701</v>
      </c>
      <c r="T4" s="665"/>
      <c r="U4" s="665"/>
    </row>
    <row r="5" spans="1:25" ht="16.5" customHeight="1" x14ac:dyDescent="0.25">
      <c r="A5" s="155"/>
      <c r="B5" s="156"/>
      <c r="D5" s="676"/>
      <c r="E5" s="676"/>
      <c r="F5" s="676"/>
      <c r="G5" s="676"/>
      <c r="H5" s="676"/>
      <c r="I5" s="676"/>
      <c r="K5" s="669" t="str">
        <f>IFERROR(VLOOKUP($D$5,AwayMissionsFull,8,FALSE)&amp;"","")</f>
        <v/>
      </c>
      <c r="L5" s="669"/>
      <c r="M5" s="669" t="str">
        <f>IFERROR(VLOOKUP($D$5,AwayMissionsFull,9,FALSE)&amp;"","")</f>
        <v/>
      </c>
      <c r="N5" s="669"/>
      <c r="O5" s="670" t="str">
        <f>IFERROR(VLOOKUP($D$5,AwayMissionsFull,10,FALSE)&amp;"","")</f>
        <v/>
      </c>
      <c r="P5" s="671"/>
      <c r="Q5" s="670" t="str">
        <f>IFERROR(VLOOKUP($D$5,AwayMissionsFull,11,FALSE)&amp;"","")</f>
        <v/>
      </c>
      <c r="R5" s="671"/>
      <c r="S5" s="662"/>
      <c r="T5" s="663"/>
      <c r="U5" s="664"/>
      <c r="V5" s="452"/>
      <c r="W5" s="158"/>
      <c r="Y5" s="154" t="str">
        <f ca="1">IFERROR(INDEX(TraitOfficers, SMALL(IF(ISNUMBER(MATCH(TraitNames,$K$5, 0)), MATCH(ROW(TraitNames), ROW(TraitNames)), ""), ROWS($A$1:A1)))&amp;" ("&amp;IFERROR(VLOOKUP(IFERROR(INDEX(TraitOfficers, SMALL(IF(ISNUMBER(MATCH(TraitNames,$K$5, 0)), MATCH(ROW(TraitNames), ROW(TraitNames)), ""), ROWS($A$1:A1))),""),TraitFull,(SUMPRODUCT(--(TraitNames=$K$5)*COLUMN(TraitNames))/COUNTIF(TraitNames,$K$5)+1),FALSE),"")&amp;")","")</f>
        <v/>
      </c>
    </row>
    <row r="6" spans="1:25" ht="16.5" customHeight="1" x14ac:dyDescent="0.25">
      <c r="A6" s="159"/>
      <c r="B6" s="166"/>
      <c r="K6" s="369" t="str">
        <f t="array" aca="1" ref="K6" ca="1">IFERROR(INDEX(TraitOfficers, SMALL(IF(ISNUMBER(MATCH(TraitNames,$K$5, 0)), MATCH(ROW(TraitNames), ROW(TraitNames)), ""), ROWS($A$1:A1)))&amp;" ("&amp;IFERROR(VLOOKUP(IFERROR(INDEX(TraitOfficers, SMALL(IF(ISNUMBER(MATCH(TraitNames,$K$5, 0)), MATCH(ROW(TraitNames), ROW(TraitNames)), ""), ROWS($A$1:A1))),""),TraitFull,(SUMPRODUCT(--(TraitNames=$K$5)*COLUMN(TraitNames))/COUNTIF(TraitNames,$K$5)+1),FALSE),"")&amp;")","")</f>
        <v/>
      </c>
      <c r="L6" s="367"/>
      <c r="M6" s="365" t="str">
        <f t="array" aca="1" ref="M6" ca="1">IFERROR(INDEX(TraitOfficers, SMALL(IF(ISNUMBER(MATCH(TraitNames,$M$5, 0)), MATCH(ROW(TraitNames), ROW(TraitNames)), ""), ROWS($A$1:A1)))&amp;" ("&amp;IFERROR(VLOOKUP(IFERROR(INDEX(TraitOfficers, SMALL(IF(ISNUMBER(MATCH(TraitNames,$M$5, 0)), MATCH(ROW(TraitNames), ROW(TraitNames)), ""), ROWS($A$1:A1))),""),TraitFull,(SUMPRODUCT(--(TraitNames=$M$5)*COLUMN(TraitNames))/COUNTIF(TraitNames,$M$5)+1),FALSE),"")&amp;")","")</f>
        <v/>
      </c>
      <c r="N6" s="367"/>
      <c r="O6" s="369" t="str">
        <f t="array" aca="1" ref="O6" ca="1">IFERROR(INDEX(TraitOfficers, SMALL(IF(ISNUMBER(MATCH(TraitNames,$O$5, 0)), MATCH(ROW(TraitNames), ROW(TraitNames)), ""), ROWS($A$1:A1)))&amp;" ("&amp;IFERROR(VLOOKUP(IFERROR(INDEX(TraitOfficers, SMALL(IF(ISNUMBER(MATCH(TraitNames,$O$5, 0)), MATCH(ROW(TraitNames), ROW(TraitNames)), ""), ROWS($A$1:A1))),""),TraitFull,(SUMPRODUCT(--(TraitNames=$O$5)*COLUMN(TraitNames))/COUNTIF(TraitNames,$O$5)+1),FALSE),"")&amp;")","")</f>
        <v/>
      </c>
      <c r="P6" s="367"/>
      <c r="Q6" s="369" t="str">
        <f t="array" aca="1" ref="Q6" ca="1">IFERROR(INDEX(TraitOfficers, SMALL(IF(ISNUMBER(MATCH(TraitNames,$Q$5, 0)), MATCH(ROW(TraitNames), ROW(TraitNames)), ""), ROWS($A$1:A1)))&amp;" ("&amp;IFERROR(VLOOKUP(IFERROR(INDEX(TraitOfficers, SMALL(IF(ISNUMBER(MATCH(TraitNames,$Q$5, 0)), MATCH(ROW(TraitNames), ROW(TraitNames)), ""), ROWS($A$1:A1))),""),TraitFull,(SUMPRODUCT(--(TraitNames=$Q$5)*COLUMN(TraitNames))/COUNTIF(TraitNames,$Q$5)+1),FALSE),"")&amp;")","")</f>
        <v/>
      </c>
      <c r="R6" s="365"/>
      <c r="S6" s="441" t="str">
        <f>'AM Lookup'!AE2</f>
        <v/>
      </c>
      <c r="T6" s="450"/>
      <c r="U6" s="455" t="str">
        <f>'AM Lookup'!AF2</f>
        <v/>
      </c>
      <c r="V6" s="444"/>
      <c r="W6" s="163"/>
    </row>
    <row r="7" spans="1:25" ht="16.5" customHeight="1" x14ac:dyDescent="0.25">
      <c r="A7" s="159"/>
      <c r="B7" s="153" t="s">
        <v>1603</v>
      </c>
      <c r="D7" s="362" t="s">
        <v>327</v>
      </c>
      <c r="E7" s="364"/>
      <c r="F7" s="672" t="str">
        <f>IFERROR(VLOOKUP($D$5,AwayMissionsFull,2,FALSE)&amp;"","")</f>
        <v/>
      </c>
      <c r="G7" s="672"/>
      <c r="H7" s="672"/>
      <c r="I7" s="672"/>
      <c r="K7" s="366" t="str">
        <f t="array" aca="1" ref="K7" ca="1">IFERROR(INDEX(TraitOfficers, SMALL(IF(ISNUMBER(MATCH(TraitNames,$K$5, 0)), MATCH(ROW(TraitNames), ROW(TraitNames)), ""), ROWS($A$1:A2)))&amp;" ("&amp;IFERROR(VLOOKUP(IFERROR(INDEX(TraitOfficers, SMALL(IF(ISNUMBER(MATCH(TraitNames,$K$5, 0)), MATCH(ROW(TraitNames), ROW(TraitNames)), ""), ROWS($A$1:A2))),""),TraitFull,(SUMPRODUCT(--(TraitNames=$K$5)*COLUMN(TraitNames))/COUNTIF(TraitNames,$K$5)+1),FALSE),"")&amp;")","")</f>
        <v/>
      </c>
      <c r="L7" s="368"/>
      <c r="M7" s="344" t="str">
        <f t="array" aca="1" ref="M7" ca="1">IFERROR(INDEX(TraitOfficers, SMALL(IF(ISNUMBER(MATCH(TraitNames,$M$5, 0)), MATCH(ROW(TraitNames), ROW(TraitNames)), ""), ROWS($A$1:A2)))&amp;" ("&amp;IFERROR(VLOOKUP(IFERROR(INDEX(TraitOfficers, SMALL(IF(ISNUMBER(MATCH(TraitNames,$M$5, 0)), MATCH(ROW(TraitNames), ROW(TraitNames)), ""), ROWS($A$1:A2))),""),TraitFull,(SUMPRODUCT(--(TraitNames=$M$5)*COLUMN(TraitNames))/COUNTIF(TraitNames,$M$5)+1),FALSE),"")&amp;")","")</f>
        <v/>
      </c>
      <c r="N7" s="368"/>
      <c r="O7" s="366" t="str">
        <f t="array" aca="1" ref="O7" ca="1">IFERROR(INDEX(TraitOfficers, SMALL(IF(ISNUMBER(MATCH(TraitNames,$O$5, 0)), MATCH(ROW(TraitNames), ROW(TraitNames)), ""), ROWS($A$1:A2)))&amp;" ("&amp;IFERROR(VLOOKUP(IFERROR(INDEX(TraitOfficers, SMALL(IF(ISNUMBER(MATCH(TraitNames,$O$5, 0)), MATCH(ROW(TraitNames), ROW(TraitNames)), ""), ROWS($A$1:A2))),""),TraitFull,(SUMPRODUCT(--(TraitNames=$O$5)*COLUMN(TraitNames))/COUNTIF(TraitNames,$O$5)+1),FALSE),"")&amp;")","")</f>
        <v/>
      </c>
      <c r="P7" s="368"/>
      <c r="Q7" s="366" t="str">
        <f t="array" aca="1" ref="Q7" ca="1">IFERROR(INDEX(TraitOfficers, SMALL(IF(ISNUMBER(MATCH(TraitNames,$Q$5, 0)), MATCH(ROW(TraitNames), ROW(TraitNames)), ""), ROWS($A$1:A2)))&amp;" ("&amp;IFERROR(VLOOKUP(IFERROR(INDEX(TraitOfficers, SMALL(IF(ISNUMBER(MATCH(TraitNames,$Q$5, 0)), MATCH(ROW(TraitNames), ROW(TraitNames)), ""), ROWS($A$1:A2))),""),TraitFull,(SUMPRODUCT(--(TraitNames=$Q$5)*COLUMN(TraitNames))/COUNTIF(TraitNames,$Q$5)+1),FALSE),"")&amp;")","")</f>
        <v/>
      </c>
      <c r="R7" s="344"/>
      <c r="S7" s="442" t="str">
        <f>'AM Lookup'!AE3</f>
        <v/>
      </c>
      <c r="T7" s="161"/>
      <c r="U7" s="454" t="str">
        <f>'AM Lookup'!AF3</f>
        <v/>
      </c>
      <c r="V7" s="444"/>
      <c r="W7" s="163"/>
    </row>
    <row r="8" spans="1:25" ht="16.5" customHeight="1" x14ac:dyDescent="0.25">
      <c r="A8" s="159"/>
      <c r="B8" s="153" t="s">
        <v>1553</v>
      </c>
      <c r="D8" s="362" t="s">
        <v>1499</v>
      </c>
      <c r="E8" s="354"/>
      <c r="F8" s="673" t="str">
        <f>IFERROR(VLOOKUP($D$5,AwayMissionsFull,3,FALSE)&amp;"","")</f>
        <v/>
      </c>
      <c r="G8" s="673"/>
      <c r="H8" s="673"/>
      <c r="I8" s="673"/>
      <c r="K8" s="366" t="str">
        <f t="array" aca="1" ref="K8" ca="1">IFERROR(INDEX(TraitOfficers, SMALL(IF(ISNUMBER(MATCH(TraitNames,$K$5, 0)), MATCH(ROW(TraitNames), ROW(TraitNames)), ""), ROWS($A$1:A3)))&amp;" ("&amp;IFERROR(VLOOKUP(IFERROR(INDEX(TraitOfficers, SMALL(IF(ISNUMBER(MATCH(TraitNames,$K$5, 0)), MATCH(ROW(TraitNames), ROW(TraitNames)), ""), ROWS($A$1:A3))),""),TraitFull,(SUMPRODUCT(--(TraitNames=$K$5)*COLUMN(TraitNames))/COUNTIF(TraitNames,$K$5)+1),FALSE),"")&amp;")","")</f>
        <v/>
      </c>
      <c r="L8" s="368"/>
      <c r="M8" s="344" t="str">
        <f t="array" aca="1" ref="M8" ca="1">IFERROR(INDEX(TraitOfficers, SMALL(IF(ISNUMBER(MATCH(TraitNames,$M$5, 0)), MATCH(ROW(TraitNames), ROW(TraitNames)), ""), ROWS($A$1:A3)))&amp;" ("&amp;IFERROR(VLOOKUP(IFERROR(INDEX(TraitOfficers, SMALL(IF(ISNUMBER(MATCH(TraitNames,$M$5, 0)), MATCH(ROW(TraitNames), ROW(TraitNames)), ""), ROWS($A$1:A3))),""),TraitFull,(SUMPRODUCT(--(TraitNames=$M$5)*COLUMN(TraitNames))/COUNTIF(TraitNames,$M$5)+1),FALSE),"")&amp;")","")</f>
        <v/>
      </c>
      <c r="N8" s="368"/>
      <c r="O8" s="366" t="str">
        <f t="array" aca="1" ref="O8" ca="1">IFERROR(INDEX(TraitOfficers, SMALL(IF(ISNUMBER(MATCH(TraitNames,$O$5, 0)), MATCH(ROW(TraitNames), ROW(TraitNames)), ""), ROWS($A$1:A3)))&amp;" ("&amp;IFERROR(VLOOKUP(IFERROR(INDEX(TraitOfficers, SMALL(IF(ISNUMBER(MATCH(TraitNames,$O$5, 0)), MATCH(ROW(TraitNames), ROW(TraitNames)), ""), ROWS($A$1:A3))),""),TraitFull,(SUMPRODUCT(--(TraitNames=$O$5)*COLUMN(TraitNames))/COUNTIF(TraitNames,$O$5)+1),FALSE),"")&amp;")","")</f>
        <v/>
      </c>
      <c r="P8" s="368"/>
      <c r="Q8" s="366" t="str">
        <f t="array" aca="1" ref="Q8" ca="1">IFERROR(INDEX(TraitOfficers, SMALL(IF(ISNUMBER(MATCH(TraitNames,$Q$5, 0)), MATCH(ROW(TraitNames), ROW(TraitNames)), ""), ROWS($A$1:A3)))&amp;" ("&amp;IFERROR(VLOOKUP(IFERROR(INDEX(TraitOfficers, SMALL(IF(ISNUMBER(MATCH(TraitNames,$Q$5, 0)), MATCH(ROW(TraitNames), ROW(TraitNames)), ""), ROWS($A$1:A3))),""),TraitFull,(SUMPRODUCT(--(TraitNames=$Q$5)*COLUMN(TraitNames))/COUNTIF(TraitNames,$Q$5)+1),FALSE),"")&amp;")","")</f>
        <v/>
      </c>
      <c r="R8" s="344"/>
      <c r="S8" s="442" t="str">
        <f>'AM Lookup'!AE4</f>
        <v/>
      </c>
      <c r="T8" s="347"/>
      <c r="U8" s="454" t="str">
        <f>'AM Lookup'!AF4</f>
        <v/>
      </c>
      <c r="V8" s="444"/>
      <c r="W8" s="163"/>
    </row>
    <row r="9" spans="1:25" ht="16.5" customHeight="1" thickBot="1" x14ac:dyDescent="0.3">
      <c r="A9" s="159"/>
      <c r="B9" s="153" t="s">
        <v>1604</v>
      </c>
      <c r="D9" s="182" t="s">
        <v>2155</v>
      </c>
      <c r="F9" s="677" t="str">
        <f>IFERROR(VLOOKUP($D$5,AwayMissionsFull,12,FALSE)&amp;"","")</f>
        <v/>
      </c>
      <c r="G9" s="678"/>
      <c r="H9" s="678"/>
      <c r="I9" s="679"/>
      <c r="K9" s="366" t="str">
        <f t="array" aca="1" ref="K9" ca="1">IFERROR(INDEX(TraitOfficers, SMALL(IF(ISNUMBER(MATCH(TraitNames,$K$5, 0)), MATCH(ROW(TraitNames), ROW(TraitNames)), ""), ROWS($A$1:A4)))&amp;" ("&amp;IFERROR(VLOOKUP(IFERROR(INDEX(TraitOfficers, SMALL(IF(ISNUMBER(MATCH(TraitNames,$K$5, 0)), MATCH(ROW(TraitNames), ROW(TraitNames)), ""), ROWS($A$1:A4))),""),TraitFull,(SUMPRODUCT(--(TraitNames=$K$5)*COLUMN(TraitNames))/COUNTIF(TraitNames,$K$5)+1),FALSE),"")&amp;")","")</f>
        <v/>
      </c>
      <c r="L9" s="368"/>
      <c r="M9" s="344" t="str">
        <f t="array" aca="1" ref="M9" ca="1">IFERROR(INDEX(TraitOfficers, SMALL(IF(ISNUMBER(MATCH(TraitNames,$M$5, 0)), MATCH(ROW(TraitNames), ROW(TraitNames)), ""), ROWS($A$1:A4)))&amp;" ("&amp;IFERROR(VLOOKUP(IFERROR(INDEX(TraitOfficers, SMALL(IF(ISNUMBER(MATCH(TraitNames,$M$5, 0)), MATCH(ROW(TraitNames), ROW(TraitNames)), ""), ROWS($A$1:A4))),""),TraitFull,(SUMPRODUCT(--(TraitNames=$M$5)*COLUMN(TraitNames))/COUNTIF(TraitNames,$M$5)+1),FALSE),"")&amp;")","")</f>
        <v/>
      </c>
      <c r="N9" s="368"/>
      <c r="O9" s="366" t="str">
        <f t="array" aca="1" ref="O9" ca="1">IFERROR(INDEX(TraitOfficers, SMALL(IF(ISNUMBER(MATCH(TraitNames,$O$5, 0)), MATCH(ROW(TraitNames), ROW(TraitNames)), ""), ROWS($A$1:A4)))&amp;" ("&amp;IFERROR(VLOOKUP(IFERROR(INDEX(TraitOfficers, SMALL(IF(ISNUMBER(MATCH(TraitNames,$O$5, 0)), MATCH(ROW(TraitNames), ROW(TraitNames)), ""), ROWS($A$1:A4))),""),TraitFull,(SUMPRODUCT(--(TraitNames=$O$5)*COLUMN(TraitNames))/COUNTIF(TraitNames,$O$5)+1),FALSE),"")&amp;")","")</f>
        <v/>
      </c>
      <c r="P9" s="368"/>
      <c r="Q9" s="366" t="str">
        <f t="array" aca="1" ref="Q9" ca="1">IFERROR(INDEX(TraitOfficers, SMALL(IF(ISNUMBER(MATCH(TraitNames,$Q$5, 0)), MATCH(ROW(TraitNames), ROW(TraitNames)), ""), ROWS($A$1:A4)))&amp;" ("&amp;IFERROR(VLOOKUP(IFERROR(INDEX(TraitOfficers, SMALL(IF(ISNUMBER(MATCH(TraitNames,$Q$5, 0)), MATCH(ROW(TraitNames), ROW(TraitNames)), ""), ROWS($A$1:A4))),""),TraitFull,(SUMPRODUCT(--(TraitNames=$Q$5)*COLUMN(TraitNames))/COUNTIF(TraitNames,$Q$5)+1),FALSE),"")&amp;")","")</f>
        <v/>
      </c>
      <c r="R9" s="344"/>
      <c r="S9" s="442" t="str">
        <f>'AM Lookup'!AE5</f>
        <v/>
      </c>
      <c r="T9" s="347"/>
      <c r="U9" s="454" t="str">
        <f>'AM Lookup'!AF5</f>
        <v/>
      </c>
      <c r="V9" s="445"/>
      <c r="W9" s="165"/>
    </row>
    <row r="10" spans="1:25" ht="16.5" thickBot="1" x14ac:dyDescent="0.3">
      <c r="A10" s="159"/>
      <c r="B10" s="166"/>
      <c r="D10" s="362" t="s">
        <v>1516</v>
      </c>
      <c r="F10" s="674" t="str">
        <f>IFERROR(VLOOKUP($D$5,AwayMissionsFull,4,FALSE)&amp;"","")</f>
        <v/>
      </c>
      <c r="G10" s="674"/>
      <c r="H10" s="674"/>
      <c r="I10" s="674"/>
      <c r="K10" s="366" t="str">
        <f t="array" aca="1" ref="K10" ca="1">IFERROR(INDEX(TraitOfficers, SMALL(IF(ISNUMBER(MATCH(TraitNames,$K$5, 0)), MATCH(ROW(TraitNames), ROW(TraitNames)), ""), ROWS($A$1:A5)))&amp;" ("&amp;IFERROR(VLOOKUP(IFERROR(INDEX(TraitOfficers, SMALL(IF(ISNUMBER(MATCH(TraitNames,$K$5, 0)), MATCH(ROW(TraitNames), ROW(TraitNames)), ""), ROWS($A$1:A5))),""),TraitFull,(SUMPRODUCT(--(TraitNames=$K$5)*COLUMN(TraitNames))/COUNTIF(TraitNames,$K$5)+1),FALSE),"")&amp;")","")</f>
        <v/>
      </c>
      <c r="L10" s="368"/>
      <c r="M10" s="344" t="str">
        <f t="array" aca="1" ref="M10" ca="1">IFERROR(INDEX(TraitOfficers, SMALL(IF(ISNUMBER(MATCH(TraitNames,$M$5, 0)), MATCH(ROW(TraitNames), ROW(TraitNames)), ""), ROWS($A$1:A5)))&amp;" ("&amp;IFERROR(VLOOKUP(IFERROR(INDEX(TraitOfficers, SMALL(IF(ISNUMBER(MATCH(TraitNames,$M$5, 0)), MATCH(ROW(TraitNames), ROW(TraitNames)), ""), ROWS($A$1:A5))),""),TraitFull,(SUMPRODUCT(--(TraitNames=$M$5)*COLUMN(TraitNames))/COUNTIF(TraitNames,$M$5)+1),FALSE),"")&amp;")","")</f>
        <v/>
      </c>
      <c r="N10" s="368"/>
      <c r="O10" s="366" t="str">
        <f t="array" aca="1" ref="O10" ca="1">IFERROR(INDEX(TraitOfficers, SMALL(IF(ISNUMBER(MATCH(TraitNames,$O$5, 0)), MATCH(ROW(TraitNames), ROW(TraitNames)), ""), ROWS($A$1:A5)))&amp;" ("&amp;IFERROR(VLOOKUP(IFERROR(INDEX(TraitOfficers, SMALL(IF(ISNUMBER(MATCH(TraitNames,$O$5, 0)), MATCH(ROW(TraitNames), ROW(TraitNames)), ""), ROWS($A$1:A5))),""),TraitFull,(SUMPRODUCT(--(TraitNames=$O$5)*COLUMN(TraitNames))/COUNTIF(TraitNames,$O$5)+1),FALSE),"")&amp;")","")</f>
        <v/>
      </c>
      <c r="P10" s="368"/>
      <c r="Q10" s="366" t="str">
        <f t="array" aca="1" ref="Q10" ca="1">IFERROR(INDEX(TraitOfficers, SMALL(IF(ISNUMBER(MATCH(TraitNames,$Q$5, 0)), MATCH(ROW(TraitNames), ROW(TraitNames)), ""), ROWS($A$1:A5)))&amp;" ("&amp;IFERROR(VLOOKUP(IFERROR(INDEX(TraitOfficers, SMALL(IF(ISNUMBER(MATCH(TraitNames,$Q$5, 0)), MATCH(ROW(TraitNames), ROW(TraitNames)), ""), ROWS($A$1:A5))),""),TraitFull,(SUMPRODUCT(--(TraitNames=$Q$5)*COLUMN(TraitNames))/COUNTIF(TraitNames,$Q$5)+1),FALSE),"")&amp;")","")</f>
        <v/>
      </c>
      <c r="R10" s="344"/>
      <c r="S10" s="442" t="str">
        <f>'AM Lookup'!AE6</f>
        <v/>
      </c>
      <c r="T10" s="347"/>
      <c r="U10" s="454" t="str">
        <f>'AM Lookup'!AF6</f>
        <v/>
      </c>
      <c r="V10" s="446"/>
      <c r="W10" s="168"/>
    </row>
    <row r="11" spans="1:25" ht="16.5" customHeight="1" thickBot="1" x14ac:dyDescent="0.3">
      <c r="A11" s="169"/>
      <c r="B11" s="170"/>
      <c r="F11" s="675" t="str">
        <f>IFERROR(VLOOKUP($D$5,AwayMissionsFull,5,FALSE)&amp;"","")</f>
        <v/>
      </c>
      <c r="G11" s="675"/>
      <c r="H11" s="675"/>
      <c r="I11" s="675"/>
      <c r="K11" s="366" t="str">
        <f t="array" aca="1" ref="K11" ca="1">IFERROR(INDEX(TraitOfficers, SMALL(IF(ISNUMBER(MATCH(TraitNames,$K$5, 0)), MATCH(ROW(TraitNames), ROW(TraitNames)), ""), ROWS($A$1:A6)))&amp;" ("&amp;IFERROR(VLOOKUP(IFERROR(INDEX(TraitOfficers, SMALL(IF(ISNUMBER(MATCH(TraitNames,$K$5, 0)), MATCH(ROW(TraitNames), ROW(TraitNames)), ""), ROWS($A$1:A6))),""),TraitFull,(SUMPRODUCT(--(TraitNames=$K$5)*COLUMN(TraitNames))/COUNTIF(TraitNames,$K$5)+1),FALSE),"")&amp;")","")</f>
        <v/>
      </c>
      <c r="L11" s="368"/>
      <c r="M11" s="344" t="str">
        <f t="array" aca="1" ref="M11" ca="1">IFERROR(INDEX(TraitOfficers, SMALL(IF(ISNUMBER(MATCH(TraitNames,$M$5, 0)), MATCH(ROW(TraitNames), ROW(TraitNames)), ""), ROWS($A$1:A6)))&amp;" ("&amp;IFERROR(VLOOKUP(IFERROR(INDEX(TraitOfficers, SMALL(IF(ISNUMBER(MATCH(TraitNames,$M$5, 0)), MATCH(ROW(TraitNames), ROW(TraitNames)), ""), ROWS($A$1:A6))),""),TraitFull,(SUMPRODUCT(--(TraitNames=$M$5)*COLUMN(TraitNames))/COUNTIF(TraitNames,$M$5)+1),FALSE),"")&amp;")","")</f>
        <v/>
      </c>
      <c r="N11" s="368"/>
      <c r="O11" s="366" t="str">
        <f t="array" aca="1" ref="O11" ca="1">IFERROR(INDEX(TraitOfficers, SMALL(IF(ISNUMBER(MATCH(TraitNames,$O$5, 0)), MATCH(ROW(TraitNames), ROW(TraitNames)), ""), ROWS($A$1:A6)))&amp;" ("&amp;IFERROR(VLOOKUP(IFERROR(INDEX(TraitOfficers, SMALL(IF(ISNUMBER(MATCH(TraitNames,$O$5, 0)), MATCH(ROW(TraitNames), ROW(TraitNames)), ""), ROWS($A$1:A6))),""),TraitFull,(SUMPRODUCT(--(TraitNames=$O$5)*COLUMN(TraitNames))/COUNTIF(TraitNames,$O$5)+1),FALSE),"")&amp;")","")</f>
        <v/>
      </c>
      <c r="P11" s="368"/>
      <c r="Q11" s="366" t="str">
        <f t="array" aca="1" ref="Q11" ca="1">IFERROR(INDEX(TraitOfficers, SMALL(IF(ISNUMBER(MATCH(TraitNames,$Q$5, 0)), MATCH(ROW(TraitNames), ROW(TraitNames)), ""), ROWS($A$1:A6)))&amp;" ("&amp;IFERROR(VLOOKUP(IFERROR(INDEX(TraitOfficers, SMALL(IF(ISNUMBER(MATCH(TraitNames,$Q$5, 0)), MATCH(ROW(TraitNames), ROW(TraitNames)), ""), ROWS($A$1:A6))),""),TraitFull,(SUMPRODUCT(--(TraitNames=$Q$5)*COLUMN(TraitNames))/COUNTIF(TraitNames,$Q$5)+1),FALSE),"")&amp;")","")</f>
        <v/>
      </c>
      <c r="R11" s="344"/>
      <c r="S11" s="442" t="str">
        <f>'AM Lookup'!AE7</f>
        <v/>
      </c>
      <c r="T11" s="347"/>
      <c r="U11" s="454" t="str">
        <f>'AM Lookup'!AF7</f>
        <v/>
      </c>
      <c r="V11" s="447"/>
      <c r="W11" s="172"/>
    </row>
    <row r="12" spans="1:25" ht="15.75" customHeight="1" x14ac:dyDescent="0.25">
      <c r="A12" s="173"/>
      <c r="B12" s="174"/>
      <c r="D12" s="161"/>
      <c r="E12" s="362"/>
      <c r="F12" s="667" t="str">
        <f>IFERROR(VLOOKUP($D$5,AwayMissionsFull,6,FALSE)&amp;"","")</f>
        <v/>
      </c>
      <c r="G12" s="667"/>
      <c r="H12" s="667"/>
      <c r="I12" s="667"/>
      <c r="K12" s="366" t="str">
        <f t="array" aca="1" ref="K12" ca="1">IFERROR(INDEX(TraitOfficers, SMALL(IF(ISNUMBER(MATCH(TraitNames,$K$5, 0)), MATCH(ROW(TraitNames), ROW(TraitNames)), ""), ROWS($A$1:A7)))&amp;" ("&amp;IFERROR(VLOOKUP(IFERROR(INDEX(TraitOfficers, SMALL(IF(ISNUMBER(MATCH(TraitNames,$K$5, 0)), MATCH(ROW(TraitNames), ROW(TraitNames)), ""), ROWS($A$1:A7))),""),TraitFull,(SUMPRODUCT(--(TraitNames=$K$5)*COLUMN(TraitNames))/COUNTIF(TraitNames,$K$5)+1),FALSE),"")&amp;")","")</f>
        <v/>
      </c>
      <c r="L12" s="368"/>
      <c r="M12" s="344" t="str">
        <f t="array" aca="1" ref="M12" ca="1">IFERROR(INDEX(TraitOfficers, SMALL(IF(ISNUMBER(MATCH(TraitNames,$M$5, 0)), MATCH(ROW(TraitNames), ROW(TraitNames)), ""), ROWS($A$1:A7)))&amp;" ("&amp;IFERROR(VLOOKUP(IFERROR(INDEX(TraitOfficers, SMALL(IF(ISNUMBER(MATCH(TraitNames,$M$5, 0)), MATCH(ROW(TraitNames), ROW(TraitNames)), ""), ROWS($A$1:A7))),""),TraitFull,(SUMPRODUCT(--(TraitNames=$M$5)*COLUMN(TraitNames))/COUNTIF(TraitNames,$M$5)+1),FALSE),"")&amp;")","")</f>
        <v/>
      </c>
      <c r="N12" s="368"/>
      <c r="O12" s="366" t="str">
        <f t="array" aca="1" ref="O12" ca="1">IFERROR(INDEX(TraitOfficers, SMALL(IF(ISNUMBER(MATCH(TraitNames,$O$5, 0)), MATCH(ROW(TraitNames), ROW(TraitNames)), ""), ROWS($A$1:A7)))&amp;" ("&amp;IFERROR(VLOOKUP(IFERROR(INDEX(TraitOfficers, SMALL(IF(ISNUMBER(MATCH(TraitNames,$O$5, 0)), MATCH(ROW(TraitNames), ROW(TraitNames)), ""), ROWS($A$1:A7))),""),TraitFull,(SUMPRODUCT(--(TraitNames=$O$5)*COLUMN(TraitNames))/COUNTIF(TraitNames,$O$5)+1),FALSE),"")&amp;")","")</f>
        <v/>
      </c>
      <c r="P12" s="368"/>
      <c r="Q12" s="366" t="str">
        <f t="array" aca="1" ref="Q12" ca="1">IFERROR(INDEX(TraitOfficers, SMALL(IF(ISNUMBER(MATCH(TraitNames,$Q$5, 0)), MATCH(ROW(TraitNames), ROW(TraitNames)), ""), ROWS($A$1:A7)))&amp;" ("&amp;IFERROR(VLOOKUP(IFERROR(INDEX(TraitOfficers, SMALL(IF(ISNUMBER(MATCH(TraitNames,$Q$5, 0)), MATCH(ROW(TraitNames), ROW(TraitNames)), ""), ROWS($A$1:A7))),""),TraitFull,(SUMPRODUCT(--(TraitNames=$Q$5)*COLUMN(TraitNames))/COUNTIF(TraitNames,$Q$5)+1),FALSE),"")&amp;")","")</f>
        <v/>
      </c>
      <c r="R12" s="344"/>
      <c r="S12" s="442" t="str">
        <f>'AM Lookup'!AE8</f>
        <v/>
      </c>
      <c r="T12" s="347"/>
      <c r="U12" s="454" t="str">
        <f>'AM Lookup'!AF8</f>
        <v/>
      </c>
      <c r="V12" s="448"/>
      <c r="W12" s="11" t="s">
        <v>139</v>
      </c>
    </row>
    <row r="13" spans="1:25" ht="15.75" customHeight="1" thickBot="1" x14ac:dyDescent="0.3">
      <c r="A13" s="176"/>
      <c r="B13" s="177"/>
      <c r="D13" s="363" t="s">
        <v>1555</v>
      </c>
      <c r="F13" s="668" t="str">
        <f>IFERROR(VLOOKUP($D$5,AwayMissionsFull,7,FALSE)&amp;"","")</f>
        <v/>
      </c>
      <c r="G13" s="668"/>
      <c r="H13" s="668"/>
      <c r="I13" s="668"/>
      <c r="K13" s="366" t="str">
        <f t="array" aca="1" ref="K13" ca="1">IFERROR(INDEX(TraitOfficers, SMALL(IF(ISNUMBER(MATCH(TraitNames,$K$5, 0)), MATCH(ROW(TraitNames), ROW(TraitNames)), ""), ROWS($A$1:A8)))&amp;" ("&amp;IFERROR(VLOOKUP(IFERROR(INDEX(TraitOfficers, SMALL(IF(ISNUMBER(MATCH(TraitNames,$K$5, 0)), MATCH(ROW(TraitNames), ROW(TraitNames)), ""), ROWS($A$1:A8))),""),TraitFull,(SUMPRODUCT(--(TraitNames=$K$5)*COLUMN(TraitNames))/COUNTIF(TraitNames,$K$5)+1),FALSE),"")&amp;")","")</f>
        <v/>
      </c>
      <c r="L13" s="368"/>
      <c r="M13" s="344" t="str">
        <f t="array" aca="1" ref="M13" ca="1">IFERROR(INDEX(TraitOfficers, SMALL(IF(ISNUMBER(MATCH(TraitNames,$M$5, 0)), MATCH(ROW(TraitNames), ROW(TraitNames)), ""), ROWS($A$1:A8)))&amp;" ("&amp;IFERROR(VLOOKUP(IFERROR(INDEX(TraitOfficers, SMALL(IF(ISNUMBER(MATCH(TraitNames,$M$5, 0)), MATCH(ROW(TraitNames), ROW(TraitNames)), ""), ROWS($A$1:A8))),""),TraitFull,(SUMPRODUCT(--(TraitNames=$M$5)*COLUMN(TraitNames))/COUNTIF(TraitNames,$M$5)+1),FALSE),"")&amp;")","")</f>
        <v/>
      </c>
      <c r="N13" s="368"/>
      <c r="O13" s="366" t="str">
        <f t="array" aca="1" ref="O13" ca="1">IFERROR(INDEX(TraitOfficers, SMALL(IF(ISNUMBER(MATCH(TraitNames,$O$5, 0)), MATCH(ROW(TraitNames), ROW(TraitNames)), ""), ROWS($A$1:A8)))&amp;" ("&amp;IFERROR(VLOOKUP(IFERROR(INDEX(TraitOfficers, SMALL(IF(ISNUMBER(MATCH(TraitNames,$O$5, 0)), MATCH(ROW(TraitNames), ROW(TraitNames)), ""), ROWS($A$1:A8))),""),TraitFull,(SUMPRODUCT(--(TraitNames=$O$5)*COLUMN(TraitNames))/COUNTIF(TraitNames,$O$5)+1),FALSE),"")&amp;")","")</f>
        <v/>
      </c>
      <c r="P13" s="368"/>
      <c r="Q13" s="366" t="str">
        <f t="array" aca="1" ref="Q13" ca="1">IFERROR(INDEX(TraitOfficers, SMALL(IF(ISNUMBER(MATCH(TraitNames,$Q$5, 0)), MATCH(ROW(TraitNames), ROW(TraitNames)), ""), ROWS($A$1:A8)))&amp;" ("&amp;IFERROR(VLOOKUP(IFERROR(INDEX(TraitOfficers, SMALL(IF(ISNUMBER(MATCH(TraitNames,$Q$5, 0)), MATCH(ROW(TraitNames), ROW(TraitNames)), ""), ROWS($A$1:A8))),""),TraitFull,(SUMPRODUCT(--(TraitNames=$Q$5)*COLUMN(TraitNames))/COUNTIF(TraitNames,$Q$5)+1),FALSE),"")&amp;")","")</f>
        <v/>
      </c>
      <c r="R13" s="344"/>
      <c r="S13" s="442" t="str">
        <f>'AM Lookup'!AE9</f>
        <v/>
      </c>
      <c r="T13" s="161"/>
      <c r="U13" s="454" t="str">
        <f>'AM Lookup'!AF9</f>
        <v/>
      </c>
      <c r="V13" s="449"/>
      <c r="W13" s="179"/>
    </row>
    <row r="14" spans="1:25" ht="15.75" customHeight="1" x14ac:dyDescent="0.25">
      <c r="A14" s="176"/>
      <c r="B14" s="180" t="s">
        <v>140</v>
      </c>
      <c r="D14" s="342" t="s">
        <v>2156</v>
      </c>
      <c r="E14" s="350"/>
      <c r="F14" s="550" t="str">
        <f>IFERROR("Min:"&amp;VLOOKUP($D$5,AwayMissionsFull,13,FALSE)*100&amp;"%","")</f>
        <v/>
      </c>
      <c r="G14" s="551" t="str">
        <f>IFERROR(VLOOKUP($D$5,AwayMissionsFull,14,FALSE)*100&amp;"% ea.","")</f>
        <v/>
      </c>
      <c r="H14" s="551" t="str">
        <f>IFERROR(VLOOKUP($D$5,AwayMissionsFull,15,FALSE)&amp;" Pts","")</f>
        <v/>
      </c>
      <c r="I14" s="550" t="str">
        <f>IFERROR("Max:"&amp;VLOOKUP($D$5,AwayMissionsFull,16,FALSE)*100&amp;"%","")</f>
        <v/>
      </c>
      <c r="K14" s="366" t="str">
        <f t="array" aca="1" ref="K14" ca="1">IFERROR(INDEX(TraitOfficers, SMALL(IF(ISNUMBER(MATCH(TraitNames,$K$5, 0)), MATCH(ROW(TraitNames), ROW(TraitNames)), ""), ROWS($A$1:A9)))&amp;" ("&amp;IFERROR(VLOOKUP(IFERROR(INDEX(TraitOfficers, SMALL(IF(ISNUMBER(MATCH(TraitNames,$K$5, 0)), MATCH(ROW(TraitNames), ROW(TraitNames)), ""), ROWS($A$1:A9))),""),TraitFull,(SUMPRODUCT(--(TraitNames=$K$5)*COLUMN(TraitNames))/COUNTIF(TraitNames,$K$5)+1),FALSE),"")&amp;")","")</f>
        <v/>
      </c>
      <c r="L14" s="368"/>
      <c r="M14" s="344" t="str">
        <f t="array" aca="1" ref="M14" ca="1">IFERROR(INDEX(TraitOfficers, SMALL(IF(ISNUMBER(MATCH(TraitNames,$M$5, 0)), MATCH(ROW(TraitNames), ROW(TraitNames)), ""), ROWS($A$1:A9)))&amp;" ("&amp;IFERROR(VLOOKUP(IFERROR(INDEX(TraitOfficers, SMALL(IF(ISNUMBER(MATCH(TraitNames,$M$5, 0)), MATCH(ROW(TraitNames), ROW(TraitNames)), ""), ROWS($A$1:A9))),""),TraitFull,(SUMPRODUCT(--(TraitNames=$M$5)*COLUMN(TraitNames))/COUNTIF(TraitNames,$M$5)+1),FALSE),"")&amp;")","")</f>
        <v/>
      </c>
      <c r="N14" s="368"/>
      <c r="O14" s="366" t="str">
        <f t="array" aca="1" ref="O14" ca="1">IFERROR(INDEX(TraitOfficers, SMALL(IF(ISNUMBER(MATCH(TraitNames,$O$5, 0)), MATCH(ROW(TraitNames), ROW(TraitNames)), ""), ROWS($A$1:A9)))&amp;" ("&amp;IFERROR(VLOOKUP(IFERROR(INDEX(TraitOfficers, SMALL(IF(ISNUMBER(MATCH(TraitNames,$O$5, 0)), MATCH(ROW(TraitNames), ROW(TraitNames)), ""), ROWS($A$1:A9))),""),TraitFull,(SUMPRODUCT(--(TraitNames=$O$5)*COLUMN(TraitNames))/COUNTIF(TraitNames,$O$5)+1),FALSE),"")&amp;")","")</f>
        <v/>
      </c>
      <c r="P14" s="368"/>
      <c r="Q14" s="366" t="str">
        <f t="array" aca="1" ref="Q14" ca="1">IFERROR(INDEX(TraitOfficers, SMALL(IF(ISNUMBER(MATCH(TraitNames,$Q$5, 0)), MATCH(ROW(TraitNames), ROW(TraitNames)), ""), ROWS($A$1:A9)))&amp;" ("&amp;IFERROR(VLOOKUP(IFERROR(INDEX(TraitOfficers, SMALL(IF(ISNUMBER(MATCH(TraitNames,$Q$5, 0)), MATCH(ROW(TraitNames), ROW(TraitNames)), ""), ROWS($A$1:A9))),""),TraitFull,(SUMPRODUCT(--(TraitNames=$Q$5)*COLUMN(TraitNames))/COUNTIF(TraitNames,$Q$5)+1),FALSE),"")&amp;")","")</f>
        <v/>
      </c>
      <c r="R14" s="344"/>
      <c r="S14" s="442" t="str">
        <f>'AM Lookup'!AE10</f>
        <v/>
      </c>
      <c r="T14" s="161"/>
      <c r="U14" s="454" t="str">
        <f>'AM Lookup'!AF10</f>
        <v/>
      </c>
      <c r="V14" s="447"/>
      <c r="W14" s="172"/>
    </row>
    <row r="15" spans="1:25" ht="15.75" customHeight="1" x14ac:dyDescent="0.25">
      <c r="A15" s="176"/>
      <c r="B15" s="177"/>
      <c r="D15" s="182" t="s">
        <v>2157</v>
      </c>
      <c r="E15" s="201"/>
      <c r="F15" s="680">
        <f>IF(H18=1,8000,IF(H18=2,37500,IF(H18=3,323500,0)))+IF(H19=1,8000,IF(H19=2,37500,IF(H19=3,323500,0)))+IF(H20=1,8000,IF(H20=2,37500,IF(H20=3,323500,0)))+IF(H21=1,8000,IF(H21=2,37500,IF(H21=3,323500,0)))</f>
        <v>0</v>
      </c>
      <c r="G15" s="681"/>
      <c r="H15" s="681"/>
      <c r="I15" s="682"/>
      <c r="J15" s="201"/>
      <c r="K15" s="366" t="str">
        <f t="array" aca="1" ref="K15" ca="1">IFERROR(INDEX(TraitOfficers, SMALL(IF(ISNUMBER(MATCH(TraitNames,$K$5, 0)), MATCH(ROW(TraitNames), ROW(TraitNames)), ""), ROWS($A$1:A10)))&amp;" ("&amp;IFERROR(VLOOKUP(IFERROR(INDEX(TraitOfficers, SMALL(IF(ISNUMBER(MATCH(TraitNames,$K$5, 0)), MATCH(ROW(TraitNames), ROW(TraitNames)), ""), ROWS($A$1:A10))),""),TraitFull,(SUMPRODUCT(--(TraitNames=$K$5)*COLUMN(TraitNames))/COUNTIF(TraitNames,$K$5)+1),FALSE),"")&amp;")","")</f>
        <v/>
      </c>
      <c r="L15" s="368"/>
      <c r="M15" s="344" t="str">
        <f t="array" aca="1" ref="M15" ca="1">IFERROR(INDEX(TraitOfficers, SMALL(IF(ISNUMBER(MATCH(TraitNames,$M$5, 0)), MATCH(ROW(TraitNames), ROW(TraitNames)), ""), ROWS($A$1:A10)))&amp;" ("&amp;IFERROR(VLOOKUP(IFERROR(INDEX(TraitOfficers, SMALL(IF(ISNUMBER(MATCH(TraitNames,$M$5, 0)), MATCH(ROW(TraitNames), ROW(TraitNames)), ""), ROWS($A$1:A10))),""),TraitFull,(SUMPRODUCT(--(TraitNames=$M$5)*COLUMN(TraitNames))/COUNTIF(TraitNames,$M$5)+1),FALSE),"")&amp;")","")</f>
        <v/>
      </c>
      <c r="N15" s="368"/>
      <c r="O15" s="366" t="str">
        <f t="array" aca="1" ref="O15" ca="1">IFERROR(INDEX(TraitOfficers, SMALL(IF(ISNUMBER(MATCH(TraitNames,$O$5, 0)), MATCH(ROW(TraitNames), ROW(TraitNames)), ""), ROWS($A$1:A10)))&amp;" ("&amp;IFERROR(VLOOKUP(IFERROR(INDEX(TraitOfficers, SMALL(IF(ISNUMBER(MATCH(TraitNames,$O$5, 0)), MATCH(ROW(TraitNames), ROW(TraitNames)), ""), ROWS($A$1:A10))),""),TraitFull,(SUMPRODUCT(--(TraitNames=$O$5)*COLUMN(TraitNames))/COUNTIF(TraitNames,$O$5)+1),FALSE),"")&amp;")","")</f>
        <v/>
      </c>
      <c r="P15" s="368"/>
      <c r="Q15" s="366" t="str">
        <f t="array" aca="1" ref="Q15" ca="1">IFERROR(INDEX(TraitOfficers, SMALL(IF(ISNUMBER(MATCH(TraitNames,$Q$5, 0)), MATCH(ROW(TraitNames), ROW(TraitNames)), ""), ROWS($A$1:A10)))&amp;" ("&amp;IFERROR(VLOOKUP(IFERROR(INDEX(TraitOfficers, SMALL(IF(ISNUMBER(MATCH(TraitNames,$Q$5, 0)), MATCH(ROW(TraitNames), ROW(TraitNames)), ""), ROWS($A$1:A10))),""),TraitFull,(SUMPRODUCT(--(TraitNames=$Q$5)*COLUMN(TraitNames))/COUNTIF(TraitNames,$Q$5)+1),FALSE),"")&amp;")","")</f>
        <v/>
      </c>
      <c r="R15" s="344"/>
      <c r="S15" s="442" t="str">
        <f>'AM Lookup'!AE11</f>
        <v/>
      </c>
      <c r="T15" s="161"/>
      <c r="U15" s="454" t="str">
        <f>'AM Lookup'!AF11</f>
        <v/>
      </c>
      <c r="V15" s="448"/>
      <c r="W15" s="11" t="s">
        <v>207</v>
      </c>
    </row>
    <row r="16" spans="1:25" ht="15.75" customHeight="1" x14ac:dyDescent="0.25">
      <c r="A16" s="176"/>
      <c r="B16" s="177"/>
      <c r="F16" s="683" t="s">
        <v>2161</v>
      </c>
      <c r="G16" s="683"/>
      <c r="H16" s="683"/>
      <c r="I16" s="683"/>
      <c r="K16" s="366" t="str">
        <f t="array" aca="1" ref="K16" ca="1">IFERROR(INDEX(TraitOfficers, SMALL(IF(ISNUMBER(MATCH(TraitNames,$K$5, 0)), MATCH(ROW(TraitNames), ROW(TraitNames)), ""), ROWS($A$1:A11)))&amp;" ("&amp;IFERROR(VLOOKUP(IFERROR(INDEX(TraitOfficers, SMALL(IF(ISNUMBER(MATCH(TraitNames,$K$5, 0)), MATCH(ROW(TraitNames), ROW(TraitNames)), ""), ROWS($A$1:A11))),""),TraitFull,(SUMPRODUCT(--(TraitNames=$K$5)*COLUMN(TraitNames))/COUNTIF(TraitNames,$K$5)+1),FALSE),"")&amp;")","")</f>
        <v/>
      </c>
      <c r="L16" s="368"/>
      <c r="M16" s="344" t="str">
        <f t="array" aca="1" ref="M16" ca="1">IFERROR(INDEX(TraitOfficers, SMALL(IF(ISNUMBER(MATCH(TraitNames,$M$5, 0)), MATCH(ROW(TraitNames), ROW(TraitNames)), ""), ROWS($A$1:A11)))&amp;" ("&amp;IFERROR(VLOOKUP(IFERROR(INDEX(TraitOfficers, SMALL(IF(ISNUMBER(MATCH(TraitNames,$M$5, 0)), MATCH(ROW(TraitNames), ROW(TraitNames)), ""), ROWS($A$1:A11))),""),TraitFull,(SUMPRODUCT(--(TraitNames=$M$5)*COLUMN(TraitNames))/COUNTIF(TraitNames,$M$5)+1),FALSE),"")&amp;")","")</f>
        <v/>
      </c>
      <c r="N16" s="368"/>
      <c r="O16" s="366" t="str">
        <f t="array" aca="1" ref="O16" ca="1">IFERROR(INDEX(TraitOfficers, SMALL(IF(ISNUMBER(MATCH(TraitNames,$O$5, 0)), MATCH(ROW(TraitNames), ROW(TraitNames)), ""), ROWS($A$1:A11)))&amp;" ("&amp;IFERROR(VLOOKUP(IFERROR(INDEX(TraitOfficers, SMALL(IF(ISNUMBER(MATCH(TraitNames,$O$5, 0)), MATCH(ROW(TraitNames), ROW(TraitNames)), ""), ROWS($A$1:A11))),""),TraitFull,(SUMPRODUCT(--(TraitNames=$O$5)*COLUMN(TraitNames))/COUNTIF(TraitNames,$O$5)+1),FALSE),"")&amp;")","")</f>
        <v/>
      </c>
      <c r="P16" s="368"/>
      <c r="Q16" s="366" t="str">
        <f t="array" aca="1" ref="Q16" ca="1">IFERROR(INDEX(TraitOfficers, SMALL(IF(ISNUMBER(MATCH(TraitNames,$Q$5, 0)), MATCH(ROW(TraitNames), ROW(TraitNames)), ""), ROWS($A$1:A11)))&amp;" ("&amp;IFERROR(VLOOKUP(IFERROR(INDEX(TraitOfficers, SMALL(IF(ISNUMBER(MATCH(TraitNames,$Q$5, 0)), MATCH(ROW(TraitNames), ROW(TraitNames)), ""), ROWS($A$1:A11))),""),TraitFull,(SUMPRODUCT(--(TraitNames=$Q$5)*COLUMN(TraitNames))/COUNTIF(TraitNames,$Q$5)+1),FALSE),"")&amp;")","")</f>
        <v/>
      </c>
      <c r="R16" s="344"/>
      <c r="S16" s="442" t="str">
        <f>'AM Lookup'!AE12</f>
        <v/>
      </c>
      <c r="T16" s="161"/>
      <c r="U16" s="454" t="str">
        <f>'AM Lookup'!AF12</f>
        <v/>
      </c>
      <c r="V16" s="448"/>
      <c r="W16" s="11"/>
    </row>
    <row r="17" spans="1:24" ht="15.75" customHeight="1" x14ac:dyDescent="0.25">
      <c r="A17" s="176"/>
      <c r="B17" s="177"/>
      <c r="F17" s="665" t="s">
        <v>1556</v>
      </c>
      <c r="G17" s="665"/>
      <c r="H17" s="373" t="s">
        <v>1602</v>
      </c>
      <c r="I17" s="373" t="s">
        <v>1557</v>
      </c>
      <c r="K17" s="366" t="str">
        <f t="array" aca="1" ref="K17" ca="1">IFERROR(INDEX(TraitOfficers, SMALL(IF(ISNUMBER(MATCH(TraitNames,$K$5, 0)), MATCH(ROW(TraitNames), ROW(TraitNames)), ""), ROWS($A$1:A12)))&amp;" ("&amp;IFERROR(VLOOKUP(IFERROR(INDEX(TraitOfficers, SMALL(IF(ISNUMBER(MATCH(TraitNames,$K$5, 0)), MATCH(ROW(TraitNames), ROW(TraitNames)), ""), ROWS($A$1:A12))),""),TraitFull,(SUMPRODUCT(--(TraitNames=$K$5)*COLUMN(TraitNames))/COUNTIF(TraitNames,$K$5)+1),FALSE),"")&amp;")","")</f>
        <v/>
      </c>
      <c r="L17" s="368"/>
      <c r="M17" s="344" t="str">
        <f t="array" aca="1" ref="M17" ca="1">IFERROR(INDEX(TraitOfficers, SMALL(IF(ISNUMBER(MATCH(TraitNames,$M$5, 0)), MATCH(ROW(TraitNames), ROW(TraitNames)), ""), ROWS($A$1:A12)))&amp;" ("&amp;IFERROR(VLOOKUP(IFERROR(INDEX(TraitOfficers, SMALL(IF(ISNUMBER(MATCH(TraitNames,$M$5, 0)), MATCH(ROW(TraitNames), ROW(TraitNames)), ""), ROWS($A$1:A12))),""),TraitFull,(SUMPRODUCT(--(TraitNames=$M$5)*COLUMN(TraitNames))/COUNTIF(TraitNames,$M$5)+1),FALSE),"")&amp;")","")</f>
        <v/>
      </c>
      <c r="N17" s="368"/>
      <c r="O17" s="366" t="str">
        <f t="array" aca="1" ref="O17" ca="1">IFERROR(INDEX(TraitOfficers, SMALL(IF(ISNUMBER(MATCH(TraitNames,$O$5, 0)), MATCH(ROW(TraitNames), ROW(TraitNames)), ""), ROWS($A$1:A12)))&amp;" ("&amp;IFERROR(VLOOKUP(IFERROR(INDEX(TraitOfficers, SMALL(IF(ISNUMBER(MATCH(TraitNames,$O$5, 0)), MATCH(ROW(TraitNames), ROW(TraitNames)), ""), ROWS($A$1:A12))),""),TraitFull,(SUMPRODUCT(--(TraitNames=$O$5)*COLUMN(TraitNames))/COUNTIF(TraitNames,$O$5)+1),FALSE),"")&amp;")","")</f>
        <v/>
      </c>
      <c r="P17" s="368"/>
      <c r="Q17" s="366" t="str">
        <f t="array" aca="1" ref="Q17" ca="1">IFERROR(INDEX(TraitOfficers, SMALL(IF(ISNUMBER(MATCH(TraitNames,$Q$5, 0)), MATCH(ROW(TraitNames), ROW(TraitNames)), ""), ROWS($A$1:A12)))&amp;" ("&amp;IFERROR(VLOOKUP(IFERROR(INDEX(TraitOfficers, SMALL(IF(ISNUMBER(MATCH(TraitNames,$Q$5, 0)), MATCH(ROW(TraitNames), ROW(TraitNames)), ""), ROWS($A$1:A12))),""),TraitFull,(SUMPRODUCT(--(TraitNames=$Q$5)*COLUMN(TraitNames))/COUNTIF(TraitNames,$Q$5)+1),FALSE),"")&amp;")","")</f>
        <v/>
      </c>
      <c r="R17" s="344"/>
      <c r="S17" s="442" t="str">
        <f>'AM Lookup'!AE13</f>
        <v/>
      </c>
      <c r="T17" s="161"/>
      <c r="U17" s="454" t="str">
        <f>'AM Lookup'!AF13</f>
        <v/>
      </c>
      <c r="V17" s="448"/>
      <c r="W17" s="11"/>
    </row>
    <row r="18" spans="1:24" ht="15.75" customHeight="1" thickBot="1" x14ac:dyDescent="0.3">
      <c r="A18" s="176"/>
      <c r="B18" s="177"/>
      <c r="D18" s="348" t="s">
        <v>1531</v>
      </c>
      <c r="E18" s="355"/>
      <c r="F18" s="669" t="str">
        <f>IFERROR(VLOOKUP($D$5,AwayMissionsFull,8,FALSE)&amp;"","")</f>
        <v/>
      </c>
      <c r="G18" s="670"/>
      <c r="H18" s="374" t="str">
        <f>IF(F18 &lt;&gt;"",(SUMPRODUCT(--(TraitNames=F18)*COLUMN(TraitNames))/COUNTIF(TraitNames,F18)-1)/3,"")</f>
        <v/>
      </c>
      <c r="I18" s="374" t="str">
        <f>IF(F18 &lt;&gt; "", COUNTIF(TraitNames,F18), "")</f>
        <v/>
      </c>
      <c r="K18" s="366" t="str">
        <f t="array" aca="1" ref="K18" ca="1">IFERROR(INDEX(TraitOfficers, SMALL(IF(ISNUMBER(MATCH(TraitNames,$K$5, 0)), MATCH(ROW(TraitNames), ROW(TraitNames)), ""), ROWS($A$1:A13)))&amp;" ("&amp;IFERROR(VLOOKUP(IFERROR(INDEX(TraitOfficers, SMALL(IF(ISNUMBER(MATCH(TraitNames,$K$5, 0)), MATCH(ROW(TraitNames), ROW(TraitNames)), ""), ROWS($A$1:A13))),""),TraitFull,(SUMPRODUCT(--(TraitNames=$K$5)*COLUMN(TraitNames))/COUNTIF(TraitNames,$K$5)+1),FALSE),"")&amp;")","")</f>
        <v/>
      </c>
      <c r="L18" s="368"/>
      <c r="M18" s="344" t="str">
        <f t="array" aca="1" ref="M18" ca="1">IFERROR(INDEX(TraitOfficers, SMALL(IF(ISNUMBER(MATCH(TraitNames,$M$5, 0)), MATCH(ROW(TraitNames), ROW(TraitNames)), ""), ROWS($A$1:A13)))&amp;" ("&amp;IFERROR(VLOOKUP(IFERROR(INDEX(TraitOfficers, SMALL(IF(ISNUMBER(MATCH(TraitNames,$M$5, 0)), MATCH(ROW(TraitNames), ROW(TraitNames)), ""), ROWS($A$1:A13))),""),TraitFull,(SUMPRODUCT(--(TraitNames=$M$5)*COLUMN(TraitNames))/COUNTIF(TraitNames,$M$5)+1),FALSE),"")&amp;")","")</f>
        <v/>
      </c>
      <c r="N18" s="368"/>
      <c r="O18" s="366" t="str">
        <f t="array" aca="1" ref="O18" ca="1">IFERROR(INDEX(TraitOfficers, SMALL(IF(ISNUMBER(MATCH(TraitNames,$O$5, 0)), MATCH(ROW(TraitNames), ROW(TraitNames)), ""), ROWS($A$1:A13)))&amp;" ("&amp;IFERROR(VLOOKUP(IFERROR(INDEX(TraitOfficers, SMALL(IF(ISNUMBER(MATCH(TraitNames,$O$5, 0)), MATCH(ROW(TraitNames), ROW(TraitNames)), ""), ROWS($A$1:A13))),""),TraitFull,(SUMPRODUCT(--(TraitNames=$O$5)*COLUMN(TraitNames))/COUNTIF(TraitNames,$O$5)+1),FALSE),"")&amp;")","")</f>
        <v/>
      </c>
      <c r="P18" s="368"/>
      <c r="Q18" s="366" t="str">
        <f t="array" aca="1" ref="Q18" ca="1">IFERROR(INDEX(TraitOfficers, SMALL(IF(ISNUMBER(MATCH(TraitNames,$Q$5, 0)), MATCH(ROW(TraitNames), ROW(TraitNames)), ""), ROWS($A$1:A13)))&amp;" ("&amp;IFERROR(VLOOKUP(IFERROR(INDEX(TraitOfficers, SMALL(IF(ISNUMBER(MATCH(TraitNames,$Q$5, 0)), MATCH(ROW(TraitNames), ROW(TraitNames)), ""), ROWS($A$1:A13))),""),TraitFull,(SUMPRODUCT(--(TraitNames=$Q$5)*COLUMN(TraitNames))/COUNTIF(TraitNames,$Q$5)+1),FALSE),"")&amp;")","")</f>
        <v/>
      </c>
      <c r="R18" s="344"/>
      <c r="S18" s="442" t="str">
        <f>'AM Lookup'!AE14</f>
        <v/>
      </c>
      <c r="T18" s="345"/>
      <c r="U18" s="454" t="str">
        <f>'AM Lookup'!AF14</f>
        <v/>
      </c>
      <c r="V18" s="449"/>
      <c r="W18" s="179"/>
    </row>
    <row r="19" spans="1:24" ht="15.75" customHeight="1" thickBot="1" x14ac:dyDescent="0.3">
      <c r="A19" s="173"/>
      <c r="B19" s="174"/>
      <c r="D19" s="348"/>
      <c r="E19" s="355"/>
      <c r="F19" s="669" t="str">
        <f>IFERROR(VLOOKUP($D$5,AwayMissionsFull,9,FALSE)&amp;"","")</f>
        <v/>
      </c>
      <c r="G19" s="670"/>
      <c r="H19" s="374" t="str">
        <f>IF(F19 &lt;&gt;"",(SUMPRODUCT(--(TraitNames=F19)*COLUMN(TraitNames))/COUNTIF(TraitNames,F19)-1)/3,"")</f>
        <v/>
      </c>
      <c r="I19" s="374" t="str">
        <f>IF(F19 &lt;&gt; "", COUNTIF(TraitNames,F19), "")</f>
        <v/>
      </c>
      <c r="K19" s="366" t="str">
        <f t="array" aca="1" ref="K19" ca="1">IFERROR(INDEX(TraitOfficers, SMALL(IF(ISNUMBER(MATCH(TraitNames,$K$5, 0)), MATCH(ROW(TraitNames), ROW(TraitNames)), ""), ROWS($A$1:A14)))&amp;" ("&amp;IFERROR(VLOOKUP(IFERROR(INDEX(TraitOfficers, SMALL(IF(ISNUMBER(MATCH(TraitNames,$K$5, 0)), MATCH(ROW(TraitNames), ROW(TraitNames)), ""), ROWS($A$1:A14))),""),TraitFull,(SUMPRODUCT(--(TraitNames=$K$5)*COLUMN(TraitNames))/COUNTIF(TraitNames,$K$5)+1),FALSE),"")&amp;")","")</f>
        <v/>
      </c>
      <c r="L19" s="368"/>
      <c r="M19" s="344" t="str">
        <f t="array" aca="1" ref="M19" ca="1">IFERROR(INDEX(TraitOfficers, SMALL(IF(ISNUMBER(MATCH(TraitNames,$M$5, 0)), MATCH(ROW(TraitNames), ROW(TraitNames)), ""), ROWS($A$1:A14)))&amp;" ("&amp;IFERROR(VLOOKUP(IFERROR(INDEX(TraitOfficers, SMALL(IF(ISNUMBER(MATCH(TraitNames,$M$5, 0)), MATCH(ROW(TraitNames), ROW(TraitNames)), ""), ROWS($A$1:A14))),""),TraitFull,(SUMPRODUCT(--(TraitNames=$M$5)*COLUMN(TraitNames))/COUNTIF(TraitNames,$M$5)+1),FALSE),"")&amp;")","")</f>
        <v/>
      </c>
      <c r="N19" s="368"/>
      <c r="O19" s="366" t="str">
        <f t="array" aca="1" ref="O19" ca="1">IFERROR(INDEX(TraitOfficers, SMALL(IF(ISNUMBER(MATCH(TraitNames,$O$5, 0)), MATCH(ROW(TraitNames), ROW(TraitNames)), ""), ROWS($A$1:A14)))&amp;" ("&amp;IFERROR(VLOOKUP(IFERROR(INDEX(TraitOfficers, SMALL(IF(ISNUMBER(MATCH(TraitNames,$O$5, 0)), MATCH(ROW(TraitNames), ROW(TraitNames)), ""), ROWS($A$1:A14))),""),TraitFull,(SUMPRODUCT(--(TraitNames=$O$5)*COLUMN(TraitNames))/COUNTIF(TraitNames,$O$5)+1),FALSE),"")&amp;")","")</f>
        <v/>
      </c>
      <c r="P19" s="368"/>
      <c r="Q19" s="366" t="str">
        <f t="array" aca="1" ref="Q19" ca="1">IFERROR(INDEX(TraitOfficers, SMALL(IF(ISNUMBER(MATCH(TraitNames,$Q$5, 0)), MATCH(ROW(TraitNames), ROW(TraitNames)), ""), ROWS($A$1:A14)))&amp;" ("&amp;IFERROR(VLOOKUP(IFERROR(INDEX(TraitOfficers, SMALL(IF(ISNUMBER(MATCH(TraitNames,$Q$5, 0)), MATCH(ROW(TraitNames), ROW(TraitNames)), ""), ROWS($A$1:A14))),""),TraitFull,(SUMPRODUCT(--(TraitNames=$Q$5)*COLUMN(TraitNames))/COUNTIF(TraitNames,$Q$5)+1),FALSE),"")&amp;")","")</f>
        <v/>
      </c>
      <c r="R19" s="344"/>
      <c r="S19" s="442" t="str">
        <f>'AM Lookup'!AE15</f>
        <v/>
      </c>
      <c r="T19" s="345"/>
      <c r="U19" s="454" t="str">
        <f>'AM Lookup'!AF15</f>
        <v/>
      </c>
      <c r="V19" s="446"/>
      <c r="W19" s="168"/>
    </row>
    <row r="20" spans="1:24" ht="17.25" customHeight="1" thickBot="1" x14ac:dyDescent="0.3">
      <c r="A20" s="185"/>
      <c r="B20" s="186"/>
      <c r="D20" s="201"/>
      <c r="E20" s="355"/>
      <c r="F20" s="670" t="str">
        <f>IFERROR(VLOOKUP($D$5,AwayMissionsFull,10,FALSE)&amp;"","")</f>
        <v/>
      </c>
      <c r="G20" s="684"/>
      <c r="H20" s="374" t="str">
        <f>IF(F20 &lt;&gt;"",(SUMPRODUCT(--(TraitNames=F20)*COLUMN(TraitNames))/COUNTIF(TraitNames,F20)-1)/3,"")</f>
        <v/>
      </c>
      <c r="I20" s="374" t="str">
        <f>IF(F20 &lt;&gt; "", COUNTIF(TraitNames,F20), "")</f>
        <v/>
      </c>
      <c r="K20" s="366" t="str">
        <f t="array" aca="1" ref="K20" ca="1">IFERROR(INDEX(TraitOfficers, SMALL(IF(ISNUMBER(MATCH(TraitNames,$K$5, 0)), MATCH(ROW(TraitNames), ROW(TraitNames)), ""), ROWS($A$1:A15)))&amp;" ("&amp;IFERROR(VLOOKUP(IFERROR(INDEX(TraitOfficers, SMALL(IF(ISNUMBER(MATCH(TraitNames,$K$5, 0)), MATCH(ROW(TraitNames), ROW(TraitNames)), ""), ROWS($A$1:A15))),""),TraitFull,(SUMPRODUCT(--(TraitNames=$K$5)*COLUMN(TraitNames))/COUNTIF(TraitNames,$K$5)+1),FALSE),"")&amp;")","")</f>
        <v/>
      </c>
      <c r="L20" s="368"/>
      <c r="M20" s="344" t="str">
        <f t="array" aca="1" ref="M20" ca="1">IFERROR(INDEX(TraitOfficers, SMALL(IF(ISNUMBER(MATCH(TraitNames,$M$5, 0)), MATCH(ROW(TraitNames), ROW(TraitNames)), ""), ROWS($A$1:A15)))&amp;" ("&amp;IFERROR(VLOOKUP(IFERROR(INDEX(TraitOfficers, SMALL(IF(ISNUMBER(MATCH(TraitNames,$M$5, 0)), MATCH(ROW(TraitNames), ROW(TraitNames)), ""), ROWS($A$1:A15))),""),TraitFull,(SUMPRODUCT(--(TraitNames=$M$5)*COLUMN(TraitNames))/COUNTIF(TraitNames,$M$5)+1),FALSE),"")&amp;")","")</f>
        <v/>
      </c>
      <c r="N20" s="368"/>
      <c r="O20" s="366" t="str">
        <f t="array" aca="1" ref="O20" ca="1">IFERROR(INDEX(TraitOfficers, SMALL(IF(ISNUMBER(MATCH(TraitNames,$O$5, 0)), MATCH(ROW(TraitNames), ROW(TraitNames)), ""), ROWS($A$1:A15)))&amp;" ("&amp;IFERROR(VLOOKUP(IFERROR(INDEX(TraitOfficers, SMALL(IF(ISNUMBER(MATCH(TraitNames,$O$5, 0)), MATCH(ROW(TraitNames), ROW(TraitNames)), ""), ROWS($A$1:A15))),""),TraitFull,(SUMPRODUCT(--(TraitNames=$O$5)*COLUMN(TraitNames))/COUNTIF(TraitNames,$O$5)+1),FALSE),"")&amp;")","")</f>
        <v/>
      </c>
      <c r="P20" s="368"/>
      <c r="Q20" s="366" t="str">
        <f t="array" aca="1" ref="Q20" ca="1">IFERROR(INDEX(TraitOfficers, SMALL(IF(ISNUMBER(MATCH(TraitNames,$Q$5, 0)), MATCH(ROW(TraitNames), ROW(TraitNames)), ""), ROWS($A$1:A15)))&amp;" ("&amp;IFERROR(VLOOKUP(IFERROR(INDEX(TraitOfficers, SMALL(IF(ISNUMBER(MATCH(TraitNames,$Q$5, 0)), MATCH(ROW(TraitNames), ROW(TraitNames)), ""), ROWS($A$1:A15))),""),TraitFull,(SUMPRODUCT(--(TraitNames=$Q$5)*COLUMN(TraitNames))/COUNTIF(TraitNames,$Q$5)+1),FALSE),"")&amp;")","")</f>
        <v/>
      </c>
      <c r="R20" s="344"/>
      <c r="S20" s="442" t="str">
        <f>'AM Lookup'!AE16</f>
        <v/>
      </c>
      <c r="T20" s="345"/>
      <c r="U20" s="454" t="str">
        <f>'AM Lookup'!AF16</f>
        <v/>
      </c>
    </row>
    <row r="21" spans="1:24" ht="16.5" customHeight="1" x14ac:dyDescent="0.25">
      <c r="D21" s="201"/>
      <c r="E21" s="355"/>
      <c r="F21" s="670" t="str">
        <f>IFERROR(VLOOKUP($D$5,AwayMissionsFull,11,FALSE)&amp;"","")</f>
        <v/>
      </c>
      <c r="G21" s="684"/>
      <c r="H21" s="374" t="str">
        <f>IF(F21 &lt;&gt;"",(SUMPRODUCT(--(TraitNames=F21)*COLUMN(TraitNames))/COUNTIF(TraitNames,F21)-1)/3,"")</f>
        <v/>
      </c>
      <c r="I21" s="374" t="str">
        <f>IF(F21 &lt;&gt; "", COUNTIF(TraitNames,F21), "")</f>
        <v/>
      </c>
      <c r="J21" s="350"/>
      <c r="K21" s="370" t="str">
        <f t="array" aca="1" ref="K21" ca="1">IFERROR(INDEX(TraitOfficers, SMALL(IF(ISNUMBER(MATCH(TraitNames,$K$5, 0)), MATCH(ROW(TraitNames), ROW(TraitNames)), ""), ROWS($A$1:A16)))&amp;" ("&amp;IFERROR(VLOOKUP(IFERROR(INDEX(TraitOfficers, SMALL(IF(ISNUMBER(MATCH(TraitNames,$K$5, 0)), MATCH(ROW(TraitNames), ROW(TraitNames)), ""), ROWS($A$1:A16))),""),TraitFull,(SUMPRODUCT(--(TraitNames=$K$5)*COLUMN(TraitNames))/COUNTIF(TraitNames,$K$5)+1),FALSE),"")&amp;")","")</f>
        <v/>
      </c>
      <c r="L21" s="372"/>
      <c r="M21" s="371" t="str">
        <f t="array" aca="1" ref="M21" ca="1">IFERROR(INDEX(TraitOfficers, SMALL(IF(ISNUMBER(MATCH(TraitNames,$M$5, 0)), MATCH(ROW(TraitNames), ROW(TraitNames)), ""), ROWS($A$1:A16)))&amp;" ("&amp;IFERROR(VLOOKUP(IFERROR(INDEX(TraitOfficers, SMALL(IF(ISNUMBER(MATCH(TraitNames,$M$5, 0)), MATCH(ROW(TraitNames), ROW(TraitNames)), ""), ROWS($A$1:A16))),""),TraitFull,(SUMPRODUCT(--(TraitNames=$M$5)*COLUMN(TraitNames))/COUNTIF(TraitNames,$M$5)+1),FALSE),"")&amp;")","")</f>
        <v/>
      </c>
      <c r="N21" s="372"/>
      <c r="O21" s="370" t="str">
        <f t="array" aca="1" ref="O21" ca="1">IFERROR(INDEX(TraitOfficers, SMALL(IF(ISNUMBER(MATCH(TraitNames,$O$5, 0)), MATCH(ROW(TraitNames), ROW(TraitNames)), ""), ROWS($A$1:A16)))&amp;" ("&amp;IFERROR(VLOOKUP(IFERROR(INDEX(TraitOfficers, SMALL(IF(ISNUMBER(MATCH(TraitNames,$O$5, 0)), MATCH(ROW(TraitNames), ROW(TraitNames)), ""), ROWS($A$1:A16))),""),TraitFull,(SUMPRODUCT(--(TraitNames=$O$5)*COLUMN(TraitNames))/COUNTIF(TraitNames,$O$5)+1),FALSE),"")&amp;")","")</f>
        <v/>
      </c>
      <c r="P21" s="372"/>
      <c r="Q21" s="370" t="str">
        <f t="array" aca="1" ref="Q21" ca="1">IFERROR(INDEX(TraitOfficers, SMALL(IF(ISNUMBER(MATCH(TraitNames,$Q$5, 0)), MATCH(ROW(TraitNames), ROW(TraitNames)), ""), ROWS($A$1:A16)))&amp;" ("&amp;IFERROR(VLOOKUP(IFERROR(INDEX(TraitOfficers, SMALL(IF(ISNUMBER(MATCH(TraitNames,$Q$5, 0)), MATCH(ROW(TraitNames), ROW(TraitNames)), ""), ROWS($A$1:A16))),""),TraitFull,(SUMPRODUCT(--(TraitNames=$Q$5)*COLUMN(TraitNames))/COUNTIF(TraitNames,$Q$5)+1),FALSE),"")&amp;")","")</f>
        <v/>
      </c>
      <c r="R21" s="371"/>
      <c r="S21" s="443" t="str">
        <f>'AM Lookup'!AE17</f>
        <v/>
      </c>
      <c r="T21" s="451"/>
      <c r="U21" s="456" t="str">
        <f>'AM Lookup'!AF17</f>
        <v/>
      </c>
    </row>
    <row r="22" spans="1:24" ht="8.25" customHeight="1" thickBot="1" x14ac:dyDescent="0.3">
      <c r="M22" s="379"/>
    </row>
    <row r="23" spans="1:24" s="296" customFormat="1" ht="17.25" customHeight="1" thickBot="1" x14ac:dyDescent="0.3">
      <c r="A23" s="288"/>
      <c r="B23" s="288"/>
      <c r="C23" s="288"/>
      <c r="D23" s="290"/>
      <c r="E23" s="300"/>
      <c r="F23" s="5">
        <v>745.68499999999995</v>
      </c>
      <c r="G23" s="301"/>
      <c r="H23" s="302"/>
      <c r="I23" s="302"/>
      <c r="J23" s="302"/>
      <c r="K23" s="302"/>
      <c r="L23" s="303"/>
      <c r="M23" s="303"/>
      <c r="N23" s="304"/>
      <c r="O23" s="20">
        <v>689.11400000000003</v>
      </c>
      <c r="P23" s="305"/>
      <c r="Q23" s="51" t="s">
        <v>141</v>
      </c>
      <c r="R23" s="306"/>
      <c r="S23" s="307"/>
      <c r="T23" s="308"/>
      <c r="U23" s="309"/>
      <c r="V23" s="295"/>
      <c r="W23" s="295"/>
      <c r="X23" s="295"/>
    </row>
    <row r="24" spans="1:24" s="296" customFormat="1" ht="6.75" customHeight="1" x14ac:dyDescent="0.25">
      <c r="A24" s="288"/>
      <c r="B24" s="288"/>
      <c r="C24" s="288"/>
      <c r="D24" s="310"/>
      <c r="E24" s="311"/>
      <c r="F24" s="312"/>
      <c r="G24" s="313"/>
      <c r="H24" s="310"/>
      <c r="I24" s="297"/>
      <c r="J24" s="310"/>
      <c r="K24" s="310"/>
      <c r="L24" s="314"/>
      <c r="M24" s="314"/>
      <c r="N24" s="315"/>
      <c r="O24" s="315"/>
      <c r="P24" s="315"/>
      <c r="Q24" s="315"/>
      <c r="R24" s="316"/>
      <c r="S24" s="316"/>
      <c r="T24" s="288"/>
      <c r="U24" s="309"/>
      <c r="V24" s="295"/>
      <c r="W24" s="295"/>
      <c r="X24" s="295"/>
    </row>
    <row r="25" spans="1:24" s="182" customFormat="1" ht="15.75" customHeight="1" x14ac:dyDescent="0.25">
      <c r="B25" s="183" t="s">
        <v>1549</v>
      </c>
      <c r="C25" s="183"/>
      <c r="D25" s="685" t="s">
        <v>1500</v>
      </c>
      <c r="E25" s="685"/>
      <c r="F25" s="318" t="s">
        <v>214</v>
      </c>
      <c r="G25" s="685" t="s">
        <v>1501</v>
      </c>
      <c r="H25" s="685"/>
      <c r="I25" s="318" t="s">
        <v>214</v>
      </c>
      <c r="J25" s="685" t="s">
        <v>1502</v>
      </c>
      <c r="K25" s="685"/>
      <c r="L25" s="318" t="s">
        <v>214</v>
      </c>
      <c r="M25" s="182" t="s">
        <v>1700</v>
      </c>
      <c r="N25" s="182" t="s">
        <v>1626</v>
      </c>
      <c r="O25" s="357"/>
      <c r="P25" s="357"/>
      <c r="Q25" s="357"/>
    </row>
    <row r="26" spans="1:24" s="270" customFormat="1" ht="15.75" customHeight="1" x14ac:dyDescent="0.25">
      <c r="A26" s="359" t="str">
        <f t="shared" ref="A26:A55" si="0">VLOOKUP(B26,OfficerScores,2,FALSE)</f>
        <v>U</v>
      </c>
      <c r="B26" s="361" t="s">
        <v>47</v>
      </c>
      <c r="C26" s="377"/>
      <c r="D26" s="660" t="s">
        <v>1403</v>
      </c>
      <c r="E26" s="660"/>
      <c r="F26" s="360">
        <f t="shared" ref="F26:F55" ca="1" si="1">IFERROR(INDEX(ImportTraits1,MATCH(B26,ImportOfficerList,0)),0)</f>
        <v>0</v>
      </c>
      <c r="G26" s="661"/>
      <c r="H26" s="661"/>
      <c r="I26" s="360">
        <f t="shared" ref="I26:I55" ca="1" si="2">IFERROR(INDEX(ImportTraits2,MATCH(B26,ImportOfficerList,0)),0)</f>
        <v>0</v>
      </c>
      <c r="J26" s="660"/>
      <c r="K26" s="660"/>
      <c r="L26" s="360">
        <f t="shared" ref="L26:L55" ca="1" si="3">IFERROR(INDEX(ImportTraits3,MATCH(B26,ImportOfficerList,0)),0)</f>
        <v>0</v>
      </c>
      <c r="M26" s="457" t="str">
        <f t="shared" ref="M26:M65" si="4">IF($F$8&lt;&gt;"",IF($F$8="Attack",INDEX(RosterAttack,MATCH(B26,RosterOfficer,0)),INDEX(RosterAttack,MATCH(B26,RosterOfficer,0))*0.5) + IF($F$8="Defence",INDEX(RosterDefence,MATCH(B26,RosterOfficer,0)),INDEX(RosterDefence,MATCH(B26,RosterOfficer,0))*0.5) + IF($F$8="Health",INDEX(RosterHealth,MATCH(B26,RosterOfficer,0)),INDEX(RosterHealth,MATCH(B26,RosterOfficer,0))*0.5),"")</f>
        <v/>
      </c>
      <c r="N26" s="437">
        <f t="shared" ref="N26:N65" si="5">IFERROR(INDEX(AwayMissionTraitsTotals,MATCH(D26,AwayMissionTraits,0)),0) + IFERROR(INDEX(AwayMissionTraitsTotals,MATCH(G26,AwayMissionTraits,0)),0) + IFERROR(INDEX(AwayMissionTraitsTotals,MATCH(J26,AwayMissionTraits,0)),0)</f>
        <v>15</v>
      </c>
      <c r="O26" s="358"/>
      <c r="P26" s="358"/>
      <c r="Q26" s="358"/>
    </row>
    <row r="27" spans="1:24" x14ac:dyDescent="0.25">
      <c r="A27" s="359" t="str">
        <f t="shared" si="0"/>
        <v>R</v>
      </c>
      <c r="B27" s="377" t="s">
        <v>102</v>
      </c>
      <c r="C27" s="377"/>
      <c r="D27" s="661" t="s">
        <v>1401</v>
      </c>
      <c r="E27" s="661"/>
      <c r="F27" s="360">
        <f t="shared" ca="1" si="1"/>
        <v>0</v>
      </c>
      <c r="G27" s="661" t="s">
        <v>1475</v>
      </c>
      <c r="H27" s="661"/>
      <c r="I27" s="360">
        <f t="shared" ca="1" si="2"/>
        <v>0</v>
      </c>
      <c r="J27" s="661"/>
      <c r="K27" s="661"/>
      <c r="L27" s="360">
        <f t="shared" ca="1" si="3"/>
        <v>0</v>
      </c>
      <c r="M27" s="457" t="str">
        <f t="shared" si="4"/>
        <v/>
      </c>
      <c r="N27" s="437">
        <f t="shared" si="5"/>
        <v>20</v>
      </c>
    </row>
    <row r="28" spans="1:24" x14ac:dyDescent="0.25">
      <c r="A28" s="359" t="str">
        <f t="shared" si="0"/>
        <v>U</v>
      </c>
      <c r="B28" s="377" t="s">
        <v>84</v>
      </c>
      <c r="C28" s="377"/>
      <c r="D28" s="661" t="s">
        <v>1403</v>
      </c>
      <c r="E28" s="661"/>
      <c r="F28" s="360">
        <f t="shared" ca="1" si="1"/>
        <v>0</v>
      </c>
      <c r="G28" s="661"/>
      <c r="H28" s="661"/>
      <c r="I28" s="360">
        <f t="shared" ca="1" si="2"/>
        <v>0</v>
      </c>
      <c r="J28" s="661"/>
      <c r="K28" s="661"/>
      <c r="L28" s="360">
        <f t="shared" ca="1" si="3"/>
        <v>0</v>
      </c>
      <c r="M28" s="457" t="str">
        <f t="shared" si="4"/>
        <v/>
      </c>
      <c r="N28" s="437">
        <f t="shared" si="5"/>
        <v>15</v>
      </c>
    </row>
    <row r="29" spans="1:24" x14ac:dyDescent="0.25">
      <c r="A29" s="359" t="str">
        <f t="shared" si="0"/>
        <v>U</v>
      </c>
      <c r="B29" s="377" t="s">
        <v>31</v>
      </c>
      <c r="C29" s="377"/>
      <c r="D29" s="661" t="s">
        <v>1506</v>
      </c>
      <c r="E29" s="661"/>
      <c r="F29" s="360">
        <f t="shared" ca="1" si="1"/>
        <v>0</v>
      </c>
      <c r="G29" s="661"/>
      <c r="H29" s="661"/>
      <c r="I29" s="360">
        <f t="shared" ca="1" si="2"/>
        <v>0</v>
      </c>
      <c r="J29" s="661"/>
      <c r="K29" s="661"/>
      <c r="L29" s="360">
        <f t="shared" ca="1" si="3"/>
        <v>0</v>
      </c>
      <c r="M29" s="457" t="str">
        <f t="shared" si="4"/>
        <v/>
      </c>
      <c r="N29" s="437">
        <f t="shared" si="5"/>
        <v>7</v>
      </c>
    </row>
    <row r="30" spans="1:24" x14ac:dyDescent="0.25">
      <c r="A30" s="359" t="str">
        <f t="shared" si="0"/>
        <v>U</v>
      </c>
      <c r="B30" s="377" t="s">
        <v>29</v>
      </c>
      <c r="C30" s="377"/>
      <c r="D30" s="661" t="s">
        <v>1401</v>
      </c>
      <c r="E30" s="661"/>
      <c r="F30" s="360">
        <f t="shared" ca="1" si="1"/>
        <v>0</v>
      </c>
      <c r="G30" s="661"/>
      <c r="H30" s="661"/>
      <c r="I30" s="360">
        <f t="shared" ca="1" si="2"/>
        <v>0</v>
      </c>
      <c r="J30" s="661"/>
      <c r="K30" s="661"/>
      <c r="L30" s="360">
        <f t="shared" ca="1" si="3"/>
        <v>0</v>
      </c>
      <c r="M30" s="457" t="str">
        <f t="shared" si="4"/>
        <v/>
      </c>
      <c r="N30" s="437">
        <f t="shared" si="5"/>
        <v>16</v>
      </c>
    </row>
    <row r="31" spans="1:24" x14ac:dyDescent="0.25">
      <c r="A31" s="359" t="str">
        <f t="shared" si="0"/>
        <v>R</v>
      </c>
      <c r="B31" s="485" t="s">
        <v>1973</v>
      </c>
      <c r="C31" s="485"/>
      <c r="D31" s="660" t="s">
        <v>1485</v>
      </c>
      <c r="E31" s="660"/>
      <c r="F31" s="360">
        <f t="shared" ca="1" si="1"/>
        <v>0</v>
      </c>
      <c r="G31" s="660" t="s">
        <v>1504</v>
      </c>
      <c r="H31" s="660"/>
      <c r="I31" s="360">
        <f t="shared" ca="1" si="2"/>
        <v>0</v>
      </c>
      <c r="J31" s="660"/>
      <c r="K31" s="660"/>
      <c r="L31" s="360">
        <f t="shared" ref="L31" ca="1" si="6">IFERROR(INDEX(ImportTraits3,MATCH(B31,ImportOfficerList,0)),0)</f>
        <v>0</v>
      </c>
      <c r="M31" s="457" t="str">
        <f t="shared" ref="M31" si="7">IF($F$8&lt;&gt;"",IF($F$8="Attack",INDEX(RosterAttack,MATCH(B31,RosterOfficer,0)),INDEX(RosterAttack,MATCH(B31,RosterOfficer,0))*0.5) + IF($F$8="Defence",INDEX(RosterDefence,MATCH(B31,RosterOfficer,0)),INDEX(RosterDefence,MATCH(B31,RosterOfficer,0))*0.5) + IF($F$8="Health",INDEX(RosterHealth,MATCH(B31,RosterOfficer,0)),INDEX(RosterHealth,MATCH(B31,RosterOfficer,0))*0.5),"")</f>
        <v/>
      </c>
      <c r="N31" s="486">
        <f t="shared" ref="N31" si="8">IFERROR(INDEX(AwayMissionTraitsTotals,MATCH(D31,AwayMissionTraits,0)),0) + IFERROR(INDEX(AwayMissionTraitsTotals,MATCH(G31,AwayMissionTraits,0)),0) + IFERROR(INDEX(AwayMissionTraitsTotals,MATCH(J31,AwayMissionTraits,0)),0)</f>
        <v>4</v>
      </c>
    </row>
    <row r="32" spans="1:24" x14ac:dyDescent="0.25">
      <c r="A32" s="359" t="str">
        <f t="shared" si="0"/>
        <v>R</v>
      </c>
      <c r="B32" s="377" t="s">
        <v>22</v>
      </c>
      <c r="C32" s="377"/>
      <c r="D32" s="661" t="s">
        <v>1410</v>
      </c>
      <c r="E32" s="661"/>
      <c r="F32" s="360">
        <f t="shared" ca="1" si="1"/>
        <v>0</v>
      </c>
      <c r="G32" s="661" t="s">
        <v>1409</v>
      </c>
      <c r="H32" s="661"/>
      <c r="I32" s="360">
        <f t="shared" ca="1" si="2"/>
        <v>0</v>
      </c>
      <c r="J32" s="661"/>
      <c r="K32" s="661"/>
      <c r="L32" s="360">
        <f t="shared" ca="1" si="3"/>
        <v>0</v>
      </c>
      <c r="M32" s="457" t="str">
        <f t="shared" si="4"/>
        <v/>
      </c>
      <c r="N32" s="437">
        <f t="shared" si="5"/>
        <v>9</v>
      </c>
    </row>
    <row r="33" spans="1:14" x14ac:dyDescent="0.25">
      <c r="A33" s="359" t="str">
        <f t="shared" si="0"/>
        <v>U</v>
      </c>
      <c r="B33" s="578" t="s">
        <v>2291</v>
      </c>
      <c r="C33" s="578"/>
      <c r="D33" s="660" t="s">
        <v>1512</v>
      </c>
      <c r="E33" s="660"/>
      <c r="F33" s="360">
        <f t="shared" ca="1" si="1"/>
        <v>0</v>
      </c>
      <c r="G33" s="660"/>
      <c r="H33" s="660"/>
      <c r="I33" s="360">
        <f t="shared" ca="1" si="2"/>
        <v>0</v>
      </c>
      <c r="J33" s="660"/>
      <c r="K33" s="660"/>
      <c r="L33" s="360">
        <f t="shared" ref="L33:L40" ca="1" si="9">IFERROR(INDEX(ImportTraits3,MATCH(B33,ImportOfficerList,0)),0)</f>
        <v>0</v>
      </c>
      <c r="M33" s="457" t="str">
        <f t="shared" ref="M33:M40" si="10">IF($F$8&lt;&gt;"",IF($F$8="Attack",INDEX(RosterAttack,MATCH(B33,RosterOfficer,0)),INDEX(RosterAttack,MATCH(B33,RosterOfficer,0))*0.5) + IF($F$8="Defence",INDEX(RosterDefence,MATCH(B33,RosterOfficer,0)),INDEX(RosterDefence,MATCH(B33,RosterOfficer,0))*0.5) + IF($F$8="Health",INDEX(RosterHealth,MATCH(B33,RosterOfficer,0)),INDEX(RosterHealth,MATCH(B33,RosterOfficer,0))*0.5),"")</f>
        <v/>
      </c>
      <c r="N33" s="579">
        <f t="shared" ref="N33:N40" si="11">IFERROR(INDEX(AwayMissionTraitsTotals,MATCH(D33,AwayMissionTraits,0)),0) + IFERROR(INDEX(AwayMissionTraitsTotals,MATCH(G33,AwayMissionTraits,0)),0) + IFERROR(INDEX(AwayMissionTraitsTotals,MATCH(J33,AwayMissionTraits,0)),0)</f>
        <v>2</v>
      </c>
    </row>
    <row r="34" spans="1:14" x14ac:dyDescent="0.25">
      <c r="A34" s="359" t="str">
        <f t="shared" si="0"/>
        <v>R</v>
      </c>
      <c r="B34" s="477" t="s">
        <v>1938</v>
      </c>
      <c r="C34" s="477"/>
      <c r="D34" s="660" t="s">
        <v>1485</v>
      </c>
      <c r="E34" s="660"/>
      <c r="F34" s="360">
        <f t="shared" ca="1" si="1"/>
        <v>0</v>
      </c>
      <c r="G34" s="477" t="s">
        <v>1408</v>
      </c>
      <c r="H34" s="477"/>
      <c r="I34" s="360">
        <f t="shared" ca="1" si="2"/>
        <v>0</v>
      </c>
      <c r="J34" s="660"/>
      <c r="K34" s="660"/>
      <c r="L34" s="360">
        <f t="shared" ca="1" si="9"/>
        <v>0</v>
      </c>
      <c r="M34" s="457" t="str">
        <f t="shared" si="10"/>
        <v/>
      </c>
      <c r="N34" s="579">
        <f t="shared" si="11"/>
        <v>10</v>
      </c>
    </row>
    <row r="35" spans="1:14" x14ac:dyDescent="0.25">
      <c r="A35" s="359" t="str">
        <f t="shared" si="0"/>
        <v>R</v>
      </c>
      <c r="B35" s="377" t="s">
        <v>43</v>
      </c>
      <c r="C35" s="377"/>
      <c r="D35" s="661" t="s">
        <v>1506</v>
      </c>
      <c r="E35" s="661"/>
      <c r="F35" s="360">
        <f t="shared" ca="1" si="1"/>
        <v>0</v>
      </c>
      <c r="G35" s="661" t="s">
        <v>1430</v>
      </c>
      <c r="H35" s="661"/>
      <c r="I35" s="360">
        <f t="shared" ca="1" si="2"/>
        <v>0</v>
      </c>
      <c r="J35" s="661"/>
      <c r="K35" s="661"/>
      <c r="L35" s="360">
        <f t="shared" ca="1" si="9"/>
        <v>0</v>
      </c>
      <c r="M35" s="457" t="str">
        <f t="shared" si="10"/>
        <v/>
      </c>
      <c r="N35" s="579">
        <f t="shared" si="11"/>
        <v>23</v>
      </c>
    </row>
    <row r="36" spans="1:14" x14ac:dyDescent="0.25">
      <c r="A36" s="359" t="str">
        <f t="shared" si="0"/>
        <v>E</v>
      </c>
      <c r="B36" s="578" t="s">
        <v>2293</v>
      </c>
      <c r="C36" s="578"/>
      <c r="D36" s="660" t="s">
        <v>1414</v>
      </c>
      <c r="E36" s="660"/>
      <c r="F36" s="360">
        <f t="shared" ca="1" si="1"/>
        <v>0</v>
      </c>
      <c r="G36" s="660" t="s">
        <v>1469</v>
      </c>
      <c r="H36" s="660"/>
      <c r="I36" s="360">
        <f t="shared" ca="1" si="2"/>
        <v>0</v>
      </c>
      <c r="J36" s="660" t="s">
        <v>1473</v>
      </c>
      <c r="K36" s="660"/>
      <c r="L36" s="360">
        <f t="shared" ca="1" si="9"/>
        <v>0</v>
      </c>
      <c r="M36" s="457" t="str">
        <f t="shared" si="10"/>
        <v/>
      </c>
      <c r="N36" s="579">
        <f t="shared" si="11"/>
        <v>4</v>
      </c>
    </row>
    <row r="37" spans="1:14" x14ac:dyDescent="0.25">
      <c r="A37" s="359" t="str">
        <f t="shared" si="0"/>
        <v>R</v>
      </c>
      <c r="B37" s="477" t="s">
        <v>1939</v>
      </c>
      <c r="C37" s="477"/>
      <c r="D37" s="660" t="s">
        <v>1512</v>
      </c>
      <c r="E37" s="660"/>
      <c r="F37" s="360">
        <f t="shared" ca="1" si="1"/>
        <v>0</v>
      </c>
      <c r="G37" s="477" t="s">
        <v>1469</v>
      </c>
      <c r="H37" s="477"/>
      <c r="I37" s="360">
        <f t="shared" ca="1" si="2"/>
        <v>0</v>
      </c>
      <c r="J37" s="660"/>
      <c r="K37" s="660"/>
      <c r="L37" s="360">
        <f t="shared" ca="1" si="9"/>
        <v>0</v>
      </c>
      <c r="M37" s="457" t="str">
        <f t="shared" si="10"/>
        <v/>
      </c>
      <c r="N37" s="579">
        <f t="shared" si="11"/>
        <v>4</v>
      </c>
    </row>
    <row r="38" spans="1:14" x14ac:dyDescent="0.25">
      <c r="A38" s="359" t="str">
        <f t="shared" si="0"/>
        <v>R</v>
      </c>
      <c r="B38" s="377" t="s">
        <v>731</v>
      </c>
      <c r="C38" s="377"/>
      <c r="D38" s="661" t="s">
        <v>1440</v>
      </c>
      <c r="E38" s="661"/>
      <c r="F38" s="360">
        <f t="shared" ca="1" si="1"/>
        <v>0</v>
      </c>
      <c r="G38" s="661" t="s">
        <v>1424</v>
      </c>
      <c r="H38" s="661"/>
      <c r="I38" s="360">
        <f t="shared" ca="1" si="2"/>
        <v>0</v>
      </c>
      <c r="J38" s="661"/>
      <c r="K38" s="661"/>
      <c r="L38" s="360">
        <f t="shared" ca="1" si="9"/>
        <v>0</v>
      </c>
      <c r="M38" s="457" t="str">
        <f t="shared" si="10"/>
        <v/>
      </c>
      <c r="N38" s="579">
        <f t="shared" si="11"/>
        <v>14</v>
      </c>
    </row>
    <row r="39" spans="1:14" x14ac:dyDescent="0.25">
      <c r="A39" s="359" t="str">
        <f t="shared" si="0"/>
        <v>R</v>
      </c>
      <c r="B39" s="377" t="s">
        <v>44</v>
      </c>
      <c r="C39" s="377"/>
      <c r="D39" s="661" t="s">
        <v>1440</v>
      </c>
      <c r="E39" s="661"/>
      <c r="F39" s="360">
        <f t="shared" ca="1" si="1"/>
        <v>0</v>
      </c>
      <c r="G39" s="661" t="s">
        <v>1408</v>
      </c>
      <c r="H39" s="661"/>
      <c r="I39" s="360">
        <f t="shared" ca="1" si="2"/>
        <v>0</v>
      </c>
      <c r="J39" s="661"/>
      <c r="K39" s="661"/>
      <c r="L39" s="360">
        <f t="shared" ca="1" si="9"/>
        <v>0</v>
      </c>
      <c r="M39" s="457" t="str">
        <f t="shared" si="10"/>
        <v/>
      </c>
      <c r="N39" s="579">
        <f t="shared" si="11"/>
        <v>13</v>
      </c>
    </row>
    <row r="40" spans="1:14" x14ac:dyDescent="0.25">
      <c r="A40" s="359" t="str">
        <f t="shared" si="0"/>
        <v>R</v>
      </c>
      <c r="B40" s="578" t="s">
        <v>2295</v>
      </c>
      <c r="C40" s="578"/>
      <c r="D40" s="660" t="s">
        <v>1446</v>
      </c>
      <c r="E40" s="660"/>
      <c r="F40" s="360">
        <f t="shared" ca="1" si="1"/>
        <v>0</v>
      </c>
      <c r="G40" s="660" t="s">
        <v>1504</v>
      </c>
      <c r="H40" s="660"/>
      <c r="I40" s="360">
        <f t="shared" ca="1" si="2"/>
        <v>0</v>
      </c>
      <c r="J40" s="660"/>
      <c r="K40" s="660"/>
      <c r="L40" s="360">
        <f t="shared" ca="1" si="9"/>
        <v>0</v>
      </c>
      <c r="M40" s="457" t="str">
        <f t="shared" si="10"/>
        <v/>
      </c>
      <c r="N40" s="579">
        <f t="shared" si="11"/>
        <v>2</v>
      </c>
    </row>
    <row r="41" spans="1:14" x14ac:dyDescent="0.25">
      <c r="A41" s="359" t="str">
        <f t="shared" si="0"/>
        <v>C</v>
      </c>
      <c r="B41" s="377" t="s">
        <v>13</v>
      </c>
      <c r="C41" s="377"/>
      <c r="D41" s="661"/>
      <c r="E41" s="661"/>
      <c r="F41" s="360">
        <f t="shared" ca="1" si="1"/>
        <v>0</v>
      </c>
      <c r="G41" s="661"/>
      <c r="H41" s="661"/>
      <c r="I41" s="360">
        <f t="shared" ca="1" si="2"/>
        <v>0</v>
      </c>
      <c r="J41" s="661"/>
      <c r="K41" s="661"/>
      <c r="L41" s="360">
        <f t="shared" ca="1" si="3"/>
        <v>0</v>
      </c>
      <c r="M41" s="457" t="str">
        <f t="shared" si="4"/>
        <v/>
      </c>
      <c r="N41" s="437">
        <f t="shared" si="5"/>
        <v>0</v>
      </c>
    </row>
    <row r="42" spans="1:14" x14ac:dyDescent="0.25">
      <c r="A42" s="359" t="str">
        <f t="shared" si="0"/>
        <v>C</v>
      </c>
      <c r="B42" s="377" t="s">
        <v>14</v>
      </c>
      <c r="C42" s="377"/>
      <c r="D42" s="661"/>
      <c r="E42" s="661"/>
      <c r="F42" s="360">
        <f t="shared" ca="1" si="1"/>
        <v>0</v>
      </c>
      <c r="G42" s="661"/>
      <c r="H42" s="661"/>
      <c r="I42" s="360">
        <f t="shared" ca="1" si="2"/>
        <v>0</v>
      </c>
      <c r="J42" s="661"/>
      <c r="K42" s="661"/>
      <c r="L42" s="360">
        <f t="shared" ca="1" si="3"/>
        <v>0</v>
      </c>
      <c r="M42" s="457" t="str">
        <f t="shared" si="4"/>
        <v/>
      </c>
      <c r="N42" s="437">
        <f t="shared" si="5"/>
        <v>0</v>
      </c>
    </row>
    <row r="43" spans="1:14" x14ac:dyDescent="0.25">
      <c r="A43" s="359" t="str">
        <f t="shared" si="0"/>
        <v>C</v>
      </c>
      <c r="B43" s="377" t="s">
        <v>15</v>
      </c>
      <c r="C43" s="377"/>
      <c r="D43" s="661"/>
      <c r="E43" s="661"/>
      <c r="F43" s="360">
        <f t="shared" ca="1" si="1"/>
        <v>0</v>
      </c>
      <c r="G43" s="661"/>
      <c r="H43" s="661"/>
      <c r="I43" s="360">
        <f t="shared" ca="1" si="2"/>
        <v>0</v>
      </c>
      <c r="J43" s="661"/>
      <c r="K43" s="661"/>
      <c r="L43" s="360">
        <f t="shared" ca="1" si="3"/>
        <v>0</v>
      </c>
      <c r="M43" s="457" t="str">
        <f t="shared" si="4"/>
        <v/>
      </c>
      <c r="N43" s="437">
        <f t="shared" si="5"/>
        <v>0</v>
      </c>
    </row>
    <row r="44" spans="1:14" x14ac:dyDescent="0.25">
      <c r="A44" s="359" t="str">
        <f t="shared" si="0"/>
        <v>C</v>
      </c>
      <c r="B44" s="377" t="s">
        <v>18</v>
      </c>
      <c r="C44" s="377"/>
      <c r="D44" s="661"/>
      <c r="E44" s="661"/>
      <c r="F44" s="360">
        <f t="shared" ca="1" si="1"/>
        <v>0</v>
      </c>
      <c r="G44" s="661"/>
      <c r="H44" s="661"/>
      <c r="I44" s="360">
        <f t="shared" ca="1" si="2"/>
        <v>0</v>
      </c>
      <c r="J44" s="661"/>
      <c r="K44" s="661"/>
      <c r="L44" s="360">
        <f t="shared" ca="1" si="3"/>
        <v>0</v>
      </c>
      <c r="M44" s="457" t="str">
        <f t="shared" si="4"/>
        <v/>
      </c>
      <c r="N44" s="437">
        <f t="shared" si="5"/>
        <v>0</v>
      </c>
    </row>
    <row r="45" spans="1:14" x14ac:dyDescent="0.25">
      <c r="A45" s="359" t="str">
        <f t="shared" si="0"/>
        <v>C</v>
      </c>
      <c r="B45" s="377" t="s">
        <v>17</v>
      </c>
      <c r="C45" s="377"/>
      <c r="D45" s="661"/>
      <c r="E45" s="661"/>
      <c r="F45" s="360">
        <f t="shared" ca="1" si="1"/>
        <v>0</v>
      </c>
      <c r="G45" s="661"/>
      <c r="H45" s="661"/>
      <c r="I45" s="360">
        <f t="shared" ca="1" si="2"/>
        <v>0</v>
      </c>
      <c r="J45" s="661"/>
      <c r="K45" s="661"/>
      <c r="L45" s="360">
        <f t="shared" ca="1" si="3"/>
        <v>0</v>
      </c>
      <c r="M45" s="457" t="str">
        <f t="shared" si="4"/>
        <v/>
      </c>
      <c r="N45" s="437">
        <f t="shared" si="5"/>
        <v>0</v>
      </c>
    </row>
    <row r="46" spans="1:14" x14ac:dyDescent="0.25">
      <c r="A46" s="359" t="str">
        <f t="shared" si="0"/>
        <v>R</v>
      </c>
      <c r="B46" s="377" t="s">
        <v>97</v>
      </c>
      <c r="C46" s="377"/>
      <c r="D46" s="661" t="s">
        <v>1414</v>
      </c>
      <c r="E46" s="661"/>
      <c r="F46" s="360">
        <f t="shared" ca="1" si="1"/>
        <v>0</v>
      </c>
      <c r="G46" s="661" t="s">
        <v>1409</v>
      </c>
      <c r="H46" s="661"/>
      <c r="I46" s="360">
        <f t="shared" ca="1" si="2"/>
        <v>0</v>
      </c>
      <c r="J46" s="661"/>
      <c r="K46" s="661"/>
      <c r="L46" s="360">
        <f t="shared" ca="1" si="3"/>
        <v>0</v>
      </c>
      <c r="M46" s="457" t="str">
        <f t="shared" si="4"/>
        <v/>
      </c>
      <c r="N46" s="437">
        <f t="shared" si="5"/>
        <v>5</v>
      </c>
    </row>
    <row r="47" spans="1:14" x14ac:dyDescent="0.25">
      <c r="A47" s="359" t="str">
        <f t="shared" si="0"/>
        <v>E</v>
      </c>
      <c r="B47" s="377" t="s">
        <v>71</v>
      </c>
      <c r="C47" s="377"/>
      <c r="D47" s="661" t="s">
        <v>1403</v>
      </c>
      <c r="E47" s="661"/>
      <c r="F47" s="360">
        <f t="shared" ca="1" si="1"/>
        <v>0</v>
      </c>
      <c r="G47" s="661" t="s">
        <v>1400</v>
      </c>
      <c r="H47" s="661"/>
      <c r="I47" s="360">
        <f t="shared" ca="1" si="2"/>
        <v>0</v>
      </c>
      <c r="J47" s="661" t="s">
        <v>1488</v>
      </c>
      <c r="K47" s="661"/>
      <c r="L47" s="360">
        <f t="shared" ca="1" si="3"/>
        <v>0</v>
      </c>
      <c r="M47" s="457" t="str">
        <f t="shared" si="4"/>
        <v/>
      </c>
      <c r="N47" s="437">
        <f t="shared" si="5"/>
        <v>28</v>
      </c>
    </row>
    <row r="48" spans="1:14" x14ac:dyDescent="0.25">
      <c r="A48" s="359" t="str">
        <f t="shared" si="0"/>
        <v>R</v>
      </c>
      <c r="B48" s="533" t="s">
        <v>2178</v>
      </c>
      <c r="C48" s="533"/>
      <c r="D48" s="660" t="s">
        <v>1446</v>
      </c>
      <c r="E48" s="660"/>
      <c r="F48" s="360">
        <f t="shared" ca="1" si="1"/>
        <v>0</v>
      </c>
      <c r="G48" s="660" t="s">
        <v>1433</v>
      </c>
      <c r="H48" s="660"/>
      <c r="I48" s="360">
        <f t="shared" ca="1" si="2"/>
        <v>0</v>
      </c>
      <c r="J48" s="660"/>
      <c r="K48" s="660"/>
      <c r="L48" s="360">
        <f t="shared" ref="L48" ca="1" si="12">IFERROR(INDEX(ImportTraits3,MATCH(B48,ImportOfficerList,0)),0)</f>
        <v>0</v>
      </c>
      <c r="M48" s="457" t="str">
        <f t="shared" ref="M48" si="13">IF($F$8&lt;&gt;"",IF($F$8="Attack",INDEX(RosterAttack,MATCH(B48,RosterOfficer,0)),INDEX(RosterAttack,MATCH(B48,RosterOfficer,0))*0.5) + IF($F$8="Defence",INDEX(RosterDefence,MATCH(B48,RosterOfficer,0)),INDEX(RosterDefence,MATCH(B48,RosterOfficer,0))*0.5) + IF($F$8="Health",INDEX(RosterHealth,MATCH(B48,RosterOfficer,0)),INDEX(RosterHealth,MATCH(B48,RosterOfficer,0))*0.5),"")</f>
        <v/>
      </c>
      <c r="N48" s="532">
        <f t="shared" ref="N48" si="14">IFERROR(INDEX(AwayMissionTraitsTotals,MATCH(D48,AwayMissionTraits,0)),0) + IFERROR(INDEX(AwayMissionTraitsTotals,MATCH(G48,AwayMissionTraits,0)),0) + IFERROR(INDEX(AwayMissionTraitsTotals,MATCH(J48,AwayMissionTraits,0)),0)</f>
        <v>6</v>
      </c>
    </row>
    <row r="49" spans="1:14" x14ac:dyDescent="0.25">
      <c r="A49" s="359" t="str">
        <f t="shared" si="0"/>
        <v>R</v>
      </c>
      <c r="B49" s="377" t="s">
        <v>45</v>
      </c>
      <c r="C49" s="377"/>
      <c r="D49" s="661" t="s">
        <v>1414</v>
      </c>
      <c r="E49" s="661"/>
      <c r="F49" s="360">
        <f t="shared" ca="1" si="1"/>
        <v>0</v>
      </c>
      <c r="G49" s="661" t="s">
        <v>1409</v>
      </c>
      <c r="H49" s="661"/>
      <c r="I49" s="360">
        <f t="shared" ca="1" si="2"/>
        <v>0</v>
      </c>
      <c r="J49" s="661"/>
      <c r="K49" s="661"/>
      <c r="L49" s="360">
        <f t="shared" ca="1" si="3"/>
        <v>0</v>
      </c>
      <c r="M49" s="457" t="str">
        <f t="shared" si="4"/>
        <v/>
      </c>
      <c r="N49" s="437">
        <f t="shared" si="5"/>
        <v>5</v>
      </c>
    </row>
    <row r="50" spans="1:14" x14ac:dyDescent="0.25">
      <c r="A50" s="359" t="str">
        <f t="shared" si="0"/>
        <v>E</v>
      </c>
      <c r="B50" s="377" t="s">
        <v>80</v>
      </c>
      <c r="C50" s="377"/>
      <c r="D50" s="661" t="s">
        <v>1414</v>
      </c>
      <c r="E50" s="661"/>
      <c r="F50" s="360">
        <f t="shared" ca="1" si="1"/>
        <v>0</v>
      </c>
      <c r="G50" s="661" t="s">
        <v>1412</v>
      </c>
      <c r="H50" s="661"/>
      <c r="I50" s="360">
        <f t="shared" ca="1" si="2"/>
        <v>0</v>
      </c>
      <c r="J50" s="661" t="s">
        <v>1468</v>
      </c>
      <c r="K50" s="661"/>
      <c r="L50" s="360">
        <f t="shared" ca="1" si="3"/>
        <v>0</v>
      </c>
      <c r="M50" s="457" t="str">
        <f t="shared" si="4"/>
        <v/>
      </c>
      <c r="N50" s="437">
        <f t="shared" si="5"/>
        <v>15</v>
      </c>
    </row>
    <row r="51" spans="1:14" x14ac:dyDescent="0.25">
      <c r="A51" s="359" t="str">
        <f t="shared" si="0"/>
        <v>U</v>
      </c>
      <c r="B51" s="377" t="s">
        <v>20</v>
      </c>
      <c r="C51" s="377"/>
      <c r="D51" s="661" t="s">
        <v>1479</v>
      </c>
      <c r="E51" s="661"/>
      <c r="F51" s="360">
        <f t="shared" ca="1" si="1"/>
        <v>0</v>
      </c>
      <c r="G51" s="661"/>
      <c r="H51" s="661"/>
      <c r="I51" s="360">
        <f t="shared" ca="1" si="2"/>
        <v>0</v>
      </c>
      <c r="J51" s="661"/>
      <c r="K51" s="661"/>
      <c r="L51" s="360">
        <f t="shared" ca="1" si="3"/>
        <v>0</v>
      </c>
      <c r="M51" s="457" t="str">
        <f t="shared" si="4"/>
        <v/>
      </c>
      <c r="N51" s="437">
        <f t="shared" si="5"/>
        <v>6</v>
      </c>
    </row>
    <row r="52" spans="1:14" x14ac:dyDescent="0.25">
      <c r="A52" s="359" t="str">
        <f t="shared" si="0"/>
        <v>U</v>
      </c>
      <c r="B52" s="377" t="s">
        <v>85</v>
      </c>
      <c r="C52" s="377"/>
      <c r="D52" s="661" t="s">
        <v>1440</v>
      </c>
      <c r="E52" s="661"/>
      <c r="F52" s="360">
        <f t="shared" ca="1" si="1"/>
        <v>0</v>
      </c>
      <c r="G52" s="661"/>
      <c r="H52" s="661"/>
      <c r="I52" s="360">
        <f t="shared" ca="1" si="2"/>
        <v>0</v>
      </c>
      <c r="J52" s="661"/>
      <c r="K52" s="661"/>
      <c r="L52" s="360">
        <f t="shared" ca="1" si="3"/>
        <v>0</v>
      </c>
      <c r="M52" s="457" t="str">
        <f t="shared" si="4"/>
        <v/>
      </c>
      <c r="N52" s="437">
        <f t="shared" si="5"/>
        <v>6</v>
      </c>
    </row>
    <row r="53" spans="1:14" x14ac:dyDescent="0.25">
      <c r="A53" s="359" t="str">
        <f t="shared" si="0"/>
        <v>C</v>
      </c>
      <c r="B53" s="377" t="s">
        <v>91</v>
      </c>
      <c r="C53" s="377"/>
      <c r="D53" s="661"/>
      <c r="E53" s="661"/>
      <c r="F53" s="360">
        <f t="shared" ca="1" si="1"/>
        <v>0</v>
      </c>
      <c r="G53" s="661"/>
      <c r="H53" s="661"/>
      <c r="I53" s="360">
        <f t="shared" ca="1" si="2"/>
        <v>0</v>
      </c>
      <c r="J53" s="661"/>
      <c r="K53" s="661"/>
      <c r="L53" s="360">
        <f t="shared" ca="1" si="3"/>
        <v>0</v>
      </c>
      <c r="M53" s="457" t="str">
        <f t="shared" si="4"/>
        <v/>
      </c>
      <c r="N53" s="437">
        <f t="shared" si="5"/>
        <v>0</v>
      </c>
    </row>
    <row r="54" spans="1:14" x14ac:dyDescent="0.25">
      <c r="A54" s="359" t="str">
        <f t="shared" si="0"/>
        <v>E</v>
      </c>
      <c r="B54" s="377" t="s">
        <v>732</v>
      </c>
      <c r="C54" s="377"/>
      <c r="D54" s="661" t="s">
        <v>1485</v>
      </c>
      <c r="E54" s="661"/>
      <c r="F54" s="360">
        <f t="shared" ca="1" si="1"/>
        <v>0</v>
      </c>
      <c r="G54" s="661" t="s">
        <v>1412</v>
      </c>
      <c r="H54" s="661"/>
      <c r="I54" s="360">
        <f t="shared" ca="1" si="2"/>
        <v>0</v>
      </c>
      <c r="J54" s="661" t="s">
        <v>1510</v>
      </c>
      <c r="K54" s="661"/>
      <c r="L54" s="360">
        <f t="shared" ca="1" si="3"/>
        <v>0</v>
      </c>
      <c r="M54" s="457" t="str">
        <f t="shared" si="4"/>
        <v/>
      </c>
      <c r="N54" s="437">
        <f t="shared" si="5"/>
        <v>13</v>
      </c>
    </row>
    <row r="55" spans="1:14" x14ac:dyDescent="0.25">
      <c r="A55" s="359" t="str">
        <f t="shared" si="0"/>
        <v>E</v>
      </c>
      <c r="B55" s="377" t="s">
        <v>1354</v>
      </c>
      <c r="C55" s="377"/>
      <c r="D55" s="661" t="s">
        <v>1481</v>
      </c>
      <c r="E55" s="661"/>
      <c r="F55" s="360">
        <f t="shared" ca="1" si="1"/>
        <v>0</v>
      </c>
      <c r="G55" s="661" t="s">
        <v>1511</v>
      </c>
      <c r="H55" s="661"/>
      <c r="I55" s="360">
        <f t="shared" ca="1" si="2"/>
        <v>0</v>
      </c>
      <c r="J55" s="661" t="s">
        <v>1449</v>
      </c>
      <c r="K55" s="661"/>
      <c r="L55" s="360">
        <f t="shared" ca="1" si="3"/>
        <v>0</v>
      </c>
      <c r="M55" s="457" t="str">
        <f t="shared" si="4"/>
        <v/>
      </c>
      <c r="N55" s="437">
        <f t="shared" si="5"/>
        <v>6</v>
      </c>
    </row>
    <row r="56" spans="1:14" x14ac:dyDescent="0.25">
      <c r="A56" s="359" t="str">
        <f t="shared" ref="A56:A95" si="15">VLOOKUP(B56,OfficerScores,2,FALSE)</f>
        <v>R</v>
      </c>
      <c r="B56" s="377" t="s">
        <v>48</v>
      </c>
      <c r="C56" s="377"/>
      <c r="D56" s="661" t="s">
        <v>1414</v>
      </c>
      <c r="E56" s="661"/>
      <c r="F56" s="360">
        <f t="shared" ref="F56:F95" ca="1" si="16">IFERROR(INDEX(ImportTraits1,MATCH(B56,ImportOfficerList,0)),0)</f>
        <v>0</v>
      </c>
      <c r="G56" s="661" t="s">
        <v>1483</v>
      </c>
      <c r="H56" s="661"/>
      <c r="I56" s="360">
        <f t="shared" ref="I56:I95" ca="1" si="17">IFERROR(INDEX(ImportTraits2,MATCH(B56,ImportOfficerList,0)),0)</f>
        <v>0</v>
      </c>
      <c r="J56" s="661"/>
      <c r="K56" s="661"/>
      <c r="L56" s="360">
        <f t="shared" ref="L56:L95" ca="1" si="18">IFERROR(INDEX(ImportTraits3,MATCH(B56,ImportOfficerList,0)),0)</f>
        <v>0</v>
      </c>
      <c r="M56" s="457" t="str">
        <f t="shared" si="4"/>
        <v/>
      </c>
      <c r="N56" s="437">
        <f t="shared" si="5"/>
        <v>3</v>
      </c>
    </row>
    <row r="57" spans="1:14" x14ac:dyDescent="0.25">
      <c r="A57" s="359" t="str">
        <f t="shared" si="15"/>
        <v>U</v>
      </c>
      <c r="B57" s="377" t="s">
        <v>34</v>
      </c>
      <c r="C57" s="377"/>
      <c r="D57" s="661" t="s">
        <v>1414</v>
      </c>
      <c r="E57" s="661"/>
      <c r="F57" s="360">
        <f t="shared" ca="1" si="16"/>
        <v>0</v>
      </c>
      <c r="G57" s="661"/>
      <c r="H57" s="661"/>
      <c r="I57" s="360">
        <f t="shared" ca="1" si="17"/>
        <v>0</v>
      </c>
      <c r="J57" s="661"/>
      <c r="K57" s="661"/>
      <c r="L57" s="360">
        <f t="shared" ca="1" si="18"/>
        <v>0</v>
      </c>
      <c r="M57" s="457" t="str">
        <f t="shared" si="4"/>
        <v/>
      </c>
      <c r="N57" s="437">
        <f t="shared" si="5"/>
        <v>0</v>
      </c>
    </row>
    <row r="58" spans="1:14" x14ac:dyDescent="0.25">
      <c r="A58" s="359" t="str">
        <f t="shared" si="15"/>
        <v>C</v>
      </c>
      <c r="B58" s="377" t="s">
        <v>19</v>
      </c>
      <c r="C58" s="377"/>
      <c r="D58" s="661"/>
      <c r="E58" s="661"/>
      <c r="F58" s="360">
        <f t="shared" ca="1" si="16"/>
        <v>0</v>
      </c>
      <c r="G58" s="661"/>
      <c r="H58" s="661"/>
      <c r="I58" s="360">
        <f t="shared" ca="1" si="17"/>
        <v>0</v>
      </c>
      <c r="J58" s="661"/>
      <c r="K58" s="661"/>
      <c r="L58" s="360">
        <f t="shared" ca="1" si="18"/>
        <v>0</v>
      </c>
      <c r="M58" s="457" t="str">
        <f t="shared" si="4"/>
        <v/>
      </c>
      <c r="N58" s="437">
        <f t="shared" si="5"/>
        <v>0</v>
      </c>
    </row>
    <row r="59" spans="1:14" x14ac:dyDescent="0.25">
      <c r="A59" s="359" t="str">
        <f t="shared" si="15"/>
        <v>R</v>
      </c>
      <c r="B59" s="377" t="s">
        <v>254</v>
      </c>
      <c r="C59" s="377"/>
      <c r="D59" s="661" t="s">
        <v>1403</v>
      </c>
      <c r="E59" s="661"/>
      <c r="F59" s="360">
        <f t="shared" ca="1" si="16"/>
        <v>0</v>
      </c>
      <c r="G59" s="661" t="s">
        <v>1433</v>
      </c>
      <c r="H59" s="661"/>
      <c r="I59" s="360">
        <f t="shared" ca="1" si="17"/>
        <v>0</v>
      </c>
      <c r="J59" s="661"/>
      <c r="K59" s="661"/>
      <c r="L59" s="360">
        <f t="shared" ca="1" si="18"/>
        <v>0</v>
      </c>
      <c r="M59" s="457" t="str">
        <f t="shared" si="4"/>
        <v/>
      </c>
      <c r="N59" s="437">
        <f t="shared" si="5"/>
        <v>20</v>
      </c>
    </row>
    <row r="60" spans="1:14" x14ac:dyDescent="0.25">
      <c r="A60" s="359" t="str">
        <f>VLOOKUP(B60,OfficerScores,2,FALSE)</f>
        <v>U</v>
      </c>
      <c r="B60" s="377" t="s">
        <v>1644</v>
      </c>
      <c r="C60" s="377"/>
      <c r="D60" s="660" t="s">
        <v>1431</v>
      </c>
      <c r="E60" s="660"/>
      <c r="F60" s="360">
        <f ca="1">IFERROR(INDEX(ImportTraits1,MATCH(B60,ImportOfficerList,0)),IFERROR(INDEX(ImportTraits1,MATCH("8 of 10",ImportOfficerList,0)),0))</f>
        <v>0</v>
      </c>
      <c r="G60" s="661"/>
      <c r="H60" s="661"/>
      <c r="I60" s="360">
        <f ca="1">IFERROR(INDEX(ImportTraits2,MATCH(B60,ImportOfficerList,0)),IFERROR(INDEX(ImportTraits2,MATCH("8 of 10",ImportOfficerList,0)),0))</f>
        <v>0</v>
      </c>
      <c r="J60" s="661"/>
      <c r="K60" s="661"/>
      <c r="L60" s="360">
        <f ca="1">IFERROR(INDEX(ImportTraits3,MATCH(B60,ImportOfficerList,0)),IFERROR(INDEX(ImportTraits3,MATCH("8 of 10",ImportOfficerList,0)),0))</f>
        <v>0</v>
      </c>
      <c r="M60" s="457" t="str">
        <f t="shared" si="4"/>
        <v/>
      </c>
      <c r="N60" s="437">
        <f t="shared" si="5"/>
        <v>6</v>
      </c>
    </row>
    <row r="61" spans="1:14" x14ac:dyDescent="0.25">
      <c r="A61" s="359" t="str">
        <f>VLOOKUP(B61,OfficerScores,2,FALSE)</f>
        <v>E</v>
      </c>
      <c r="B61" s="435" t="s">
        <v>1651</v>
      </c>
      <c r="C61" s="435"/>
      <c r="D61" s="660" t="s">
        <v>1431</v>
      </c>
      <c r="E61" s="660"/>
      <c r="F61" s="360">
        <f ca="1">IFERROR(INDEX(ImportTraits1,MATCH(B61,ImportOfficerList,0)),0)</f>
        <v>0</v>
      </c>
      <c r="G61" s="660" t="s">
        <v>1430</v>
      </c>
      <c r="H61" s="660"/>
      <c r="I61" s="360">
        <f ca="1">IFERROR(INDEX(ImportTraits2,MATCH(B61,ImportOfficerList,0)),0)</f>
        <v>0</v>
      </c>
      <c r="J61" s="660" t="s">
        <v>1471</v>
      </c>
      <c r="K61" s="660"/>
      <c r="L61" s="360">
        <f ca="1">IFERROR(INDEX(ImportTraits3,MATCH(B61,ImportOfficerList,0)),0)</f>
        <v>0</v>
      </c>
      <c r="M61" s="457" t="str">
        <f t="shared" si="4"/>
        <v/>
      </c>
      <c r="N61" s="437">
        <f t="shared" si="5"/>
        <v>30</v>
      </c>
    </row>
    <row r="62" spans="1:14" x14ac:dyDescent="0.25">
      <c r="A62" s="359" t="str">
        <f t="shared" si="15"/>
        <v>R</v>
      </c>
      <c r="B62" s="377" t="s">
        <v>96</v>
      </c>
      <c r="C62" s="377"/>
      <c r="D62" s="661" t="s">
        <v>1414</v>
      </c>
      <c r="E62" s="661"/>
      <c r="F62" s="360">
        <f t="shared" ca="1" si="16"/>
        <v>0</v>
      </c>
      <c r="G62" s="661" t="s">
        <v>1409</v>
      </c>
      <c r="H62" s="661"/>
      <c r="I62" s="360">
        <f t="shared" ca="1" si="17"/>
        <v>0</v>
      </c>
      <c r="J62" s="661"/>
      <c r="K62" s="661"/>
      <c r="L62" s="360">
        <f t="shared" ca="1" si="18"/>
        <v>0</v>
      </c>
      <c r="M62" s="457" t="str">
        <f t="shared" si="4"/>
        <v/>
      </c>
      <c r="N62" s="437">
        <f t="shared" si="5"/>
        <v>5</v>
      </c>
    </row>
    <row r="63" spans="1:14" x14ac:dyDescent="0.25">
      <c r="A63" s="359" t="str">
        <f t="shared" si="15"/>
        <v>E</v>
      </c>
      <c r="B63" s="377" t="s">
        <v>107</v>
      </c>
      <c r="C63" s="377"/>
      <c r="D63" s="661" t="s">
        <v>1512</v>
      </c>
      <c r="E63" s="661"/>
      <c r="F63" s="360">
        <f t="shared" ca="1" si="16"/>
        <v>0</v>
      </c>
      <c r="G63" s="661" t="s">
        <v>1451</v>
      </c>
      <c r="H63" s="661"/>
      <c r="I63" s="360">
        <f t="shared" ca="1" si="17"/>
        <v>0</v>
      </c>
      <c r="J63" s="661" t="s">
        <v>1450</v>
      </c>
      <c r="K63" s="661"/>
      <c r="L63" s="360">
        <f t="shared" ca="1" si="18"/>
        <v>0</v>
      </c>
      <c r="M63" s="457" t="str">
        <f t="shared" si="4"/>
        <v/>
      </c>
      <c r="N63" s="437">
        <f t="shared" si="5"/>
        <v>15</v>
      </c>
    </row>
    <row r="64" spans="1:14" x14ac:dyDescent="0.25">
      <c r="A64" s="359" t="str">
        <f t="shared" si="15"/>
        <v>R</v>
      </c>
      <c r="B64" s="485" t="s">
        <v>1975</v>
      </c>
      <c r="C64" s="485"/>
      <c r="D64" s="660" t="s">
        <v>1512</v>
      </c>
      <c r="E64" s="660"/>
      <c r="F64" s="360">
        <f t="shared" ca="1" si="16"/>
        <v>0</v>
      </c>
      <c r="G64" s="660" t="s">
        <v>1409</v>
      </c>
      <c r="H64" s="660"/>
      <c r="I64" s="360">
        <f t="shared" ca="1" si="17"/>
        <v>0</v>
      </c>
      <c r="J64" s="660"/>
      <c r="K64" s="660"/>
      <c r="L64" s="360">
        <f t="shared" ref="L64" ca="1" si="19">IFERROR(INDEX(ImportTraits3,MATCH(B64,ImportOfficerList,0)),0)</f>
        <v>0</v>
      </c>
      <c r="M64" s="457" t="str">
        <f t="shared" ref="M64" si="20">IF($F$8&lt;&gt;"",IF($F$8="Attack",INDEX(RosterAttack,MATCH(B64,RosterOfficer,0)),INDEX(RosterAttack,MATCH(B64,RosterOfficer,0))*0.5) + IF($F$8="Defence",INDEX(RosterDefence,MATCH(B64,RosterOfficer,0)),INDEX(RosterDefence,MATCH(B64,RosterOfficer,0))*0.5) + IF($F$8="Health",INDEX(RosterHealth,MATCH(B64,RosterOfficer,0)),INDEX(RosterHealth,MATCH(B64,RosterOfficer,0))*0.5),"")</f>
        <v/>
      </c>
      <c r="N64" s="486">
        <f t="shared" ref="N64" si="21">IFERROR(INDEX(AwayMissionTraitsTotals,MATCH(D64,AwayMissionTraits,0)),0) + IFERROR(INDEX(AwayMissionTraitsTotals,MATCH(G64,AwayMissionTraits,0)),0) + IFERROR(INDEX(AwayMissionTraitsTotals,MATCH(J64,AwayMissionTraits,0)),0)</f>
        <v>7</v>
      </c>
    </row>
    <row r="65" spans="1:14" x14ac:dyDescent="0.25">
      <c r="A65" s="359" t="str">
        <f>VLOOKUP(B65,OfficerScores,2,FALSE)</f>
        <v>E</v>
      </c>
      <c r="B65" s="377" t="s">
        <v>1640</v>
      </c>
      <c r="C65" s="377"/>
      <c r="D65" s="660" t="s">
        <v>1431</v>
      </c>
      <c r="E65" s="660"/>
      <c r="F65" s="360">
        <f ca="1">IFERROR(INDEX(ImportTraits1,MATCH(B65,ImportOfficerList,0)),IFERROR(INDEX(ImportTraits1,MATCH("5 of 10",ImportOfficerList,0)),0))</f>
        <v>0</v>
      </c>
      <c r="G65" s="661" t="s">
        <v>1409</v>
      </c>
      <c r="H65" s="661"/>
      <c r="I65" s="360">
        <f ca="1">IFERROR(INDEX(ImportTraits2,MATCH(B65,ImportOfficerList,0)),IFERROR(INDEX(ImportTraits2,MATCH("5 of 10",ImportOfficerList,0)),0))</f>
        <v>0</v>
      </c>
      <c r="J65" s="661" t="s">
        <v>1407</v>
      </c>
      <c r="K65" s="661"/>
      <c r="L65" s="360">
        <f ca="1">IFERROR(INDEX(ImportTraits3,MATCH(B65,ImportOfficerList,0)),IFERROR(INDEX(ImportTraits3,MATCH("5 of 10",ImportOfficerList,0)),0))</f>
        <v>0</v>
      </c>
      <c r="M65" s="457" t="str">
        <f t="shared" si="4"/>
        <v/>
      </c>
      <c r="N65" s="437">
        <f t="shared" si="5"/>
        <v>17</v>
      </c>
    </row>
    <row r="66" spans="1:14" x14ac:dyDescent="0.25">
      <c r="A66" s="359" t="str">
        <f>VLOOKUP(B66,OfficerScores,2,FALSE)</f>
        <v>E</v>
      </c>
      <c r="B66" s="377" t="s">
        <v>1638</v>
      </c>
      <c r="C66" s="377"/>
      <c r="D66" s="660" t="s">
        <v>1431</v>
      </c>
      <c r="E66" s="660"/>
      <c r="F66" s="360">
        <f ca="1">IFERROR(INDEX(ImportTraits1,MATCH(B66,ImportOfficerList,0)),IFERROR(INDEX(ImportTraits1,MATCH("4 of 10",ImportOfficerList,0)),0))</f>
        <v>0</v>
      </c>
      <c r="G66" s="660" t="s">
        <v>1424</v>
      </c>
      <c r="H66" s="660"/>
      <c r="I66" s="360">
        <f ca="1">IFERROR(INDEX(ImportTraits2,MATCH(B66,ImportOfficerList,0)),IFERROR(INDEX(ImportTraits2,MATCH("4 of 10",ImportOfficerList,0)),0))</f>
        <v>0</v>
      </c>
      <c r="J66" s="660" t="s">
        <v>1471</v>
      </c>
      <c r="K66" s="660"/>
      <c r="L66" s="360">
        <f ca="1">IFERROR(INDEX(ImportTraits3,MATCH(B66,ImportOfficerList,0)),IFERROR(INDEX(ImportTraits3,MATCH("4 of 10",ImportOfficerList,0)),0))</f>
        <v>0</v>
      </c>
      <c r="M66" s="457" t="str">
        <f t="shared" ref="M66:M99" si="22">IF($F$8&lt;&gt;"",IF($F$8="Attack",INDEX(RosterAttack,MATCH(B66,RosterOfficer,0)),INDEX(RosterAttack,MATCH(B66,RosterOfficer,0))*0.5) + IF($F$8="Defence",INDEX(RosterDefence,MATCH(B66,RosterOfficer,0)),INDEX(RosterDefence,MATCH(B66,RosterOfficer,0))*0.5) + IF($F$8="Health",INDEX(RosterHealth,MATCH(B66,RosterOfficer,0)),INDEX(RosterHealth,MATCH(B66,RosterOfficer,0))*0.5),"")</f>
        <v/>
      </c>
      <c r="N66" s="437">
        <f t="shared" ref="N66:N99" si="23">IFERROR(INDEX(AwayMissionTraitsTotals,MATCH(D66,AwayMissionTraits,0)),0) + IFERROR(INDEX(AwayMissionTraitsTotals,MATCH(G66,AwayMissionTraits,0)),0) + IFERROR(INDEX(AwayMissionTraitsTotals,MATCH(J66,AwayMissionTraits,0)),0)</f>
        <v>22</v>
      </c>
    </row>
    <row r="67" spans="1:14" x14ac:dyDescent="0.25">
      <c r="A67" s="359" t="str">
        <f t="shared" si="15"/>
        <v>C</v>
      </c>
      <c r="B67" s="377" t="s">
        <v>5</v>
      </c>
      <c r="C67" s="377"/>
      <c r="D67" s="661"/>
      <c r="E67" s="661"/>
      <c r="F67" s="360">
        <f t="shared" ca="1" si="16"/>
        <v>0</v>
      </c>
      <c r="G67" s="661"/>
      <c r="H67" s="661"/>
      <c r="I67" s="360">
        <f t="shared" ca="1" si="17"/>
        <v>0</v>
      </c>
      <c r="J67" s="661"/>
      <c r="K67" s="661"/>
      <c r="L67" s="360">
        <f t="shared" ca="1" si="18"/>
        <v>0</v>
      </c>
      <c r="M67" s="457" t="str">
        <f t="shared" si="22"/>
        <v/>
      </c>
      <c r="N67" s="437">
        <f t="shared" si="23"/>
        <v>0</v>
      </c>
    </row>
    <row r="68" spans="1:14" x14ac:dyDescent="0.25">
      <c r="A68" s="359" t="str">
        <f t="shared" si="15"/>
        <v>E</v>
      </c>
      <c r="B68" s="377" t="s">
        <v>733</v>
      </c>
      <c r="C68" s="377"/>
      <c r="D68" s="661" t="s">
        <v>1401</v>
      </c>
      <c r="E68" s="661"/>
      <c r="F68" s="360">
        <f t="shared" ca="1" si="16"/>
        <v>0</v>
      </c>
      <c r="G68" s="661" t="s">
        <v>1400</v>
      </c>
      <c r="H68" s="661"/>
      <c r="I68" s="360">
        <f t="shared" ca="1" si="17"/>
        <v>0</v>
      </c>
      <c r="J68" s="661" t="s">
        <v>1492</v>
      </c>
      <c r="K68" s="661"/>
      <c r="L68" s="360">
        <f t="shared" ca="1" si="18"/>
        <v>0</v>
      </c>
      <c r="M68" s="457" t="str">
        <f t="shared" si="22"/>
        <v/>
      </c>
      <c r="N68" s="437">
        <f t="shared" si="23"/>
        <v>26</v>
      </c>
    </row>
    <row r="69" spans="1:14" x14ac:dyDescent="0.25">
      <c r="A69" s="359" t="str">
        <f t="shared" si="15"/>
        <v>E</v>
      </c>
      <c r="B69" s="377" t="s">
        <v>108</v>
      </c>
      <c r="C69" s="377"/>
      <c r="D69" s="661" t="s">
        <v>817</v>
      </c>
      <c r="E69" s="661"/>
      <c r="F69" s="360">
        <f t="shared" ca="1" si="16"/>
        <v>0</v>
      </c>
      <c r="G69" s="661" t="s">
        <v>1433</v>
      </c>
      <c r="H69" s="661"/>
      <c r="I69" s="360">
        <f t="shared" ca="1" si="17"/>
        <v>0</v>
      </c>
      <c r="J69" s="661" t="s">
        <v>1513</v>
      </c>
      <c r="K69" s="661"/>
      <c r="L69" s="360">
        <f t="shared" ca="1" si="18"/>
        <v>0</v>
      </c>
      <c r="M69" s="457" t="str">
        <f t="shared" si="22"/>
        <v/>
      </c>
      <c r="N69" s="437">
        <f t="shared" si="23"/>
        <v>9</v>
      </c>
    </row>
    <row r="70" spans="1:14" x14ac:dyDescent="0.25">
      <c r="A70" s="359" t="str">
        <f t="shared" si="15"/>
        <v>E</v>
      </c>
      <c r="B70" s="460" t="s">
        <v>1846</v>
      </c>
      <c r="C70" s="460"/>
      <c r="D70" s="660" t="s">
        <v>1446</v>
      </c>
      <c r="E70" s="660"/>
      <c r="F70" s="360">
        <f t="shared" ca="1" si="16"/>
        <v>0</v>
      </c>
      <c r="G70" s="660" t="s">
        <v>1409</v>
      </c>
      <c r="H70" s="660"/>
      <c r="I70" s="360">
        <f t="shared" ca="1" si="17"/>
        <v>0</v>
      </c>
      <c r="J70" s="660" t="s">
        <v>1422</v>
      </c>
      <c r="K70" s="660"/>
      <c r="L70" s="360">
        <f t="shared" ref="L70" ca="1" si="24">IFERROR(INDEX(ImportTraits3,MATCH(B70,ImportOfficerList,0)),0)</f>
        <v>0</v>
      </c>
      <c r="M70" s="457" t="str">
        <f t="shared" ref="M70" si="25">IF($F$8&lt;&gt;"",IF($F$8="Attack",INDEX(RosterAttack,MATCH(B70,RosterOfficer,0)),INDEX(RosterAttack,MATCH(B70,RosterOfficer,0))*0.5) + IF($F$8="Defence",INDEX(RosterDefence,MATCH(B70,RosterOfficer,0)),INDEX(RosterDefence,MATCH(B70,RosterOfficer,0))*0.5) + IF($F$8="Health",INDEX(RosterHealth,MATCH(B70,RosterOfficer,0)),INDEX(RosterHealth,MATCH(B70,RosterOfficer,0))*0.5),"")</f>
        <v/>
      </c>
      <c r="N70" s="461">
        <f t="shared" ref="N70" si="26">IFERROR(INDEX(AwayMissionTraitsTotals,MATCH(D70,AwayMissionTraits,0)),0) + IFERROR(INDEX(AwayMissionTraitsTotals,MATCH(G70,AwayMissionTraits,0)),0) + IFERROR(INDEX(AwayMissionTraitsTotals,MATCH(J70,AwayMissionTraits,0)),0)</f>
        <v>8</v>
      </c>
    </row>
    <row r="71" spans="1:14" x14ac:dyDescent="0.25">
      <c r="A71" s="359" t="str">
        <f t="shared" si="15"/>
        <v>U</v>
      </c>
      <c r="B71" s="377" t="s">
        <v>28</v>
      </c>
      <c r="C71" s="377"/>
      <c r="D71" s="661" t="s">
        <v>1436</v>
      </c>
      <c r="E71" s="661"/>
      <c r="F71" s="360">
        <f t="shared" ca="1" si="16"/>
        <v>0</v>
      </c>
      <c r="G71" s="661"/>
      <c r="H71" s="661"/>
      <c r="I71" s="360">
        <f t="shared" ca="1" si="17"/>
        <v>0</v>
      </c>
      <c r="J71" s="661"/>
      <c r="K71" s="661"/>
      <c r="L71" s="360">
        <f t="shared" ca="1" si="18"/>
        <v>0</v>
      </c>
      <c r="M71" s="457" t="str">
        <f t="shared" si="22"/>
        <v/>
      </c>
      <c r="N71" s="437">
        <f t="shared" si="23"/>
        <v>6</v>
      </c>
    </row>
    <row r="72" spans="1:14" x14ac:dyDescent="0.25">
      <c r="A72" s="359" t="str">
        <f t="shared" si="15"/>
        <v>U</v>
      </c>
      <c r="B72" s="377" t="s">
        <v>95</v>
      </c>
      <c r="C72" s="377"/>
      <c r="D72" s="661" t="s">
        <v>1414</v>
      </c>
      <c r="E72" s="661"/>
      <c r="F72" s="360">
        <f t="shared" ca="1" si="16"/>
        <v>0</v>
      </c>
      <c r="G72" s="661"/>
      <c r="H72" s="661"/>
      <c r="I72" s="360">
        <f t="shared" ca="1" si="17"/>
        <v>0</v>
      </c>
      <c r="J72" s="661"/>
      <c r="K72" s="661"/>
      <c r="L72" s="360">
        <f t="shared" ca="1" si="18"/>
        <v>0</v>
      </c>
      <c r="M72" s="457" t="str">
        <f t="shared" si="22"/>
        <v/>
      </c>
      <c r="N72" s="437">
        <f t="shared" si="23"/>
        <v>0</v>
      </c>
    </row>
    <row r="73" spans="1:14" x14ac:dyDescent="0.25">
      <c r="A73" s="359" t="str">
        <f t="shared" si="15"/>
        <v>E</v>
      </c>
      <c r="B73" s="377" t="s">
        <v>67</v>
      </c>
      <c r="C73" s="377"/>
      <c r="D73" s="661" t="s">
        <v>1410</v>
      </c>
      <c r="E73" s="661"/>
      <c r="F73" s="360">
        <f t="shared" ca="1" si="16"/>
        <v>0</v>
      </c>
      <c r="G73" s="661" t="s">
        <v>1409</v>
      </c>
      <c r="H73" s="661"/>
      <c r="I73" s="360">
        <f t="shared" ca="1" si="17"/>
        <v>0</v>
      </c>
      <c r="J73" s="661" t="s">
        <v>1407</v>
      </c>
      <c r="K73" s="661"/>
      <c r="L73" s="360">
        <f t="shared" ca="1" si="18"/>
        <v>0</v>
      </c>
      <c r="M73" s="457" t="str">
        <f t="shared" si="22"/>
        <v/>
      </c>
      <c r="N73" s="437">
        <f t="shared" si="23"/>
        <v>15</v>
      </c>
    </row>
    <row r="74" spans="1:14" x14ac:dyDescent="0.25">
      <c r="A74" s="359" t="str">
        <f t="shared" si="15"/>
        <v>R</v>
      </c>
      <c r="B74" s="460" t="s">
        <v>1848</v>
      </c>
      <c r="C74" s="460"/>
      <c r="D74" s="660" t="s">
        <v>1410</v>
      </c>
      <c r="E74" s="660"/>
      <c r="F74" s="360">
        <f t="shared" ca="1" si="16"/>
        <v>0</v>
      </c>
      <c r="G74" s="660" t="s">
        <v>1409</v>
      </c>
      <c r="H74" s="660"/>
      <c r="I74" s="360">
        <f t="shared" ca="1" si="17"/>
        <v>0</v>
      </c>
      <c r="J74" s="660"/>
      <c r="K74" s="660"/>
      <c r="L74" s="360">
        <f t="shared" ref="L74" ca="1" si="27">IFERROR(INDEX(ImportTraits3,MATCH(B74,ImportOfficerList,0)),0)</f>
        <v>0</v>
      </c>
      <c r="M74" s="457" t="str">
        <f t="shared" ref="M74" si="28">IF($F$8&lt;&gt;"",IF($F$8="Attack",INDEX(RosterAttack,MATCH(B74,RosterOfficer,0)),INDEX(RosterAttack,MATCH(B74,RosterOfficer,0))*0.5) + IF($F$8="Defence",INDEX(RosterDefence,MATCH(B74,RosterOfficer,0)),INDEX(RosterDefence,MATCH(B74,RosterOfficer,0))*0.5) + IF($F$8="Health",INDEX(RosterHealth,MATCH(B74,RosterOfficer,0)),INDEX(RosterHealth,MATCH(B74,RosterOfficer,0))*0.5),"")</f>
        <v/>
      </c>
      <c r="N74" s="461">
        <f t="shared" ref="N74" si="29">IFERROR(INDEX(AwayMissionTraitsTotals,MATCH(D74,AwayMissionTraits,0)),0) + IFERROR(INDEX(AwayMissionTraitsTotals,MATCH(G74,AwayMissionTraits,0)),0) + IFERROR(INDEX(AwayMissionTraitsTotals,MATCH(J74,AwayMissionTraits,0)),0)</f>
        <v>9</v>
      </c>
    </row>
    <row r="75" spans="1:14" x14ac:dyDescent="0.25">
      <c r="A75" s="359" t="str">
        <f t="shared" si="15"/>
        <v>C</v>
      </c>
      <c r="B75" s="377" t="s">
        <v>73</v>
      </c>
      <c r="C75" s="377"/>
      <c r="D75" s="661"/>
      <c r="E75" s="661"/>
      <c r="F75" s="360">
        <f t="shared" ca="1" si="16"/>
        <v>0</v>
      </c>
      <c r="G75" s="661"/>
      <c r="H75" s="661"/>
      <c r="I75" s="360">
        <f t="shared" ca="1" si="17"/>
        <v>0</v>
      </c>
      <c r="J75" s="661"/>
      <c r="K75" s="661"/>
      <c r="L75" s="360">
        <f t="shared" ca="1" si="18"/>
        <v>0</v>
      </c>
      <c r="M75" s="457" t="str">
        <f t="shared" si="22"/>
        <v/>
      </c>
      <c r="N75" s="437">
        <f t="shared" si="23"/>
        <v>0</v>
      </c>
    </row>
    <row r="76" spans="1:14" x14ac:dyDescent="0.25">
      <c r="A76" s="359" t="str">
        <f t="shared" si="15"/>
        <v>R</v>
      </c>
      <c r="B76" s="377" t="s">
        <v>98</v>
      </c>
      <c r="C76" s="377"/>
      <c r="D76" s="661" t="s">
        <v>1463</v>
      </c>
      <c r="E76" s="661"/>
      <c r="F76" s="360">
        <f t="shared" ca="1" si="16"/>
        <v>0</v>
      </c>
      <c r="G76" s="661" t="s">
        <v>1425</v>
      </c>
      <c r="H76" s="661"/>
      <c r="I76" s="360">
        <f t="shared" ca="1" si="17"/>
        <v>0</v>
      </c>
      <c r="J76" s="661"/>
      <c r="K76" s="661"/>
      <c r="L76" s="360">
        <f t="shared" ca="1" si="18"/>
        <v>0</v>
      </c>
      <c r="M76" s="457" t="str">
        <f t="shared" si="22"/>
        <v/>
      </c>
      <c r="N76" s="437">
        <f t="shared" si="23"/>
        <v>9</v>
      </c>
    </row>
    <row r="77" spans="1:14" x14ac:dyDescent="0.25">
      <c r="A77" s="359" t="str">
        <f t="shared" si="15"/>
        <v>E</v>
      </c>
      <c r="B77" s="377" t="s">
        <v>109</v>
      </c>
      <c r="C77" s="377"/>
      <c r="D77" s="661" t="s">
        <v>1497</v>
      </c>
      <c r="E77" s="661"/>
      <c r="F77" s="360">
        <f t="shared" ca="1" si="16"/>
        <v>0</v>
      </c>
      <c r="G77" s="661" t="s">
        <v>1425</v>
      </c>
      <c r="H77" s="661"/>
      <c r="I77" s="360">
        <f t="shared" ca="1" si="17"/>
        <v>0</v>
      </c>
      <c r="J77" s="661" t="s">
        <v>1423</v>
      </c>
      <c r="K77" s="661"/>
      <c r="L77" s="360">
        <f t="shared" ca="1" si="18"/>
        <v>0</v>
      </c>
      <c r="M77" s="457" t="str">
        <f t="shared" si="22"/>
        <v/>
      </c>
      <c r="N77" s="437">
        <f t="shared" si="23"/>
        <v>6</v>
      </c>
    </row>
    <row r="78" spans="1:14" x14ac:dyDescent="0.25">
      <c r="A78" s="359" t="str">
        <f t="shared" si="15"/>
        <v>C</v>
      </c>
      <c r="B78" s="377" t="s">
        <v>4</v>
      </c>
      <c r="C78" s="377"/>
      <c r="D78" s="661"/>
      <c r="E78" s="661"/>
      <c r="F78" s="360">
        <f t="shared" ca="1" si="16"/>
        <v>0</v>
      </c>
      <c r="G78" s="661"/>
      <c r="H78" s="661"/>
      <c r="I78" s="360">
        <f t="shared" ca="1" si="17"/>
        <v>0</v>
      </c>
      <c r="J78" s="661"/>
      <c r="K78" s="661"/>
      <c r="L78" s="360">
        <f t="shared" ca="1" si="18"/>
        <v>0</v>
      </c>
      <c r="M78" s="457" t="str">
        <f t="shared" si="22"/>
        <v/>
      </c>
      <c r="N78" s="437">
        <f t="shared" si="23"/>
        <v>0</v>
      </c>
    </row>
    <row r="79" spans="1:14" x14ac:dyDescent="0.25">
      <c r="A79" s="359" t="str">
        <f t="shared" si="15"/>
        <v>U</v>
      </c>
      <c r="B79" s="377" t="s">
        <v>93</v>
      </c>
      <c r="C79" s="377"/>
      <c r="D79" s="661" t="s">
        <v>1413</v>
      </c>
      <c r="E79" s="661"/>
      <c r="F79" s="360">
        <f t="shared" ca="1" si="16"/>
        <v>0</v>
      </c>
      <c r="G79" s="661"/>
      <c r="H79" s="661"/>
      <c r="I79" s="360">
        <f t="shared" ca="1" si="17"/>
        <v>0</v>
      </c>
      <c r="J79" s="661"/>
      <c r="K79" s="661"/>
      <c r="L79" s="360">
        <f t="shared" ca="1" si="18"/>
        <v>0</v>
      </c>
      <c r="M79" s="457" t="str">
        <f t="shared" si="22"/>
        <v/>
      </c>
      <c r="N79" s="437">
        <f t="shared" si="23"/>
        <v>4</v>
      </c>
    </row>
    <row r="80" spans="1:14" x14ac:dyDescent="0.25">
      <c r="A80" s="359" t="str">
        <f t="shared" si="15"/>
        <v>E</v>
      </c>
      <c r="B80" s="377" t="s">
        <v>1564</v>
      </c>
      <c r="C80" s="377"/>
      <c r="D80" s="660" t="s">
        <v>1413</v>
      </c>
      <c r="E80" s="660"/>
      <c r="F80" s="360">
        <f t="shared" ca="1" si="16"/>
        <v>0</v>
      </c>
      <c r="G80" s="660" t="s">
        <v>1408</v>
      </c>
      <c r="H80" s="660"/>
      <c r="I80" s="360">
        <f t="shared" ca="1" si="17"/>
        <v>0</v>
      </c>
      <c r="J80" s="660" t="s">
        <v>1474</v>
      </c>
      <c r="K80" s="660"/>
      <c r="L80" s="360">
        <f t="shared" ca="1" si="18"/>
        <v>0</v>
      </c>
      <c r="M80" s="457" t="str">
        <f t="shared" si="22"/>
        <v/>
      </c>
      <c r="N80" s="437">
        <f t="shared" si="23"/>
        <v>13</v>
      </c>
    </row>
    <row r="81" spans="1:23" x14ac:dyDescent="0.25">
      <c r="A81" s="359" t="str">
        <f t="shared" si="15"/>
        <v>C</v>
      </c>
      <c r="B81" s="377" t="s">
        <v>16</v>
      </c>
      <c r="C81" s="377"/>
      <c r="D81" s="661"/>
      <c r="E81" s="661"/>
      <c r="F81" s="360">
        <f t="shared" ca="1" si="16"/>
        <v>0</v>
      </c>
      <c r="G81" s="661"/>
      <c r="H81" s="661"/>
      <c r="I81" s="360">
        <f t="shared" ca="1" si="17"/>
        <v>0</v>
      </c>
      <c r="J81" s="661"/>
      <c r="K81" s="661"/>
      <c r="L81" s="360">
        <f t="shared" ca="1" si="18"/>
        <v>0</v>
      </c>
      <c r="M81" s="457" t="str">
        <f t="shared" si="22"/>
        <v/>
      </c>
      <c r="N81" s="437">
        <f t="shared" si="23"/>
        <v>0</v>
      </c>
    </row>
    <row r="82" spans="1:23" x14ac:dyDescent="0.25">
      <c r="A82" s="359" t="str">
        <f t="shared" si="15"/>
        <v>U</v>
      </c>
      <c r="B82" s="377" t="s">
        <v>122</v>
      </c>
      <c r="C82" s="377"/>
      <c r="D82" s="661" t="s">
        <v>1402</v>
      </c>
      <c r="E82" s="661"/>
      <c r="F82" s="360">
        <f t="shared" ca="1" si="16"/>
        <v>0</v>
      </c>
      <c r="G82" s="661"/>
      <c r="H82" s="661"/>
      <c r="I82" s="360">
        <f t="shared" ca="1" si="17"/>
        <v>0</v>
      </c>
      <c r="J82" s="661"/>
      <c r="K82" s="661"/>
      <c r="L82" s="360">
        <f t="shared" ca="1" si="18"/>
        <v>0</v>
      </c>
      <c r="M82" s="457" t="str">
        <f t="shared" si="22"/>
        <v/>
      </c>
      <c r="N82" s="437">
        <f t="shared" si="23"/>
        <v>6</v>
      </c>
    </row>
    <row r="83" spans="1:23" x14ac:dyDescent="0.25">
      <c r="A83" s="359" t="str">
        <f t="shared" si="15"/>
        <v>E</v>
      </c>
      <c r="B83" s="377" t="s">
        <v>104</v>
      </c>
      <c r="C83" s="377"/>
      <c r="D83" s="661" t="s">
        <v>1414</v>
      </c>
      <c r="E83" s="661"/>
      <c r="F83" s="360">
        <f t="shared" ca="1" si="16"/>
        <v>0</v>
      </c>
      <c r="G83" s="661" t="s">
        <v>1475</v>
      </c>
      <c r="H83" s="661"/>
      <c r="I83" s="360">
        <f t="shared" ca="1" si="17"/>
        <v>0</v>
      </c>
      <c r="J83" s="661" t="s">
        <v>1492</v>
      </c>
      <c r="K83" s="661"/>
      <c r="L83" s="360">
        <f t="shared" ca="1" si="18"/>
        <v>0</v>
      </c>
      <c r="M83" s="457" t="str">
        <f t="shared" si="22"/>
        <v/>
      </c>
      <c r="N83" s="437">
        <f t="shared" si="23"/>
        <v>5</v>
      </c>
    </row>
    <row r="84" spans="1:23" x14ac:dyDescent="0.25">
      <c r="A84" s="359" t="str">
        <f t="shared" si="15"/>
        <v>E</v>
      </c>
      <c r="B84" s="377" t="s">
        <v>869</v>
      </c>
      <c r="C84" s="377"/>
      <c r="D84" s="661" t="s">
        <v>817</v>
      </c>
      <c r="E84" s="661"/>
      <c r="F84" s="360">
        <f t="shared" ca="1" si="16"/>
        <v>0</v>
      </c>
      <c r="G84" s="661" t="s">
        <v>1460</v>
      </c>
      <c r="H84" s="661"/>
      <c r="I84" s="360">
        <f t="shared" ca="1" si="17"/>
        <v>0</v>
      </c>
      <c r="J84" s="661" t="s">
        <v>1459</v>
      </c>
      <c r="K84" s="661"/>
      <c r="L84" s="360">
        <f t="shared" ca="1" si="18"/>
        <v>0</v>
      </c>
      <c r="M84" s="457" t="str">
        <f t="shared" si="22"/>
        <v/>
      </c>
      <c r="N84" s="437">
        <f t="shared" si="23"/>
        <v>12</v>
      </c>
    </row>
    <row r="85" spans="1:23" ht="16.5" x14ac:dyDescent="0.25">
      <c r="A85" s="359" t="str">
        <f t="shared" si="15"/>
        <v>R</v>
      </c>
      <c r="B85" s="377" t="s">
        <v>59</v>
      </c>
      <c r="C85" s="377"/>
      <c r="D85" s="661" t="s">
        <v>1463</v>
      </c>
      <c r="E85" s="661"/>
      <c r="F85" s="360">
        <f t="shared" ca="1" si="16"/>
        <v>0</v>
      </c>
      <c r="G85" s="661" t="s">
        <v>1412</v>
      </c>
      <c r="H85" s="661"/>
      <c r="I85" s="360">
        <f t="shared" ca="1" si="17"/>
        <v>0</v>
      </c>
      <c r="J85" s="661"/>
      <c r="K85" s="661"/>
      <c r="L85" s="360">
        <f t="shared" ca="1" si="18"/>
        <v>0</v>
      </c>
      <c r="M85" s="457" t="str">
        <f t="shared" si="22"/>
        <v/>
      </c>
      <c r="N85" s="437">
        <f t="shared" si="23"/>
        <v>15</v>
      </c>
      <c r="U85" s="40"/>
      <c r="V85" s="40"/>
      <c r="W85" s="40"/>
    </row>
    <row r="86" spans="1:23" x14ac:dyDescent="0.25">
      <c r="A86" s="359" t="str">
        <f t="shared" si="15"/>
        <v>U</v>
      </c>
      <c r="B86" s="377" t="s">
        <v>32</v>
      </c>
      <c r="C86" s="377"/>
      <c r="D86" s="661" t="s">
        <v>1463</v>
      </c>
      <c r="E86" s="661"/>
      <c r="F86" s="360">
        <f t="shared" ca="1" si="16"/>
        <v>0</v>
      </c>
      <c r="G86" s="661"/>
      <c r="H86" s="661"/>
      <c r="I86" s="360">
        <f t="shared" ca="1" si="17"/>
        <v>0</v>
      </c>
      <c r="J86" s="661"/>
      <c r="K86" s="661"/>
      <c r="L86" s="360">
        <f t="shared" ca="1" si="18"/>
        <v>0</v>
      </c>
      <c r="M86" s="457" t="str">
        <f t="shared" si="22"/>
        <v/>
      </c>
      <c r="N86" s="437">
        <f t="shared" si="23"/>
        <v>7</v>
      </c>
    </row>
    <row r="87" spans="1:23" x14ac:dyDescent="0.25">
      <c r="A87" s="359" t="str">
        <f t="shared" si="15"/>
        <v>E</v>
      </c>
      <c r="B87" s="377" t="s">
        <v>70</v>
      </c>
      <c r="C87" s="377"/>
      <c r="D87" s="661" t="s">
        <v>1436</v>
      </c>
      <c r="E87" s="661"/>
      <c r="F87" s="360">
        <f t="shared" ca="1" si="16"/>
        <v>0</v>
      </c>
      <c r="G87" s="661" t="s">
        <v>1424</v>
      </c>
      <c r="H87" s="661"/>
      <c r="I87" s="360">
        <f t="shared" ca="1" si="17"/>
        <v>0</v>
      </c>
      <c r="J87" s="661" t="s">
        <v>1468</v>
      </c>
      <c r="K87" s="661"/>
      <c r="L87" s="360">
        <f t="shared" ca="1" si="18"/>
        <v>0</v>
      </c>
      <c r="M87" s="457" t="str">
        <f t="shared" si="22"/>
        <v/>
      </c>
      <c r="N87" s="437">
        <f t="shared" si="23"/>
        <v>21</v>
      </c>
    </row>
    <row r="88" spans="1:23" x14ac:dyDescent="0.25">
      <c r="A88" s="359" t="str">
        <f t="shared" si="15"/>
        <v>U</v>
      </c>
      <c r="B88" s="377" t="s">
        <v>56</v>
      </c>
      <c r="C88" s="377"/>
      <c r="D88" s="661" t="s">
        <v>1463</v>
      </c>
      <c r="E88" s="661"/>
      <c r="F88" s="360">
        <f t="shared" ca="1" si="16"/>
        <v>0</v>
      </c>
      <c r="G88" s="661"/>
      <c r="H88" s="661"/>
      <c r="I88" s="360">
        <f t="shared" ca="1" si="17"/>
        <v>0</v>
      </c>
      <c r="J88" s="661"/>
      <c r="K88" s="661"/>
      <c r="L88" s="360">
        <f t="shared" ca="1" si="18"/>
        <v>0</v>
      </c>
      <c r="M88" s="457" t="str">
        <f t="shared" si="22"/>
        <v/>
      </c>
      <c r="N88" s="437">
        <f t="shared" si="23"/>
        <v>7</v>
      </c>
    </row>
    <row r="89" spans="1:23" x14ac:dyDescent="0.25">
      <c r="A89" s="359" t="str">
        <f t="shared" si="15"/>
        <v>C</v>
      </c>
      <c r="B89" s="377" t="s">
        <v>6</v>
      </c>
      <c r="C89" s="377"/>
      <c r="D89" s="661"/>
      <c r="E89" s="661"/>
      <c r="F89" s="360">
        <f t="shared" ca="1" si="16"/>
        <v>0</v>
      </c>
      <c r="G89" s="661"/>
      <c r="H89" s="661"/>
      <c r="I89" s="360">
        <f t="shared" ca="1" si="17"/>
        <v>0</v>
      </c>
      <c r="J89" s="661"/>
      <c r="K89" s="661"/>
      <c r="L89" s="360">
        <f t="shared" ca="1" si="18"/>
        <v>0</v>
      </c>
      <c r="M89" s="457" t="str">
        <f t="shared" si="22"/>
        <v/>
      </c>
      <c r="N89" s="437">
        <f t="shared" si="23"/>
        <v>0</v>
      </c>
    </row>
    <row r="90" spans="1:23" x14ac:dyDescent="0.25">
      <c r="A90" s="359" t="str">
        <f t="shared" si="15"/>
        <v>R</v>
      </c>
      <c r="B90" s="377" t="s">
        <v>99</v>
      </c>
      <c r="C90" s="377"/>
      <c r="D90" s="661" t="s">
        <v>1401</v>
      </c>
      <c r="E90" s="661"/>
      <c r="F90" s="360">
        <f t="shared" ca="1" si="16"/>
        <v>0</v>
      </c>
      <c r="G90" s="661" t="s">
        <v>1408</v>
      </c>
      <c r="H90" s="661"/>
      <c r="I90" s="360">
        <f t="shared" ca="1" si="17"/>
        <v>0</v>
      </c>
      <c r="J90" s="661"/>
      <c r="K90" s="661"/>
      <c r="L90" s="360">
        <f t="shared" ca="1" si="18"/>
        <v>0</v>
      </c>
      <c r="M90" s="457" t="str">
        <f t="shared" si="22"/>
        <v/>
      </c>
      <c r="N90" s="437">
        <f t="shared" si="23"/>
        <v>23</v>
      </c>
    </row>
    <row r="91" spans="1:23" x14ac:dyDescent="0.25">
      <c r="A91" s="359" t="str">
        <f t="shared" si="15"/>
        <v>R</v>
      </c>
      <c r="B91" s="377" t="s">
        <v>49</v>
      </c>
      <c r="C91" s="377"/>
      <c r="D91" s="661" t="s">
        <v>1481</v>
      </c>
      <c r="E91" s="661"/>
      <c r="F91" s="360">
        <f t="shared" ca="1" si="16"/>
        <v>0</v>
      </c>
      <c r="G91" s="661" t="s">
        <v>1504</v>
      </c>
      <c r="H91" s="661"/>
      <c r="I91" s="360">
        <f t="shared" ca="1" si="17"/>
        <v>0</v>
      </c>
      <c r="J91" s="661"/>
      <c r="K91" s="661"/>
      <c r="L91" s="360">
        <f t="shared" ca="1" si="18"/>
        <v>0</v>
      </c>
      <c r="M91" s="457" t="str">
        <f t="shared" si="22"/>
        <v/>
      </c>
      <c r="N91" s="437">
        <f t="shared" si="23"/>
        <v>3</v>
      </c>
    </row>
    <row r="92" spans="1:23" x14ac:dyDescent="0.25">
      <c r="A92" s="359" t="str">
        <f t="shared" si="15"/>
        <v>E</v>
      </c>
      <c r="B92" s="377" t="s">
        <v>66</v>
      </c>
      <c r="C92" s="377"/>
      <c r="D92" s="661" t="s">
        <v>1463</v>
      </c>
      <c r="E92" s="661"/>
      <c r="F92" s="360">
        <f t="shared" ca="1" si="16"/>
        <v>0</v>
      </c>
      <c r="G92" s="661" t="s">
        <v>1425</v>
      </c>
      <c r="H92" s="661"/>
      <c r="I92" s="360">
        <f t="shared" ca="1" si="17"/>
        <v>0</v>
      </c>
      <c r="J92" s="661" t="s">
        <v>1423</v>
      </c>
      <c r="K92" s="661"/>
      <c r="L92" s="360">
        <f t="shared" ca="1" si="18"/>
        <v>0</v>
      </c>
      <c r="M92" s="457" t="str">
        <f t="shared" si="22"/>
        <v/>
      </c>
      <c r="N92" s="437">
        <f t="shared" si="23"/>
        <v>12</v>
      </c>
    </row>
    <row r="93" spans="1:23" x14ac:dyDescent="0.25">
      <c r="A93" s="359" t="str">
        <f t="shared" si="15"/>
        <v>E</v>
      </c>
      <c r="B93" s="377" t="s">
        <v>68</v>
      </c>
      <c r="C93" s="377"/>
      <c r="D93" s="661" t="s">
        <v>817</v>
      </c>
      <c r="E93" s="661"/>
      <c r="F93" s="360">
        <f t="shared" ca="1" si="16"/>
        <v>0</v>
      </c>
      <c r="G93" s="661" t="s">
        <v>1451</v>
      </c>
      <c r="H93" s="661"/>
      <c r="I93" s="360">
        <f t="shared" ca="1" si="17"/>
        <v>0</v>
      </c>
      <c r="J93" s="661" t="s">
        <v>1473</v>
      </c>
      <c r="K93" s="661"/>
      <c r="L93" s="360">
        <f t="shared" ca="1" si="18"/>
        <v>0</v>
      </c>
      <c r="M93" s="457" t="str">
        <f t="shared" si="22"/>
        <v/>
      </c>
      <c r="N93" s="437">
        <f t="shared" si="23"/>
        <v>15</v>
      </c>
    </row>
    <row r="94" spans="1:23" x14ac:dyDescent="0.25">
      <c r="A94" s="359" t="str">
        <f t="shared" si="15"/>
        <v>U</v>
      </c>
      <c r="B94" s="377" t="s">
        <v>35</v>
      </c>
      <c r="C94" s="377"/>
      <c r="D94" s="661" t="s">
        <v>1414</v>
      </c>
      <c r="E94" s="661"/>
      <c r="F94" s="360">
        <f t="shared" ca="1" si="16"/>
        <v>0</v>
      </c>
      <c r="G94" s="661"/>
      <c r="H94" s="661"/>
      <c r="I94" s="360">
        <f t="shared" ca="1" si="17"/>
        <v>0</v>
      </c>
      <c r="J94" s="661"/>
      <c r="K94" s="661"/>
      <c r="L94" s="360">
        <f t="shared" ca="1" si="18"/>
        <v>0</v>
      </c>
      <c r="M94" s="457" t="str">
        <f t="shared" si="22"/>
        <v/>
      </c>
      <c r="N94" s="437">
        <f t="shared" si="23"/>
        <v>0</v>
      </c>
    </row>
    <row r="95" spans="1:23" x14ac:dyDescent="0.25">
      <c r="A95" s="359" t="str">
        <f t="shared" si="15"/>
        <v>C</v>
      </c>
      <c r="B95" s="377" t="s">
        <v>11</v>
      </c>
      <c r="C95" s="377"/>
      <c r="D95" s="661"/>
      <c r="E95" s="661"/>
      <c r="F95" s="360">
        <f t="shared" ca="1" si="16"/>
        <v>0</v>
      </c>
      <c r="G95" s="661"/>
      <c r="H95" s="661"/>
      <c r="I95" s="360">
        <f t="shared" ca="1" si="17"/>
        <v>0</v>
      </c>
      <c r="J95" s="661"/>
      <c r="K95" s="661"/>
      <c r="L95" s="360">
        <f t="shared" ca="1" si="18"/>
        <v>0</v>
      </c>
      <c r="M95" s="457" t="str">
        <f t="shared" si="22"/>
        <v/>
      </c>
      <c r="N95" s="437">
        <f t="shared" si="23"/>
        <v>0</v>
      </c>
    </row>
    <row r="96" spans="1:23" x14ac:dyDescent="0.25">
      <c r="A96" s="359" t="str">
        <f t="shared" ref="A96:A131" si="30">VLOOKUP(B96,OfficerScores,2,FALSE)</f>
        <v>U</v>
      </c>
      <c r="B96" s="377" t="s">
        <v>36</v>
      </c>
      <c r="C96" s="377"/>
      <c r="D96" s="661" t="s">
        <v>1413</v>
      </c>
      <c r="E96" s="661"/>
      <c r="F96" s="360">
        <f t="shared" ref="F96:F131" ca="1" si="31">IFERROR(INDEX(ImportTraits1,MATCH(B96,ImportOfficerList,0)),0)</f>
        <v>0</v>
      </c>
      <c r="G96" s="661"/>
      <c r="H96" s="661"/>
      <c r="I96" s="360">
        <f t="shared" ref="I96:I131" ca="1" si="32">IFERROR(INDEX(ImportTraits2,MATCH(B96,ImportOfficerList,0)),0)</f>
        <v>0</v>
      </c>
      <c r="J96" s="661"/>
      <c r="K96" s="661"/>
      <c r="L96" s="360">
        <f t="shared" ref="L96:L131" ca="1" si="33">IFERROR(INDEX(ImportTraits3,MATCH(B96,ImportOfficerList,0)),0)</f>
        <v>0</v>
      </c>
      <c r="M96" s="457" t="str">
        <f t="shared" si="22"/>
        <v/>
      </c>
      <c r="N96" s="437">
        <f t="shared" si="23"/>
        <v>4</v>
      </c>
    </row>
    <row r="97" spans="1:14" x14ac:dyDescent="0.25">
      <c r="A97" s="359" t="str">
        <f t="shared" si="30"/>
        <v>E</v>
      </c>
      <c r="B97" s="377" t="s">
        <v>69</v>
      </c>
      <c r="C97" s="377"/>
      <c r="D97" s="661" t="s">
        <v>1481</v>
      </c>
      <c r="E97" s="661"/>
      <c r="F97" s="360">
        <f t="shared" ca="1" si="31"/>
        <v>0</v>
      </c>
      <c r="G97" s="661" t="s">
        <v>1424</v>
      </c>
      <c r="H97" s="661"/>
      <c r="I97" s="360">
        <f t="shared" ca="1" si="32"/>
        <v>0</v>
      </c>
      <c r="J97" s="661" t="s">
        <v>1471</v>
      </c>
      <c r="K97" s="661"/>
      <c r="L97" s="360">
        <f t="shared" ca="1" si="33"/>
        <v>0</v>
      </c>
      <c r="M97" s="457" t="str">
        <f t="shared" si="22"/>
        <v/>
      </c>
      <c r="N97" s="437">
        <f t="shared" si="23"/>
        <v>18</v>
      </c>
    </row>
    <row r="98" spans="1:14" x14ac:dyDescent="0.25">
      <c r="A98" s="359" t="str">
        <f t="shared" si="30"/>
        <v>R</v>
      </c>
      <c r="B98" s="377" t="s">
        <v>60</v>
      </c>
      <c r="C98" s="377"/>
      <c r="D98" s="661" t="s">
        <v>1514</v>
      </c>
      <c r="E98" s="661"/>
      <c r="F98" s="360">
        <f t="shared" ca="1" si="31"/>
        <v>0</v>
      </c>
      <c r="G98" s="661" t="s">
        <v>1424</v>
      </c>
      <c r="H98" s="661"/>
      <c r="I98" s="360">
        <f t="shared" ca="1" si="32"/>
        <v>0</v>
      </c>
      <c r="J98" s="661"/>
      <c r="K98" s="661"/>
      <c r="L98" s="360">
        <f t="shared" ca="1" si="33"/>
        <v>0</v>
      </c>
      <c r="M98" s="457" t="str">
        <f t="shared" si="22"/>
        <v/>
      </c>
      <c r="N98" s="437">
        <f t="shared" si="23"/>
        <v>12</v>
      </c>
    </row>
    <row r="99" spans="1:14" x14ac:dyDescent="0.25">
      <c r="A99" s="359" t="str">
        <f t="shared" si="30"/>
        <v>R</v>
      </c>
      <c r="B99" s="377" t="s">
        <v>61</v>
      </c>
      <c r="C99" s="377"/>
      <c r="D99" s="661" t="s">
        <v>1509</v>
      </c>
      <c r="E99" s="661"/>
      <c r="F99" s="360">
        <f t="shared" ca="1" si="31"/>
        <v>0</v>
      </c>
      <c r="G99" s="661" t="s">
        <v>1412</v>
      </c>
      <c r="H99" s="661"/>
      <c r="I99" s="360">
        <f t="shared" ca="1" si="32"/>
        <v>0</v>
      </c>
      <c r="J99" s="661"/>
      <c r="K99" s="661"/>
      <c r="L99" s="360">
        <f t="shared" ca="1" si="33"/>
        <v>0</v>
      </c>
      <c r="M99" s="457" t="str">
        <f t="shared" si="22"/>
        <v/>
      </c>
      <c r="N99" s="437">
        <f t="shared" si="23"/>
        <v>9</v>
      </c>
    </row>
    <row r="100" spans="1:14" x14ac:dyDescent="0.25">
      <c r="A100" s="359" t="str">
        <f t="shared" si="30"/>
        <v>R</v>
      </c>
      <c r="B100" s="377" t="s">
        <v>100</v>
      </c>
      <c r="C100" s="377"/>
      <c r="D100" s="661" t="s">
        <v>1414</v>
      </c>
      <c r="E100" s="661"/>
      <c r="F100" s="360">
        <f t="shared" ca="1" si="31"/>
        <v>0</v>
      </c>
      <c r="G100" s="661" t="s">
        <v>1451</v>
      </c>
      <c r="H100" s="661"/>
      <c r="I100" s="360">
        <f t="shared" ca="1" si="32"/>
        <v>0</v>
      </c>
      <c r="J100" s="661"/>
      <c r="K100" s="661"/>
      <c r="L100" s="360">
        <f t="shared" ca="1" si="33"/>
        <v>0</v>
      </c>
      <c r="M100" s="457" t="str">
        <f t="shared" ref="M100:M133" si="34">IF($F$8&lt;&gt;"",IF($F$8="Attack",INDEX(RosterAttack,MATCH(B100,RosterOfficer,0)),INDEX(RosterAttack,MATCH(B100,RosterOfficer,0))*0.5) + IF($F$8="Defence",INDEX(RosterDefence,MATCH(B100,RosterOfficer,0)),INDEX(RosterDefence,MATCH(B100,RosterOfficer,0))*0.5) + IF($F$8="Health",INDEX(RosterHealth,MATCH(B100,RosterOfficer,0)),INDEX(RosterHealth,MATCH(B100,RosterOfficer,0))*0.5),"")</f>
        <v/>
      </c>
      <c r="N100" s="437">
        <f t="shared" ref="N100:N133" si="35">IFERROR(INDEX(AwayMissionTraitsTotals,MATCH(D100,AwayMissionTraits,0)),0) + IFERROR(INDEX(AwayMissionTraitsTotals,MATCH(G100,AwayMissionTraits,0)),0) + IFERROR(INDEX(AwayMissionTraitsTotals,MATCH(J100,AwayMissionTraits,0)),0)</f>
        <v>10</v>
      </c>
    </row>
    <row r="101" spans="1:14" x14ac:dyDescent="0.25">
      <c r="A101" s="359" t="str">
        <f t="shared" si="30"/>
        <v>U</v>
      </c>
      <c r="B101" s="377" t="s">
        <v>94</v>
      </c>
      <c r="C101" s="377"/>
      <c r="D101" s="661" t="s">
        <v>1401</v>
      </c>
      <c r="E101" s="661"/>
      <c r="F101" s="360">
        <f t="shared" ca="1" si="31"/>
        <v>0</v>
      </c>
      <c r="G101" s="661"/>
      <c r="H101" s="661"/>
      <c r="I101" s="360">
        <f t="shared" ca="1" si="32"/>
        <v>0</v>
      </c>
      <c r="J101" s="661"/>
      <c r="K101" s="661"/>
      <c r="L101" s="360">
        <f t="shared" ca="1" si="33"/>
        <v>0</v>
      </c>
      <c r="M101" s="457" t="str">
        <f t="shared" si="34"/>
        <v/>
      </c>
      <c r="N101" s="437">
        <f t="shared" si="35"/>
        <v>16</v>
      </c>
    </row>
    <row r="102" spans="1:14" x14ac:dyDescent="0.25">
      <c r="A102" s="359" t="str">
        <f t="shared" si="30"/>
        <v>U</v>
      </c>
      <c r="B102" s="377" t="s">
        <v>86</v>
      </c>
      <c r="C102" s="377"/>
      <c r="D102" s="661" t="s">
        <v>1401</v>
      </c>
      <c r="E102" s="661"/>
      <c r="F102" s="360">
        <f t="shared" ca="1" si="31"/>
        <v>0</v>
      </c>
      <c r="G102" s="661"/>
      <c r="H102" s="661"/>
      <c r="I102" s="360">
        <f t="shared" ca="1" si="32"/>
        <v>0</v>
      </c>
      <c r="J102" s="661"/>
      <c r="K102" s="661"/>
      <c r="L102" s="360">
        <f t="shared" ca="1" si="33"/>
        <v>0</v>
      </c>
      <c r="M102" s="457" t="str">
        <f t="shared" si="34"/>
        <v/>
      </c>
      <c r="N102" s="437">
        <f t="shared" si="35"/>
        <v>16</v>
      </c>
    </row>
    <row r="103" spans="1:14" x14ac:dyDescent="0.25">
      <c r="A103" s="359" t="str">
        <f t="shared" si="30"/>
        <v>R</v>
      </c>
      <c r="B103" s="377" t="s">
        <v>58</v>
      </c>
      <c r="C103" s="377"/>
      <c r="D103" s="661" t="s">
        <v>1446</v>
      </c>
      <c r="E103" s="661"/>
      <c r="F103" s="360">
        <f t="shared" ca="1" si="31"/>
        <v>0</v>
      </c>
      <c r="G103" s="661" t="s">
        <v>1483</v>
      </c>
      <c r="H103" s="661"/>
      <c r="I103" s="360">
        <f t="shared" ca="1" si="32"/>
        <v>0</v>
      </c>
      <c r="J103" s="661"/>
      <c r="K103" s="661"/>
      <c r="L103" s="360">
        <f t="shared" ca="1" si="33"/>
        <v>0</v>
      </c>
      <c r="M103" s="457" t="str">
        <f t="shared" si="34"/>
        <v/>
      </c>
      <c r="N103" s="437">
        <f t="shared" si="35"/>
        <v>4</v>
      </c>
    </row>
    <row r="104" spans="1:14" x14ac:dyDescent="0.25">
      <c r="A104" s="359" t="str">
        <f t="shared" si="30"/>
        <v>U</v>
      </c>
      <c r="B104" s="377" t="s">
        <v>37</v>
      </c>
      <c r="C104" s="377"/>
      <c r="D104" s="661" t="s">
        <v>1514</v>
      </c>
      <c r="E104" s="661"/>
      <c r="F104" s="360">
        <f t="shared" ca="1" si="31"/>
        <v>0</v>
      </c>
      <c r="G104" s="661"/>
      <c r="H104" s="661"/>
      <c r="I104" s="360">
        <f t="shared" ca="1" si="32"/>
        <v>0</v>
      </c>
      <c r="J104" s="661"/>
      <c r="K104" s="661"/>
      <c r="L104" s="360">
        <f t="shared" ca="1" si="33"/>
        <v>0</v>
      </c>
      <c r="M104" s="457" t="str">
        <f t="shared" si="34"/>
        <v/>
      </c>
      <c r="N104" s="437">
        <f t="shared" si="35"/>
        <v>4</v>
      </c>
    </row>
    <row r="105" spans="1:14" x14ac:dyDescent="0.25">
      <c r="A105" s="359" t="str">
        <f t="shared" si="30"/>
        <v>E</v>
      </c>
      <c r="B105" s="377" t="s">
        <v>103</v>
      </c>
      <c r="C105" s="377"/>
      <c r="D105" s="661" t="s">
        <v>1512</v>
      </c>
      <c r="E105" s="661"/>
      <c r="F105" s="360">
        <f t="shared" ca="1" si="31"/>
        <v>0</v>
      </c>
      <c r="G105" s="661" t="s">
        <v>1469</v>
      </c>
      <c r="H105" s="661"/>
      <c r="I105" s="360">
        <f t="shared" ca="1" si="32"/>
        <v>0</v>
      </c>
      <c r="J105" s="661" t="s">
        <v>1468</v>
      </c>
      <c r="K105" s="661"/>
      <c r="L105" s="360">
        <f t="shared" ca="1" si="33"/>
        <v>0</v>
      </c>
      <c r="M105" s="457" t="str">
        <f t="shared" si="34"/>
        <v/>
      </c>
      <c r="N105" s="437">
        <f t="shared" si="35"/>
        <v>11</v>
      </c>
    </row>
    <row r="106" spans="1:14" x14ac:dyDescent="0.25">
      <c r="A106" s="359" t="str">
        <f t="shared" si="30"/>
        <v>U</v>
      </c>
      <c r="B106" s="477" t="s">
        <v>1934</v>
      </c>
      <c r="C106" s="477"/>
      <c r="D106" s="660" t="s">
        <v>1512</v>
      </c>
      <c r="E106" s="660"/>
      <c r="F106" s="360">
        <f t="shared" ca="1" si="31"/>
        <v>0</v>
      </c>
      <c r="G106" s="660"/>
      <c r="H106" s="660"/>
      <c r="I106" s="360">
        <f t="shared" ca="1" si="32"/>
        <v>0</v>
      </c>
      <c r="J106" s="660"/>
      <c r="K106" s="660"/>
      <c r="L106" s="360">
        <f t="shared" ref="L106" ca="1" si="36">IFERROR(INDEX(ImportTraits3,MATCH(B106,ImportOfficerList,0)),0)</f>
        <v>0</v>
      </c>
      <c r="M106" s="457" t="str">
        <f t="shared" ref="M106" si="37">IF($F$8&lt;&gt;"",IF($F$8="Attack",INDEX(RosterAttack,MATCH(B106,RosterOfficer,0)),INDEX(RosterAttack,MATCH(B106,RosterOfficer,0))*0.5) + IF($F$8="Defence",INDEX(RosterDefence,MATCH(B106,RosterOfficer,0)),INDEX(RosterDefence,MATCH(B106,RosterOfficer,0))*0.5) + IF($F$8="Health",INDEX(RosterHealth,MATCH(B106,RosterOfficer,0)),INDEX(RosterHealth,MATCH(B106,RosterOfficer,0))*0.5),"")</f>
        <v/>
      </c>
      <c r="N106" s="478">
        <f t="shared" ref="N106" si="38">IFERROR(INDEX(AwayMissionTraitsTotals,MATCH(D106,AwayMissionTraits,0)),0) + IFERROR(INDEX(AwayMissionTraitsTotals,MATCH(G106,AwayMissionTraits,0)),0) + IFERROR(INDEX(AwayMissionTraitsTotals,MATCH(J106,AwayMissionTraits,0)),0)</f>
        <v>2</v>
      </c>
    </row>
    <row r="107" spans="1:14" x14ac:dyDescent="0.25">
      <c r="A107" s="359" t="str">
        <f t="shared" si="30"/>
        <v>U</v>
      </c>
      <c r="B107" s="377" t="s">
        <v>251</v>
      </c>
      <c r="C107" s="377"/>
      <c r="D107" s="661" t="s">
        <v>1403</v>
      </c>
      <c r="E107" s="661"/>
      <c r="F107" s="360">
        <f t="shared" ca="1" si="31"/>
        <v>0</v>
      </c>
      <c r="G107" s="661"/>
      <c r="H107" s="661"/>
      <c r="I107" s="360">
        <f t="shared" ca="1" si="32"/>
        <v>0</v>
      </c>
      <c r="J107" s="661"/>
      <c r="K107" s="661"/>
      <c r="L107" s="360">
        <f t="shared" ca="1" si="33"/>
        <v>0</v>
      </c>
      <c r="M107" s="457" t="str">
        <f t="shared" si="34"/>
        <v/>
      </c>
      <c r="N107" s="437">
        <f t="shared" si="35"/>
        <v>15</v>
      </c>
    </row>
    <row r="108" spans="1:14" x14ac:dyDescent="0.25">
      <c r="A108" s="359" t="str">
        <f t="shared" si="30"/>
        <v>R</v>
      </c>
      <c r="B108" s="377" t="s">
        <v>51</v>
      </c>
      <c r="C108" s="377"/>
      <c r="D108" s="661" t="s">
        <v>1414</v>
      </c>
      <c r="E108" s="661"/>
      <c r="F108" s="360">
        <f t="shared" ca="1" si="31"/>
        <v>0</v>
      </c>
      <c r="G108" s="661" t="s">
        <v>1469</v>
      </c>
      <c r="H108" s="661"/>
      <c r="I108" s="360">
        <f t="shared" ca="1" si="32"/>
        <v>0</v>
      </c>
      <c r="J108" s="661"/>
      <c r="K108" s="661"/>
      <c r="L108" s="360">
        <f t="shared" ca="1" si="33"/>
        <v>0</v>
      </c>
      <c r="M108" s="457" t="str">
        <f t="shared" si="34"/>
        <v/>
      </c>
      <c r="N108" s="437">
        <f t="shared" si="35"/>
        <v>2</v>
      </c>
    </row>
    <row r="109" spans="1:14" x14ac:dyDescent="0.25">
      <c r="A109" s="359" t="str">
        <f t="shared" si="30"/>
        <v>E</v>
      </c>
      <c r="B109" s="377" t="s">
        <v>83</v>
      </c>
      <c r="C109" s="377"/>
      <c r="D109" s="661" t="s">
        <v>1414</v>
      </c>
      <c r="E109" s="661"/>
      <c r="F109" s="360">
        <f t="shared" ca="1" si="31"/>
        <v>0</v>
      </c>
      <c r="G109" s="661" t="s">
        <v>1469</v>
      </c>
      <c r="H109" s="661"/>
      <c r="I109" s="360">
        <f t="shared" ca="1" si="32"/>
        <v>0</v>
      </c>
      <c r="J109" s="661" t="s">
        <v>1515</v>
      </c>
      <c r="K109" s="661"/>
      <c r="L109" s="360">
        <f t="shared" ca="1" si="33"/>
        <v>0</v>
      </c>
      <c r="M109" s="457" t="str">
        <f t="shared" si="34"/>
        <v/>
      </c>
      <c r="N109" s="437">
        <f t="shared" si="35"/>
        <v>3</v>
      </c>
    </row>
    <row r="110" spans="1:14" x14ac:dyDescent="0.25">
      <c r="A110" s="359" t="str">
        <f t="shared" si="30"/>
        <v>R</v>
      </c>
      <c r="B110" s="377" t="s">
        <v>62</v>
      </c>
      <c r="C110" s="377"/>
      <c r="D110" s="661" t="s">
        <v>1403</v>
      </c>
      <c r="E110" s="661"/>
      <c r="F110" s="360">
        <f t="shared" ca="1" si="31"/>
        <v>0</v>
      </c>
      <c r="G110" s="661" t="s">
        <v>1424</v>
      </c>
      <c r="H110" s="661"/>
      <c r="I110" s="360">
        <f t="shared" ca="1" si="32"/>
        <v>0</v>
      </c>
      <c r="J110" s="661"/>
      <c r="K110" s="661"/>
      <c r="L110" s="360">
        <f t="shared" ca="1" si="33"/>
        <v>0</v>
      </c>
      <c r="M110" s="457" t="str">
        <f t="shared" si="34"/>
        <v/>
      </c>
      <c r="N110" s="437">
        <f t="shared" si="35"/>
        <v>23</v>
      </c>
    </row>
    <row r="111" spans="1:14" x14ac:dyDescent="0.25">
      <c r="A111" s="359" t="str">
        <f t="shared" si="30"/>
        <v>R</v>
      </c>
      <c r="B111" s="460" t="s">
        <v>1849</v>
      </c>
      <c r="C111" s="460"/>
      <c r="D111" s="660" t="s">
        <v>1414</v>
      </c>
      <c r="E111" s="660"/>
      <c r="F111" s="360">
        <f t="shared" ca="1" si="31"/>
        <v>0</v>
      </c>
      <c r="G111" s="660" t="s">
        <v>1408</v>
      </c>
      <c r="H111" s="660"/>
      <c r="I111" s="360">
        <f t="shared" ca="1" si="32"/>
        <v>0</v>
      </c>
      <c r="J111" s="660"/>
      <c r="K111" s="660"/>
      <c r="L111" s="360">
        <f t="shared" ref="L111" ca="1" si="39">IFERROR(INDEX(ImportTraits3,MATCH(B111,ImportOfficerList,0)),0)</f>
        <v>0</v>
      </c>
      <c r="M111" s="457" t="str">
        <f t="shared" ref="M111" si="40">IF($F$8&lt;&gt;"",IF($F$8="Attack",INDEX(RosterAttack,MATCH(B111,RosterOfficer,0)),INDEX(RosterAttack,MATCH(B111,RosterOfficer,0))*0.5) + IF($F$8="Defence",INDEX(RosterDefence,MATCH(B111,RosterOfficer,0)),INDEX(RosterDefence,MATCH(B111,RosterOfficer,0))*0.5) + IF($F$8="Health",INDEX(RosterHealth,MATCH(B111,RosterOfficer,0)),INDEX(RosterHealth,MATCH(B111,RosterOfficer,0))*0.5),"")</f>
        <v/>
      </c>
      <c r="N111" s="461">
        <f t="shared" ref="N111" si="41">IFERROR(INDEX(AwayMissionTraitsTotals,MATCH(D111,AwayMissionTraits,0)),0) + IFERROR(INDEX(AwayMissionTraitsTotals,MATCH(G111,AwayMissionTraits,0)),0) + IFERROR(INDEX(AwayMissionTraitsTotals,MATCH(J111,AwayMissionTraits,0)),0)</f>
        <v>7</v>
      </c>
    </row>
    <row r="112" spans="1:14" x14ac:dyDescent="0.25">
      <c r="A112" s="359" t="str">
        <f t="shared" si="30"/>
        <v>C</v>
      </c>
      <c r="B112" s="377" t="s">
        <v>52</v>
      </c>
      <c r="C112" s="377"/>
      <c r="D112" s="661"/>
      <c r="E112" s="661"/>
      <c r="F112" s="360">
        <f t="shared" ca="1" si="31"/>
        <v>0</v>
      </c>
      <c r="G112" s="661"/>
      <c r="H112" s="661"/>
      <c r="I112" s="360">
        <f t="shared" ca="1" si="32"/>
        <v>0</v>
      </c>
      <c r="J112" s="661"/>
      <c r="K112" s="661"/>
      <c r="L112" s="360">
        <f t="shared" ca="1" si="33"/>
        <v>0</v>
      </c>
      <c r="M112" s="457" t="str">
        <f t="shared" si="34"/>
        <v/>
      </c>
      <c r="N112" s="437">
        <f t="shared" si="35"/>
        <v>0</v>
      </c>
    </row>
    <row r="113" spans="1:14" x14ac:dyDescent="0.25">
      <c r="A113" s="359" t="str">
        <f t="shared" si="30"/>
        <v>E</v>
      </c>
      <c r="B113" s="377" t="s">
        <v>105</v>
      </c>
      <c r="C113" s="377"/>
      <c r="D113" s="661" t="s">
        <v>1484</v>
      </c>
      <c r="E113" s="661"/>
      <c r="F113" s="360">
        <f t="shared" ca="1" si="31"/>
        <v>0</v>
      </c>
      <c r="G113" s="661" t="s">
        <v>1460</v>
      </c>
      <c r="H113" s="661"/>
      <c r="I113" s="360">
        <f t="shared" ca="1" si="32"/>
        <v>0</v>
      </c>
      <c r="J113" s="661" t="s">
        <v>1473</v>
      </c>
      <c r="K113" s="661"/>
      <c r="L113" s="360">
        <f t="shared" ca="1" si="33"/>
        <v>0</v>
      </c>
      <c r="M113" s="457" t="str">
        <f t="shared" si="34"/>
        <v/>
      </c>
      <c r="N113" s="437">
        <f t="shared" si="35"/>
        <v>26</v>
      </c>
    </row>
    <row r="114" spans="1:14" x14ac:dyDescent="0.25">
      <c r="A114" s="359" t="str">
        <f t="shared" si="30"/>
        <v>R</v>
      </c>
      <c r="B114" s="377" t="s">
        <v>63</v>
      </c>
      <c r="C114" s="377"/>
      <c r="D114" s="661" t="s">
        <v>1403</v>
      </c>
      <c r="E114" s="661"/>
      <c r="F114" s="360">
        <f t="shared" ca="1" si="31"/>
        <v>0</v>
      </c>
      <c r="G114" s="661" t="s">
        <v>1483</v>
      </c>
      <c r="H114" s="661"/>
      <c r="I114" s="360">
        <f t="shared" ca="1" si="32"/>
        <v>0</v>
      </c>
      <c r="J114" s="661"/>
      <c r="K114" s="661"/>
      <c r="L114" s="360">
        <f t="shared" ca="1" si="33"/>
        <v>0</v>
      </c>
      <c r="M114" s="457" t="str">
        <f t="shared" si="34"/>
        <v/>
      </c>
      <c r="N114" s="437">
        <f t="shared" si="35"/>
        <v>18</v>
      </c>
    </row>
    <row r="115" spans="1:14" x14ac:dyDescent="0.25">
      <c r="A115" s="359" t="str">
        <f t="shared" si="30"/>
        <v>E</v>
      </c>
      <c r="B115" s="377" t="s">
        <v>81</v>
      </c>
      <c r="C115" s="377"/>
      <c r="D115" s="661" t="s">
        <v>1446</v>
      </c>
      <c r="E115" s="661"/>
      <c r="F115" s="360">
        <f t="shared" ca="1" si="31"/>
        <v>0</v>
      </c>
      <c r="G115" s="661" t="s">
        <v>1412</v>
      </c>
      <c r="H115" s="661"/>
      <c r="I115" s="360">
        <f t="shared" ca="1" si="32"/>
        <v>0</v>
      </c>
      <c r="J115" s="661" t="s">
        <v>1445</v>
      </c>
      <c r="K115" s="661"/>
      <c r="L115" s="360">
        <f t="shared" ca="1" si="33"/>
        <v>0</v>
      </c>
      <c r="M115" s="457" t="str">
        <f t="shared" si="34"/>
        <v/>
      </c>
      <c r="N115" s="437">
        <f t="shared" si="35"/>
        <v>10</v>
      </c>
    </row>
    <row r="116" spans="1:14" x14ac:dyDescent="0.25">
      <c r="A116" s="359" t="str">
        <f t="shared" si="30"/>
        <v>R</v>
      </c>
      <c r="B116" s="377" t="s">
        <v>64</v>
      </c>
      <c r="C116" s="377"/>
      <c r="D116" s="661" t="s">
        <v>1403</v>
      </c>
      <c r="E116" s="661"/>
      <c r="F116" s="360">
        <f t="shared" ca="1" si="31"/>
        <v>0</v>
      </c>
      <c r="G116" s="661" t="s">
        <v>1408</v>
      </c>
      <c r="H116" s="661"/>
      <c r="I116" s="360">
        <f t="shared" ca="1" si="32"/>
        <v>0</v>
      </c>
      <c r="J116" s="661"/>
      <c r="K116" s="661"/>
      <c r="L116" s="360">
        <f t="shared" ca="1" si="33"/>
        <v>0</v>
      </c>
      <c r="M116" s="457" t="str">
        <f t="shared" si="34"/>
        <v/>
      </c>
      <c r="N116" s="437">
        <f t="shared" si="35"/>
        <v>22</v>
      </c>
    </row>
    <row r="117" spans="1:14" x14ac:dyDescent="0.25">
      <c r="A117" s="359" t="str">
        <f t="shared" si="30"/>
        <v>U</v>
      </c>
      <c r="B117" s="377" t="s">
        <v>38</v>
      </c>
      <c r="C117" s="377"/>
      <c r="D117" s="661" t="s">
        <v>1414</v>
      </c>
      <c r="E117" s="661"/>
      <c r="F117" s="360">
        <f t="shared" ca="1" si="31"/>
        <v>0</v>
      </c>
      <c r="G117" s="661"/>
      <c r="H117" s="661"/>
      <c r="I117" s="360">
        <f t="shared" ca="1" si="32"/>
        <v>0</v>
      </c>
      <c r="J117" s="661"/>
      <c r="K117" s="661"/>
      <c r="L117" s="360">
        <f t="shared" ca="1" si="33"/>
        <v>0</v>
      </c>
      <c r="M117" s="457" t="str">
        <f t="shared" si="34"/>
        <v/>
      </c>
      <c r="N117" s="437">
        <f t="shared" si="35"/>
        <v>0</v>
      </c>
    </row>
    <row r="118" spans="1:14" x14ac:dyDescent="0.25">
      <c r="A118" s="359" t="str">
        <f t="shared" si="30"/>
        <v>E</v>
      </c>
      <c r="B118" s="377" t="s">
        <v>106</v>
      </c>
      <c r="C118" s="377"/>
      <c r="D118" s="661" t="s">
        <v>1484</v>
      </c>
      <c r="E118" s="661"/>
      <c r="F118" s="360">
        <f t="shared" ca="1" si="31"/>
        <v>0</v>
      </c>
      <c r="G118" s="661" t="s">
        <v>1494</v>
      </c>
      <c r="H118" s="661"/>
      <c r="I118" s="360">
        <f t="shared" ca="1" si="32"/>
        <v>0</v>
      </c>
      <c r="J118" s="661" t="s">
        <v>1493</v>
      </c>
      <c r="K118" s="661"/>
      <c r="L118" s="360">
        <f t="shared" ca="1" si="33"/>
        <v>0</v>
      </c>
      <c r="M118" s="457" t="str">
        <f t="shared" si="34"/>
        <v/>
      </c>
      <c r="N118" s="437">
        <f t="shared" si="35"/>
        <v>37</v>
      </c>
    </row>
    <row r="119" spans="1:14" x14ac:dyDescent="0.25">
      <c r="A119" s="359" t="str">
        <f t="shared" si="30"/>
        <v>R</v>
      </c>
      <c r="B119" s="377" t="s">
        <v>77</v>
      </c>
      <c r="C119" s="377"/>
      <c r="D119" s="661" t="s">
        <v>1463</v>
      </c>
      <c r="E119" s="661"/>
      <c r="F119" s="360">
        <f t="shared" ca="1" si="31"/>
        <v>0</v>
      </c>
      <c r="G119" s="661" t="s">
        <v>1504</v>
      </c>
      <c r="H119" s="661"/>
      <c r="I119" s="360">
        <f t="shared" ca="1" si="32"/>
        <v>0</v>
      </c>
      <c r="J119" s="661"/>
      <c r="K119" s="661"/>
      <c r="L119" s="360">
        <f t="shared" ca="1" si="33"/>
        <v>0</v>
      </c>
      <c r="M119" s="457" t="str">
        <f t="shared" si="34"/>
        <v/>
      </c>
      <c r="N119" s="437">
        <f t="shared" si="35"/>
        <v>8</v>
      </c>
    </row>
    <row r="120" spans="1:14" x14ac:dyDescent="0.25">
      <c r="A120" s="359" t="str">
        <f t="shared" si="30"/>
        <v>E</v>
      </c>
      <c r="B120" s="377" t="s">
        <v>50</v>
      </c>
      <c r="C120" s="377"/>
      <c r="D120" s="661" t="s">
        <v>817</v>
      </c>
      <c r="E120" s="661"/>
      <c r="F120" s="360">
        <f t="shared" ca="1" si="31"/>
        <v>0</v>
      </c>
      <c r="G120" s="661" t="s">
        <v>1430</v>
      </c>
      <c r="H120" s="661"/>
      <c r="I120" s="360">
        <f t="shared" ca="1" si="32"/>
        <v>0</v>
      </c>
      <c r="J120" s="661" t="s">
        <v>1474</v>
      </c>
      <c r="K120" s="661"/>
      <c r="L120" s="360">
        <f t="shared" ca="1" si="33"/>
        <v>0</v>
      </c>
      <c r="M120" s="457" t="str">
        <f t="shared" si="34"/>
        <v/>
      </c>
      <c r="N120" s="437">
        <f t="shared" si="35"/>
        <v>21</v>
      </c>
    </row>
    <row r="121" spans="1:14" x14ac:dyDescent="0.25">
      <c r="A121" s="359" t="str">
        <f t="shared" si="30"/>
        <v>C</v>
      </c>
      <c r="B121" s="377" t="s">
        <v>734</v>
      </c>
      <c r="C121" s="377"/>
      <c r="D121" s="661"/>
      <c r="E121" s="661"/>
      <c r="F121" s="360">
        <f t="shared" ca="1" si="31"/>
        <v>0</v>
      </c>
      <c r="G121" s="661"/>
      <c r="H121" s="661"/>
      <c r="I121" s="360">
        <f t="shared" ca="1" si="32"/>
        <v>0</v>
      </c>
      <c r="J121" s="661"/>
      <c r="K121" s="661"/>
      <c r="L121" s="360">
        <f t="shared" ca="1" si="33"/>
        <v>0</v>
      </c>
      <c r="M121" s="457" t="str">
        <f t="shared" si="34"/>
        <v/>
      </c>
      <c r="N121" s="437">
        <f t="shared" si="35"/>
        <v>0</v>
      </c>
    </row>
    <row r="122" spans="1:14" x14ac:dyDescent="0.25">
      <c r="A122" s="359" t="str">
        <f t="shared" si="30"/>
        <v>C</v>
      </c>
      <c r="B122" s="377" t="s">
        <v>736</v>
      </c>
      <c r="C122" s="377"/>
      <c r="D122" s="661"/>
      <c r="E122" s="661"/>
      <c r="F122" s="360">
        <f t="shared" ca="1" si="31"/>
        <v>0</v>
      </c>
      <c r="G122" s="661"/>
      <c r="H122" s="661"/>
      <c r="I122" s="360">
        <f t="shared" ca="1" si="32"/>
        <v>0</v>
      </c>
      <c r="J122" s="661"/>
      <c r="K122" s="661"/>
      <c r="L122" s="360">
        <f t="shared" ca="1" si="33"/>
        <v>0</v>
      </c>
      <c r="M122" s="457" t="str">
        <f t="shared" si="34"/>
        <v/>
      </c>
      <c r="N122" s="437">
        <f t="shared" si="35"/>
        <v>0</v>
      </c>
    </row>
    <row r="123" spans="1:14" x14ac:dyDescent="0.25">
      <c r="A123" s="359" t="str">
        <f t="shared" si="30"/>
        <v>C</v>
      </c>
      <c r="B123" s="377" t="s">
        <v>738</v>
      </c>
      <c r="C123" s="377"/>
      <c r="D123" s="661"/>
      <c r="E123" s="661"/>
      <c r="F123" s="360">
        <f t="shared" ca="1" si="31"/>
        <v>0</v>
      </c>
      <c r="G123" s="661"/>
      <c r="H123" s="661"/>
      <c r="I123" s="360">
        <f t="shared" ca="1" si="32"/>
        <v>0</v>
      </c>
      <c r="J123" s="661"/>
      <c r="K123" s="661"/>
      <c r="L123" s="360">
        <f t="shared" ca="1" si="33"/>
        <v>0</v>
      </c>
      <c r="M123" s="457" t="str">
        <f t="shared" si="34"/>
        <v/>
      </c>
      <c r="N123" s="437">
        <f t="shared" si="35"/>
        <v>0</v>
      </c>
    </row>
    <row r="124" spans="1:14" x14ac:dyDescent="0.25">
      <c r="A124" s="359" t="str">
        <f t="shared" si="30"/>
        <v>C</v>
      </c>
      <c r="B124" s="377" t="s">
        <v>740</v>
      </c>
      <c r="C124" s="377"/>
      <c r="D124" s="661"/>
      <c r="E124" s="661"/>
      <c r="F124" s="360">
        <f t="shared" ca="1" si="31"/>
        <v>0</v>
      </c>
      <c r="G124" s="661"/>
      <c r="H124" s="661"/>
      <c r="I124" s="360">
        <f t="shared" ca="1" si="32"/>
        <v>0</v>
      </c>
      <c r="J124" s="661"/>
      <c r="K124" s="661"/>
      <c r="L124" s="360">
        <f t="shared" ca="1" si="33"/>
        <v>0</v>
      </c>
      <c r="M124" s="457" t="str">
        <f t="shared" si="34"/>
        <v/>
      </c>
      <c r="N124" s="437">
        <f t="shared" si="35"/>
        <v>0</v>
      </c>
    </row>
    <row r="125" spans="1:14" x14ac:dyDescent="0.25">
      <c r="A125" s="359" t="str">
        <f t="shared" si="30"/>
        <v>C</v>
      </c>
      <c r="B125" s="377" t="s">
        <v>742</v>
      </c>
      <c r="C125" s="377"/>
      <c r="D125" s="661"/>
      <c r="E125" s="661"/>
      <c r="F125" s="360">
        <f t="shared" ca="1" si="31"/>
        <v>0</v>
      </c>
      <c r="G125" s="661"/>
      <c r="H125" s="661"/>
      <c r="I125" s="360">
        <f t="shared" ca="1" si="32"/>
        <v>0</v>
      </c>
      <c r="J125" s="661"/>
      <c r="K125" s="661"/>
      <c r="L125" s="360">
        <f t="shared" ca="1" si="33"/>
        <v>0</v>
      </c>
      <c r="M125" s="457" t="str">
        <f t="shared" si="34"/>
        <v/>
      </c>
      <c r="N125" s="437">
        <f t="shared" si="35"/>
        <v>0</v>
      </c>
    </row>
    <row r="126" spans="1:14" x14ac:dyDescent="0.25">
      <c r="A126" s="359" t="str">
        <f>VLOOKUP(B126,OfficerScores,2,FALSE)</f>
        <v>U</v>
      </c>
      <c r="B126" s="377" t="s">
        <v>1645</v>
      </c>
      <c r="C126" s="377"/>
      <c r="D126" s="660" t="s">
        <v>1431</v>
      </c>
      <c r="E126" s="660"/>
      <c r="F126" s="360">
        <f ca="1">IFERROR(INDEX(ImportTraits1,MATCH(B126,ImportOfficerList,0)),IFERROR(INDEX(ImportTraits1,MATCH("9 of 10",ImportOfficerList,0)),0))</f>
        <v>0</v>
      </c>
      <c r="G126" s="661"/>
      <c r="H126" s="661"/>
      <c r="I126" s="360">
        <f ca="1">IFERROR(INDEX(ImportTraits2,MATCH(B126,ImportOfficerList,0)),IFERROR(INDEX(ImportTraits2,MATCH("9 of 10",ImportOfficerList,0)),0))</f>
        <v>0</v>
      </c>
      <c r="J126" s="661"/>
      <c r="K126" s="661"/>
      <c r="L126" s="360">
        <f ca="1">IFERROR(INDEX(ImportTraits3,MATCH(B126,ImportOfficerList,0)),IFERROR(INDEX(ImportTraits3,MATCH("9 of 10",ImportOfficerList,0)),0))</f>
        <v>0</v>
      </c>
      <c r="M126" s="457" t="str">
        <f t="shared" si="34"/>
        <v/>
      </c>
      <c r="N126" s="437">
        <f t="shared" si="35"/>
        <v>6</v>
      </c>
    </row>
    <row r="127" spans="1:14" x14ac:dyDescent="0.25">
      <c r="A127" s="359" t="str">
        <f>VLOOKUP(B127,OfficerScores,2,FALSE)</f>
        <v>R</v>
      </c>
      <c r="B127" s="377" t="s">
        <v>1630</v>
      </c>
      <c r="C127" s="377"/>
      <c r="D127" s="660" t="s">
        <v>1431</v>
      </c>
      <c r="E127" s="660"/>
      <c r="F127" s="360">
        <f ca="1">IFERROR(INDEX(ImportTraits1,MATCH(B127,ImportOfficerList,0)),IFERROR(INDEX(ImportTraits1,MATCH("1 of 10",ImportOfficerList,0)),0))</f>
        <v>0</v>
      </c>
      <c r="G127" s="661" t="s">
        <v>1490</v>
      </c>
      <c r="H127" s="661"/>
      <c r="I127" s="360">
        <f ca="1">IFERROR(INDEX(ImportTraits2,MATCH(B127,ImportOfficerList,0)),IFERROR(INDEX(ImportTraits2,MATCH("1 of 10",ImportOfficerList,0)),0))</f>
        <v>0</v>
      </c>
      <c r="J127" s="661"/>
      <c r="K127" s="661"/>
      <c r="L127" s="360">
        <f ca="1">IFERROR(INDEX(ImportTraits3,MATCH(B127,ImportOfficerList,0)),IFERROR(INDEX(ImportTraits3,MATCH("1 of 10",ImportOfficerList,0)),0))</f>
        <v>0</v>
      </c>
      <c r="M127" s="457" t="str">
        <f t="shared" si="34"/>
        <v/>
      </c>
      <c r="N127" s="437">
        <f t="shared" si="35"/>
        <v>8</v>
      </c>
    </row>
    <row r="128" spans="1:14" x14ac:dyDescent="0.25">
      <c r="A128" s="359" t="str">
        <f t="shared" si="30"/>
        <v>U</v>
      </c>
      <c r="B128" s="377" t="s">
        <v>57</v>
      </c>
      <c r="C128" s="377"/>
      <c r="D128" s="661" t="s">
        <v>1484</v>
      </c>
      <c r="E128" s="661"/>
      <c r="F128" s="360">
        <f t="shared" ca="1" si="31"/>
        <v>0</v>
      </c>
      <c r="G128" s="661"/>
      <c r="H128" s="661"/>
      <c r="I128" s="360">
        <f t="shared" ca="1" si="32"/>
        <v>0</v>
      </c>
      <c r="J128" s="661"/>
      <c r="K128" s="661"/>
      <c r="L128" s="360">
        <f t="shared" ca="1" si="33"/>
        <v>0</v>
      </c>
      <c r="M128" s="457" t="str">
        <f t="shared" si="34"/>
        <v/>
      </c>
      <c r="N128" s="437">
        <f t="shared" si="35"/>
        <v>17</v>
      </c>
    </row>
    <row r="129" spans="1:14" x14ac:dyDescent="0.25">
      <c r="A129" s="359" t="str">
        <f t="shared" si="30"/>
        <v>C</v>
      </c>
      <c r="B129" s="377" t="s">
        <v>26</v>
      </c>
      <c r="C129" s="377"/>
      <c r="D129" s="661"/>
      <c r="E129" s="661"/>
      <c r="F129" s="360">
        <f t="shared" ca="1" si="31"/>
        <v>0</v>
      </c>
      <c r="G129" s="661"/>
      <c r="H129" s="661"/>
      <c r="I129" s="360">
        <f t="shared" ca="1" si="32"/>
        <v>0</v>
      </c>
      <c r="J129" s="661"/>
      <c r="K129" s="661"/>
      <c r="L129" s="360">
        <f t="shared" ca="1" si="33"/>
        <v>0</v>
      </c>
      <c r="M129" s="457" t="str">
        <f t="shared" si="34"/>
        <v/>
      </c>
      <c r="N129" s="437">
        <f t="shared" si="35"/>
        <v>0</v>
      </c>
    </row>
    <row r="130" spans="1:14" x14ac:dyDescent="0.25">
      <c r="A130" s="359" t="str">
        <f t="shared" si="30"/>
        <v>C</v>
      </c>
      <c r="B130" s="377" t="s">
        <v>27</v>
      </c>
      <c r="C130" s="377"/>
      <c r="D130" s="661"/>
      <c r="E130" s="661"/>
      <c r="F130" s="360">
        <f t="shared" ca="1" si="31"/>
        <v>0</v>
      </c>
      <c r="G130" s="661"/>
      <c r="H130" s="661"/>
      <c r="I130" s="360">
        <f t="shared" ca="1" si="32"/>
        <v>0</v>
      </c>
      <c r="J130" s="661"/>
      <c r="K130" s="661"/>
      <c r="L130" s="360">
        <f t="shared" ca="1" si="33"/>
        <v>0</v>
      </c>
      <c r="M130" s="457" t="str">
        <f t="shared" si="34"/>
        <v/>
      </c>
      <c r="N130" s="437">
        <f t="shared" si="35"/>
        <v>0</v>
      </c>
    </row>
    <row r="131" spans="1:14" x14ac:dyDescent="0.25">
      <c r="A131" s="359" t="str">
        <f t="shared" si="30"/>
        <v>U</v>
      </c>
      <c r="B131" s="377" t="s">
        <v>55</v>
      </c>
      <c r="C131" s="377"/>
      <c r="D131" s="661" t="s">
        <v>1463</v>
      </c>
      <c r="E131" s="661"/>
      <c r="F131" s="360">
        <f t="shared" ca="1" si="31"/>
        <v>0</v>
      </c>
      <c r="G131" s="661"/>
      <c r="H131" s="661"/>
      <c r="I131" s="360">
        <f t="shared" ca="1" si="32"/>
        <v>0</v>
      </c>
      <c r="J131" s="661"/>
      <c r="K131" s="661"/>
      <c r="L131" s="360">
        <f t="shared" ca="1" si="33"/>
        <v>0</v>
      </c>
      <c r="M131" s="457" t="str">
        <f t="shared" si="34"/>
        <v/>
      </c>
      <c r="N131" s="437">
        <f t="shared" si="35"/>
        <v>7</v>
      </c>
    </row>
    <row r="132" spans="1:14" x14ac:dyDescent="0.25">
      <c r="A132" s="359" t="str">
        <f t="shared" ref="A132:A172" si="42">VLOOKUP(B132,OfficerScores,2,FALSE)</f>
        <v>R</v>
      </c>
      <c r="B132" s="377" t="s">
        <v>78</v>
      </c>
      <c r="C132" s="377"/>
      <c r="D132" s="661" t="s">
        <v>1463</v>
      </c>
      <c r="E132" s="661"/>
      <c r="F132" s="360">
        <f t="shared" ref="F132:F172" ca="1" si="43">IFERROR(INDEX(ImportTraits1,MATCH(B132,ImportOfficerList,0)),0)</f>
        <v>0</v>
      </c>
      <c r="G132" s="661" t="s">
        <v>1475</v>
      </c>
      <c r="H132" s="661"/>
      <c r="I132" s="360">
        <f t="shared" ref="I132:I172" ca="1" si="44">IFERROR(INDEX(ImportTraits2,MATCH(B132,ImportOfficerList,0)),0)</f>
        <v>0</v>
      </c>
      <c r="J132" s="661"/>
      <c r="K132" s="661"/>
      <c r="L132" s="360">
        <f t="shared" ref="L132:L172" ca="1" si="45">IFERROR(INDEX(ImportTraits3,MATCH(B132,ImportOfficerList,0)),0)</f>
        <v>0</v>
      </c>
      <c r="M132" s="457" t="str">
        <f t="shared" si="34"/>
        <v/>
      </c>
      <c r="N132" s="437">
        <f t="shared" si="35"/>
        <v>11</v>
      </c>
    </row>
    <row r="133" spans="1:14" x14ac:dyDescent="0.25">
      <c r="A133" s="359" t="str">
        <f t="shared" si="42"/>
        <v>R</v>
      </c>
      <c r="B133" s="377" t="s">
        <v>90</v>
      </c>
      <c r="C133" s="377"/>
      <c r="D133" s="661" t="s">
        <v>1402</v>
      </c>
      <c r="E133" s="661"/>
      <c r="F133" s="360">
        <f t="shared" ca="1" si="43"/>
        <v>0</v>
      </c>
      <c r="G133" s="661" t="s">
        <v>1400</v>
      </c>
      <c r="H133" s="661"/>
      <c r="I133" s="360">
        <f t="shared" ca="1" si="44"/>
        <v>0</v>
      </c>
      <c r="J133" s="661"/>
      <c r="K133" s="661"/>
      <c r="L133" s="360">
        <f t="shared" ca="1" si="45"/>
        <v>0</v>
      </c>
      <c r="M133" s="457" t="str">
        <f t="shared" si="34"/>
        <v/>
      </c>
      <c r="N133" s="437">
        <f t="shared" si="35"/>
        <v>15</v>
      </c>
    </row>
    <row r="134" spans="1:14" x14ac:dyDescent="0.25">
      <c r="A134" s="359" t="str">
        <f t="shared" si="42"/>
        <v>E</v>
      </c>
      <c r="B134" s="377" t="s">
        <v>82</v>
      </c>
      <c r="C134" s="377"/>
      <c r="D134" s="661" t="s">
        <v>1446</v>
      </c>
      <c r="E134" s="661"/>
      <c r="F134" s="360">
        <f t="shared" ca="1" si="43"/>
        <v>0</v>
      </c>
      <c r="G134" s="661" t="s">
        <v>1483</v>
      </c>
      <c r="H134" s="661"/>
      <c r="I134" s="360">
        <f t="shared" ca="1" si="44"/>
        <v>0</v>
      </c>
      <c r="J134" s="661" t="s">
        <v>1515</v>
      </c>
      <c r="K134" s="661"/>
      <c r="L134" s="360">
        <f t="shared" ca="1" si="45"/>
        <v>0</v>
      </c>
      <c r="M134" s="457" t="str">
        <f t="shared" ref="M134:M167" si="46">IF($F$8&lt;&gt;"",IF($F$8="Attack",INDEX(RosterAttack,MATCH(B134,RosterOfficer,0)),INDEX(RosterAttack,MATCH(B134,RosterOfficer,0))*0.5) + IF($F$8="Defence",INDEX(RosterDefence,MATCH(B134,RosterOfficer,0)),INDEX(RosterDefence,MATCH(B134,RosterOfficer,0))*0.5) + IF($F$8="Health",INDEX(RosterHealth,MATCH(B134,RosterOfficer,0)),INDEX(RosterHealth,MATCH(B134,RosterOfficer,0))*0.5),"")</f>
        <v/>
      </c>
      <c r="N134" s="437">
        <f t="shared" ref="N134:N167" si="47">IFERROR(INDEX(AwayMissionTraitsTotals,MATCH(D134,AwayMissionTraits,0)),0) + IFERROR(INDEX(AwayMissionTraitsTotals,MATCH(G134,AwayMissionTraits,0)),0) + IFERROR(INDEX(AwayMissionTraitsTotals,MATCH(J134,AwayMissionTraits,0)),0)</f>
        <v>5</v>
      </c>
    </row>
    <row r="135" spans="1:14" x14ac:dyDescent="0.25">
      <c r="A135" s="359" t="str">
        <f t="shared" si="42"/>
        <v>U</v>
      </c>
      <c r="B135" s="377" t="s">
        <v>76</v>
      </c>
      <c r="C135" s="377"/>
      <c r="D135" s="661" t="s">
        <v>1414</v>
      </c>
      <c r="E135" s="661"/>
      <c r="F135" s="360">
        <f t="shared" ca="1" si="43"/>
        <v>0</v>
      </c>
      <c r="G135" s="661"/>
      <c r="H135" s="661"/>
      <c r="I135" s="360">
        <f t="shared" ca="1" si="44"/>
        <v>0</v>
      </c>
      <c r="J135" s="661"/>
      <c r="K135" s="661"/>
      <c r="L135" s="360">
        <f t="shared" ca="1" si="45"/>
        <v>0</v>
      </c>
      <c r="M135" s="457" t="str">
        <f t="shared" si="46"/>
        <v/>
      </c>
      <c r="N135" s="437">
        <f t="shared" si="47"/>
        <v>0</v>
      </c>
    </row>
    <row r="136" spans="1:14" x14ac:dyDescent="0.25">
      <c r="A136" s="359" t="str">
        <f t="shared" si="42"/>
        <v>E</v>
      </c>
      <c r="B136" s="485" t="s">
        <v>1978</v>
      </c>
      <c r="C136" s="485"/>
      <c r="D136" s="686" t="s">
        <v>1484</v>
      </c>
      <c r="E136" s="686"/>
      <c r="F136" s="360">
        <f t="shared" ca="1" si="43"/>
        <v>0</v>
      </c>
      <c r="G136" s="660" t="s">
        <v>1475</v>
      </c>
      <c r="H136" s="660"/>
      <c r="I136" s="360">
        <f t="shared" ca="1" si="44"/>
        <v>0</v>
      </c>
      <c r="J136" s="660" t="s">
        <v>1450</v>
      </c>
      <c r="K136" s="660"/>
      <c r="L136" s="360">
        <f t="shared" ref="L136" ca="1" si="48">IFERROR(INDEX(ImportTraits3,MATCH(B136,ImportOfficerList,0)),0)</f>
        <v>0</v>
      </c>
      <c r="M136" s="457" t="str">
        <f t="shared" ref="M136" si="49">IF($F$8&lt;&gt;"",IF($F$8="Attack",INDEX(RosterAttack,MATCH(B136,RosterOfficer,0)),INDEX(RosterAttack,MATCH(B136,RosterOfficer,0))*0.5) + IF($F$8="Defence",INDEX(RosterDefence,MATCH(B136,RosterOfficer,0)),INDEX(RosterDefence,MATCH(B136,RosterOfficer,0))*0.5) + IF($F$8="Health",INDEX(RosterHealth,MATCH(B136,RosterOfficer,0)),INDEX(RosterHealth,MATCH(B136,RosterOfficer,0))*0.5),"")</f>
        <v/>
      </c>
      <c r="N136" s="486">
        <f t="shared" ref="N136" si="50">IFERROR(INDEX(AwayMissionTraitsTotals,MATCH(D136,AwayMissionTraits,0)),0) + IFERROR(INDEX(AwayMissionTraitsTotals,MATCH(G136,AwayMissionTraits,0)),0) + IFERROR(INDEX(AwayMissionTraitsTotals,MATCH(J136,AwayMissionTraits,0)),0)</f>
        <v>24</v>
      </c>
    </row>
    <row r="137" spans="1:14" x14ac:dyDescent="0.25">
      <c r="A137" s="359" t="str">
        <f t="shared" si="42"/>
        <v>R</v>
      </c>
      <c r="B137" s="377" t="s">
        <v>79</v>
      </c>
      <c r="C137" s="377"/>
      <c r="D137" s="661" t="s">
        <v>1463</v>
      </c>
      <c r="E137" s="661"/>
      <c r="F137" s="360">
        <f t="shared" ca="1" si="43"/>
        <v>0</v>
      </c>
      <c r="G137" s="661" t="s">
        <v>1451</v>
      </c>
      <c r="H137" s="661"/>
      <c r="I137" s="360">
        <f t="shared" ca="1" si="44"/>
        <v>0</v>
      </c>
      <c r="J137" s="661"/>
      <c r="K137" s="661"/>
      <c r="L137" s="360">
        <f t="shared" ca="1" si="45"/>
        <v>0</v>
      </c>
      <c r="M137" s="457" t="str">
        <f t="shared" si="46"/>
        <v/>
      </c>
      <c r="N137" s="437">
        <f t="shared" si="47"/>
        <v>17</v>
      </c>
    </row>
    <row r="138" spans="1:14" x14ac:dyDescent="0.25">
      <c r="A138" s="359" t="str">
        <f>VLOOKUP(B138,OfficerScores,2,FALSE)</f>
        <v>R</v>
      </c>
      <c r="B138" s="377" t="s">
        <v>88</v>
      </c>
      <c r="C138" s="377"/>
      <c r="D138" s="661" t="s">
        <v>1446</v>
      </c>
      <c r="E138" s="661"/>
      <c r="F138" s="360">
        <f t="shared" ca="1" si="43"/>
        <v>0</v>
      </c>
      <c r="G138" s="661" t="s">
        <v>1425</v>
      </c>
      <c r="H138" s="661"/>
      <c r="I138" s="360">
        <f t="shared" ca="1" si="44"/>
        <v>0</v>
      </c>
      <c r="J138" s="661"/>
      <c r="K138" s="661"/>
      <c r="L138" s="360">
        <f t="shared" ca="1" si="45"/>
        <v>0</v>
      </c>
      <c r="M138" s="457" t="str">
        <f t="shared" si="46"/>
        <v/>
      </c>
      <c r="N138" s="437">
        <f t="shared" si="47"/>
        <v>3</v>
      </c>
    </row>
    <row r="139" spans="1:14" x14ac:dyDescent="0.25">
      <c r="A139" s="359" t="str">
        <f>VLOOKUP(B139,OfficerScores,2,FALSE)</f>
        <v>E</v>
      </c>
      <c r="B139" s="533" t="s">
        <v>2180</v>
      </c>
      <c r="C139" s="533"/>
      <c r="D139" s="660" t="s">
        <v>1401</v>
      </c>
      <c r="E139" s="660"/>
      <c r="F139" s="360">
        <f t="shared" ca="1" si="43"/>
        <v>0</v>
      </c>
      <c r="G139" s="660" t="s">
        <v>1408</v>
      </c>
      <c r="H139" s="660"/>
      <c r="I139" s="360">
        <f t="shared" ca="1" si="44"/>
        <v>0</v>
      </c>
      <c r="J139" s="660" t="s">
        <v>1468</v>
      </c>
      <c r="K139" s="660"/>
      <c r="L139" s="360">
        <f t="shared" ref="L139" ca="1" si="51">IFERROR(INDEX(ImportTraits3,MATCH(B139,ImportOfficerList,0)),0)</f>
        <v>0</v>
      </c>
      <c r="M139" s="457" t="str">
        <f t="shared" ref="M139" si="52">IF($F$8&lt;&gt;"",IF($F$8="Attack",INDEX(RosterAttack,MATCH(B139,RosterOfficer,0)),INDEX(RosterAttack,MATCH(B139,RosterOfficer,0))*0.5) + IF($F$8="Defence",INDEX(RosterDefence,MATCH(B139,RosterOfficer,0)),INDEX(RosterDefence,MATCH(B139,RosterOfficer,0))*0.5) + IF($F$8="Health",INDEX(RosterHealth,MATCH(B139,RosterOfficer,0)),INDEX(RosterHealth,MATCH(B139,RosterOfficer,0))*0.5),"")</f>
        <v/>
      </c>
      <c r="N139" s="532">
        <f t="shared" ref="N139" si="53">IFERROR(INDEX(AwayMissionTraitsTotals,MATCH(D139,AwayMissionTraits,0)),0) + IFERROR(INDEX(AwayMissionTraitsTotals,MATCH(G139,AwayMissionTraits,0)),0) + IFERROR(INDEX(AwayMissionTraitsTotals,MATCH(J139,AwayMissionTraits,0)),0)</f>
        <v>30</v>
      </c>
    </row>
    <row r="140" spans="1:14" x14ac:dyDescent="0.25">
      <c r="A140" s="359" t="str">
        <f t="shared" si="42"/>
        <v>C</v>
      </c>
      <c r="B140" s="377" t="s">
        <v>7</v>
      </c>
      <c r="C140" s="377"/>
      <c r="D140" s="661"/>
      <c r="E140" s="661"/>
      <c r="F140" s="360">
        <f t="shared" ca="1" si="43"/>
        <v>0</v>
      </c>
      <c r="G140" s="661"/>
      <c r="H140" s="661"/>
      <c r="I140" s="360">
        <f t="shared" ca="1" si="44"/>
        <v>0</v>
      </c>
      <c r="J140" s="661"/>
      <c r="K140" s="661"/>
      <c r="L140" s="360">
        <f t="shared" ca="1" si="45"/>
        <v>0</v>
      </c>
      <c r="M140" s="457" t="str">
        <f t="shared" si="46"/>
        <v/>
      </c>
      <c r="N140" s="437">
        <f t="shared" si="47"/>
        <v>0</v>
      </c>
    </row>
    <row r="141" spans="1:14" x14ac:dyDescent="0.25">
      <c r="A141" s="359" t="str">
        <f t="shared" si="42"/>
        <v>R</v>
      </c>
      <c r="B141" s="377" t="s">
        <v>87</v>
      </c>
      <c r="C141" s="377"/>
      <c r="D141" s="661" t="s">
        <v>1485</v>
      </c>
      <c r="E141" s="661"/>
      <c r="F141" s="360">
        <f ca="1">IFERROR(INDEX(ImportTraits1,MATCH(B141,ImportOfficerList,0)),0)</f>
        <v>0</v>
      </c>
      <c r="G141" s="661" t="s">
        <v>1439</v>
      </c>
      <c r="H141" s="661"/>
      <c r="I141" s="360">
        <f t="shared" ca="1" si="44"/>
        <v>0</v>
      </c>
      <c r="J141" s="661"/>
      <c r="K141" s="661"/>
      <c r="L141" s="360">
        <f t="shared" ca="1" si="45"/>
        <v>0</v>
      </c>
      <c r="M141" s="457" t="str">
        <f t="shared" si="46"/>
        <v/>
      </c>
      <c r="N141" s="437">
        <f t="shared" si="47"/>
        <v>6</v>
      </c>
    </row>
    <row r="142" spans="1:14" x14ac:dyDescent="0.25">
      <c r="A142" s="359" t="str">
        <f t="shared" si="42"/>
        <v>U</v>
      </c>
      <c r="B142" s="377" t="s">
        <v>39</v>
      </c>
      <c r="C142" s="377"/>
      <c r="D142" s="661" t="s">
        <v>1402</v>
      </c>
      <c r="E142" s="661"/>
      <c r="F142" s="360">
        <f ca="1">IFERROR(INDEX(ImportTraits1,MATCH(B142,ImportOfficerList,0)),0)</f>
        <v>0</v>
      </c>
      <c r="G142" s="661"/>
      <c r="H142" s="661"/>
      <c r="I142" s="360">
        <f t="shared" ca="1" si="44"/>
        <v>0</v>
      </c>
      <c r="J142" s="661"/>
      <c r="K142" s="661"/>
      <c r="L142" s="360">
        <f t="shared" ca="1" si="45"/>
        <v>0</v>
      </c>
      <c r="M142" s="457" t="str">
        <f t="shared" si="46"/>
        <v/>
      </c>
      <c r="N142" s="437">
        <f t="shared" si="47"/>
        <v>6</v>
      </c>
    </row>
    <row r="143" spans="1:14" x14ac:dyDescent="0.25">
      <c r="A143" s="359" t="str">
        <f t="shared" si="42"/>
        <v>E</v>
      </c>
      <c r="B143" s="435" t="s">
        <v>1653</v>
      </c>
      <c r="C143" s="435"/>
      <c r="D143" s="660" t="s">
        <v>1512</v>
      </c>
      <c r="E143" s="660"/>
      <c r="F143" s="360">
        <f ca="1">IFERROR(INDEX(ImportTraits1,MATCH(B143,ImportOfficerList,0)),0)</f>
        <v>0</v>
      </c>
      <c r="G143" s="660" t="s">
        <v>1483</v>
      </c>
      <c r="H143" s="660"/>
      <c r="I143" s="360">
        <f t="shared" ca="1" si="44"/>
        <v>0</v>
      </c>
      <c r="J143" s="660" t="s">
        <v>1468</v>
      </c>
      <c r="K143" s="660"/>
      <c r="L143" s="360">
        <f t="shared" ref="L143" ca="1" si="54">IFERROR(INDEX(ImportTraits3,MATCH(B143,ImportOfficerList,0)),0)</f>
        <v>0</v>
      </c>
      <c r="M143" s="457" t="str">
        <f t="shared" si="46"/>
        <v/>
      </c>
      <c r="N143" s="437">
        <f t="shared" si="47"/>
        <v>12</v>
      </c>
    </row>
    <row r="144" spans="1:14" x14ac:dyDescent="0.25">
      <c r="A144" s="359" t="str">
        <f t="shared" si="42"/>
        <v>C</v>
      </c>
      <c r="B144" s="377" t="s">
        <v>92</v>
      </c>
      <c r="C144" s="377"/>
      <c r="D144" s="661"/>
      <c r="E144" s="661"/>
      <c r="F144" s="360">
        <f t="shared" ca="1" si="43"/>
        <v>0</v>
      </c>
      <c r="G144" s="661"/>
      <c r="H144" s="661"/>
      <c r="I144" s="360">
        <f t="shared" ca="1" si="44"/>
        <v>0</v>
      </c>
      <c r="J144" s="661"/>
      <c r="K144" s="661"/>
      <c r="L144" s="360">
        <f t="shared" ca="1" si="45"/>
        <v>0</v>
      </c>
      <c r="M144" s="457" t="str">
        <f t="shared" si="46"/>
        <v/>
      </c>
      <c r="N144" s="437">
        <f t="shared" si="47"/>
        <v>0</v>
      </c>
    </row>
    <row r="145" spans="1:14" x14ac:dyDescent="0.25">
      <c r="A145" s="359" t="str">
        <f>VLOOKUP(B145,OfficerScores,2,FALSE)</f>
        <v>R</v>
      </c>
      <c r="B145" s="377" t="s">
        <v>1643</v>
      </c>
      <c r="C145" s="377"/>
      <c r="D145" s="660" t="s">
        <v>1431</v>
      </c>
      <c r="E145" s="660"/>
      <c r="F145" s="360">
        <f ca="1">IFERROR(INDEX(ImportTraits1,MATCH(B145,ImportOfficerList,0)),IFERROR(INDEX(ImportTraits1,MATCH("7 of 10",ImportOfficerList,0)),0))</f>
        <v>0</v>
      </c>
      <c r="G145" s="661" t="s">
        <v>1408</v>
      </c>
      <c r="H145" s="661"/>
      <c r="I145" s="360">
        <f ca="1">IFERROR(INDEX(ImportTraits2,MATCH(B145,ImportOfficerList,0)),IFERROR(INDEX(ImportTraits2,MATCH("7 of 10",ImportOfficerList,0)),0))</f>
        <v>0</v>
      </c>
      <c r="J145" s="661"/>
      <c r="K145" s="661"/>
      <c r="L145" s="360">
        <f ca="1">IFERROR(INDEX(ImportTraits3,MATCH(B145,ImportOfficerList,0)),IFERROR(INDEX(ImportTraits3,MATCH("7 of 10",ImportOfficerList,0)),0))</f>
        <v>0</v>
      </c>
      <c r="M145" s="457" t="str">
        <f t="shared" si="46"/>
        <v/>
      </c>
      <c r="N145" s="437">
        <f t="shared" si="47"/>
        <v>13</v>
      </c>
    </row>
    <row r="146" spans="1:14" x14ac:dyDescent="0.25">
      <c r="A146" s="359" t="str">
        <f t="shared" si="42"/>
        <v>U</v>
      </c>
      <c r="B146" s="377" t="s">
        <v>74</v>
      </c>
      <c r="C146" s="377"/>
      <c r="D146" s="661" t="s">
        <v>1401</v>
      </c>
      <c r="E146" s="661"/>
      <c r="F146" s="360">
        <f t="shared" ca="1" si="43"/>
        <v>0</v>
      </c>
      <c r="G146" s="661"/>
      <c r="H146" s="661"/>
      <c r="I146" s="360">
        <f t="shared" ca="1" si="44"/>
        <v>0</v>
      </c>
      <c r="J146" s="661"/>
      <c r="K146" s="661"/>
      <c r="L146" s="360">
        <f t="shared" ca="1" si="45"/>
        <v>0</v>
      </c>
      <c r="M146" s="457" t="str">
        <f t="shared" si="46"/>
        <v/>
      </c>
      <c r="N146" s="437">
        <f t="shared" si="47"/>
        <v>16</v>
      </c>
    </row>
    <row r="147" spans="1:14" x14ac:dyDescent="0.25">
      <c r="A147" s="359" t="str">
        <f t="shared" si="42"/>
        <v>C</v>
      </c>
      <c r="B147" s="377" t="s">
        <v>8</v>
      </c>
      <c r="C147" s="377"/>
      <c r="D147" s="661"/>
      <c r="E147" s="661"/>
      <c r="F147" s="360">
        <f t="shared" ca="1" si="43"/>
        <v>0</v>
      </c>
      <c r="G147" s="661"/>
      <c r="H147" s="661"/>
      <c r="I147" s="360">
        <f t="shared" ca="1" si="44"/>
        <v>0</v>
      </c>
      <c r="J147" s="661"/>
      <c r="K147" s="661"/>
      <c r="L147" s="360">
        <f t="shared" ca="1" si="45"/>
        <v>0</v>
      </c>
      <c r="M147" s="457" t="str">
        <f t="shared" si="46"/>
        <v/>
      </c>
      <c r="N147" s="437">
        <f t="shared" si="47"/>
        <v>0</v>
      </c>
    </row>
    <row r="148" spans="1:14" x14ac:dyDescent="0.25">
      <c r="A148" s="359" t="str">
        <f>VLOOKUP(B148,OfficerScores,2,FALSE)</f>
        <v>E</v>
      </c>
      <c r="B148" s="377" t="s">
        <v>1642</v>
      </c>
      <c r="C148" s="377"/>
      <c r="D148" s="660" t="s">
        <v>1431</v>
      </c>
      <c r="E148" s="660"/>
      <c r="F148" s="360">
        <f ca="1">IFERROR(INDEX(ImportTraits1,MATCH(B148,ImportOfficerList,0)),IFERROR(INDEX(ImportTraits1,MATCH("6 of 10",ImportOfficerList,0)),0))</f>
        <v>0</v>
      </c>
      <c r="G148" s="661" t="s">
        <v>1409</v>
      </c>
      <c r="H148" s="661"/>
      <c r="I148" s="360">
        <f ca="1">IFERROR(INDEX(ImportTraits2,MATCH(B148,ImportOfficerList,0)),IFERROR(INDEX(ImportTraits2,MATCH("6 of 10",ImportOfficerList,0)),0))</f>
        <v>0</v>
      </c>
      <c r="J148" s="661" t="s">
        <v>1407</v>
      </c>
      <c r="K148" s="661"/>
      <c r="L148" s="360">
        <f ca="1">IFERROR(INDEX(ImportTraits3,MATCH(B148,ImportOfficerList,0)),IFERROR(INDEX(ImportTraits3,MATCH("6 of 10",ImportOfficerList,0)),0))</f>
        <v>0</v>
      </c>
      <c r="M148" s="457" t="str">
        <f t="shared" si="46"/>
        <v/>
      </c>
      <c r="N148" s="437">
        <f t="shared" si="47"/>
        <v>17</v>
      </c>
    </row>
    <row r="149" spans="1:14" x14ac:dyDescent="0.25">
      <c r="A149" s="359" t="str">
        <f t="shared" si="42"/>
        <v>R</v>
      </c>
      <c r="B149" s="377" t="s">
        <v>23</v>
      </c>
      <c r="C149" s="377"/>
      <c r="D149" s="661" t="s">
        <v>1403</v>
      </c>
      <c r="E149" s="661"/>
      <c r="F149" s="360">
        <f t="shared" ca="1" si="43"/>
        <v>0</v>
      </c>
      <c r="G149" s="661" t="s">
        <v>1424</v>
      </c>
      <c r="H149" s="661"/>
      <c r="I149" s="360">
        <f t="shared" ca="1" si="44"/>
        <v>0</v>
      </c>
      <c r="J149" s="661"/>
      <c r="K149" s="661"/>
      <c r="L149" s="360">
        <f t="shared" ca="1" si="45"/>
        <v>0</v>
      </c>
      <c r="M149" s="457" t="str">
        <f t="shared" si="46"/>
        <v/>
      </c>
      <c r="N149" s="437">
        <f t="shared" si="47"/>
        <v>23</v>
      </c>
    </row>
    <row r="150" spans="1:14" x14ac:dyDescent="0.25">
      <c r="A150" s="359" t="str">
        <f t="shared" si="42"/>
        <v>R</v>
      </c>
      <c r="B150" s="377" t="s">
        <v>24</v>
      </c>
      <c r="C150" s="377"/>
      <c r="D150" s="661" t="s">
        <v>1506</v>
      </c>
      <c r="E150" s="661"/>
      <c r="F150" s="360">
        <f t="shared" ca="1" si="43"/>
        <v>0</v>
      </c>
      <c r="G150" s="661" t="s">
        <v>1424</v>
      </c>
      <c r="H150" s="661"/>
      <c r="I150" s="360">
        <f t="shared" ca="1" si="44"/>
        <v>0</v>
      </c>
      <c r="J150" s="661"/>
      <c r="K150" s="661"/>
      <c r="L150" s="360">
        <f t="shared" ca="1" si="45"/>
        <v>0</v>
      </c>
      <c r="M150" s="457" t="str">
        <f t="shared" si="46"/>
        <v/>
      </c>
      <c r="N150" s="437">
        <f t="shared" si="47"/>
        <v>15</v>
      </c>
    </row>
    <row r="151" spans="1:14" x14ac:dyDescent="0.25">
      <c r="A151" s="359" t="str">
        <f t="shared" si="42"/>
        <v>U</v>
      </c>
      <c r="B151" s="377" t="s">
        <v>30</v>
      </c>
      <c r="C151" s="377"/>
      <c r="D151" s="661" t="s">
        <v>1479</v>
      </c>
      <c r="E151" s="661"/>
      <c r="F151" s="360">
        <f t="shared" ca="1" si="43"/>
        <v>0</v>
      </c>
      <c r="G151" s="661"/>
      <c r="H151" s="661"/>
      <c r="I151" s="360">
        <f t="shared" ca="1" si="44"/>
        <v>0</v>
      </c>
      <c r="J151" s="661"/>
      <c r="K151" s="661"/>
      <c r="L151" s="360">
        <f t="shared" ca="1" si="45"/>
        <v>0</v>
      </c>
      <c r="M151" s="457" t="str">
        <f t="shared" si="46"/>
        <v/>
      </c>
      <c r="N151" s="437">
        <f t="shared" si="47"/>
        <v>6</v>
      </c>
    </row>
    <row r="152" spans="1:14" x14ac:dyDescent="0.25">
      <c r="A152" s="359" t="str">
        <f t="shared" si="42"/>
        <v>R</v>
      </c>
      <c r="B152" s="377" t="s">
        <v>101</v>
      </c>
      <c r="C152" s="377"/>
      <c r="D152" s="661" t="s">
        <v>1481</v>
      </c>
      <c r="E152" s="661"/>
      <c r="F152" s="360">
        <f t="shared" ca="1" si="43"/>
        <v>0</v>
      </c>
      <c r="G152" s="661" t="s">
        <v>1483</v>
      </c>
      <c r="H152" s="661"/>
      <c r="I152" s="360">
        <f t="shared" ca="1" si="44"/>
        <v>0</v>
      </c>
      <c r="J152" s="661"/>
      <c r="K152" s="661"/>
      <c r="L152" s="360">
        <f t="shared" ca="1" si="45"/>
        <v>0</v>
      </c>
      <c r="M152" s="457" t="str">
        <f t="shared" si="46"/>
        <v/>
      </c>
      <c r="N152" s="437">
        <f t="shared" si="47"/>
        <v>5</v>
      </c>
    </row>
    <row r="153" spans="1:14" x14ac:dyDescent="0.25">
      <c r="A153" s="359" t="str">
        <f t="shared" si="42"/>
        <v>R</v>
      </c>
      <c r="B153" s="377" t="s">
        <v>1534</v>
      </c>
      <c r="C153" s="377"/>
      <c r="D153" s="661" t="s">
        <v>1413</v>
      </c>
      <c r="E153" s="661"/>
      <c r="F153" s="360">
        <f t="shared" ca="1" si="43"/>
        <v>0</v>
      </c>
      <c r="G153" s="661" t="s">
        <v>1408</v>
      </c>
      <c r="H153" s="661"/>
      <c r="I153" s="360">
        <f t="shared" ca="1" si="44"/>
        <v>0</v>
      </c>
      <c r="J153" s="661"/>
      <c r="K153" s="661"/>
      <c r="L153" s="360">
        <f t="shared" ca="1" si="45"/>
        <v>0</v>
      </c>
      <c r="M153" s="457" t="str">
        <f t="shared" si="46"/>
        <v/>
      </c>
      <c r="N153" s="437">
        <f t="shared" si="47"/>
        <v>11</v>
      </c>
    </row>
    <row r="154" spans="1:14" x14ac:dyDescent="0.25">
      <c r="A154" s="359" t="str">
        <f>VLOOKUP(B154,OfficerScores,2,FALSE)</f>
        <v>E</v>
      </c>
      <c r="B154" s="377" t="s">
        <v>1647</v>
      </c>
      <c r="C154" s="377"/>
      <c r="D154" s="660" t="s">
        <v>1431</v>
      </c>
      <c r="E154" s="660"/>
      <c r="F154" s="360">
        <f ca="1">IFERROR(INDEX(ImportTraits1,MATCH(B154,ImportOfficerList,0)),IFERROR(INDEX(ImportTraits1,MATCH("10 of 10",ImportOfficerList,0)),0))</f>
        <v>0</v>
      </c>
      <c r="G154" s="661" t="s">
        <v>1430</v>
      </c>
      <c r="H154" s="661"/>
      <c r="I154" s="360">
        <f ca="1">IFERROR(INDEX(ImportTraits2,MATCH(B154,ImportOfficerList,0)),IFERROR(INDEX(ImportTraits2,MATCH("10 of 10",ImportOfficerList,0)),0))</f>
        <v>0</v>
      </c>
      <c r="J154" s="661" t="s">
        <v>1429</v>
      </c>
      <c r="K154" s="661"/>
      <c r="L154" s="360">
        <f ca="1">IFERROR(INDEX(ImportTraits3,MATCH(B154,ImportOfficerList,0)),IFERROR(INDEX(ImportTraits3,MATCH("10 of 10",ImportOfficerList,0)),0))</f>
        <v>0</v>
      </c>
      <c r="M154" s="457" t="str">
        <f t="shared" si="46"/>
        <v/>
      </c>
      <c r="N154" s="437">
        <f t="shared" si="47"/>
        <v>23</v>
      </c>
    </row>
    <row r="155" spans="1:14" x14ac:dyDescent="0.25">
      <c r="A155" s="359" t="str">
        <f>VLOOKUP(B155,OfficerScores,2,FALSE)</f>
        <v>E</v>
      </c>
      <c r="B155" s="377" t="s">
        <v>1634</v>
      </c>
      <c r="C155" s="377"/>
      <c r="D155" s="660" t="s">
        <v>1431</v>
      </c>
      <c r="E155" s="660"/>
      <c r="F155" s="360">
        <f ca="1">IFERROR(INDEX(ImportTraits1,MATCH(B155,ImportOfficerList,0)),IFERROR(INDEX(ImportTraits1,MATCH("3 of 10",ImportOfficerList,0)),0))</f>
        <v>0</v>
      </c>
      <c r="G155" s="661" t="s">
        <v>1430</v>
      </c>
      <c r="H155" s="661"/>
      <c r="I155" s="360">
        <f ca="1">IFERROR(INDEX(ImportTraits2,MATCH(B155,ImportOfficerList,0)),IFERROR(INDEX(ImportTraits2,MATCH("3 of 10",ImportOfficerList,0)),0))</f>
        <v>0</v>
      </c>
      <c r="J155" s="661" t="s">
        <v>1422</v>
      </c>
      <c r="K155" s="661"/>
      <c r="L155" s="360">
        <f ca="1">IFERROR(INDEX(ImportTraits3,MATCH(B155,ImportOfficerList,0)),IFERROR(INDEX(ImportTraits3,MATCH("3 of 10",ImportOfficerList,0)),0))</f>
        <v>0</v>
      </c>
      <c r="M155" s="457" t="str">
        <f t="shared" si="46"/>
        <v/>
      </c>
      <c r="N155" s="437">
        <f t="shared" si="47"/>
        <v>24</v>
      </c>
    </row>
    <row r="156" spans="1:14" x14ac:dyDescent="0.25">
      <c r="A156" s="359" t="str">
        <f t="shared" si="42"/>
        <v>U</v>
      </c>
      <c r="B156" s="377" t="s">
        <v>75</v>
      </c>
      <c r="C156" s="377"/>
      <c r="D156" s="661" t="s">
        <v>1403</v>
      </c>
      <c r="E156" s="661"/>
      <c r="F156" s="360">
        <f t="shared" ca="1" si="43"/>
        <v>0</v>
      </c>
      <c r="G156" s="661"/>
      <c r="H156" s="661"/>
      <c r="I156" s="360">
        <f t="shared" ca="1" si="44"/>
        <v>0</v>
      </c>
      <c r="J156" s="661"/>
      <c r="K156" s="661"/>
      <c r="L156" s="360">
        <f t="shared" ca="1" si="45"/>
        <v>0</v>
      </c>
      <c r="M156" s="457" t="str">
        <f t="shared" si="46"/>
        <v/>
      </c>
      <c r="N156" s="437">
        <f t="shared" si="47"/>
        <v>15</v>
      </c>
    </row>
    <row r="157" spans="1:14" x14ac:dyDescent="0.25">
      <c r="A157" s="359" t="str">
        <f t="shared" si="42"/>
        <v>C</v>
      </c>
      <c r="B157" s="377" t="s">
        <v>72</v>
      </c>
      <c r="C157" s="377"/>
      <c r="D157" s="661"/>
      <c r="E157" s="661"/>
      <c r="F157" s="360">
        <f t="shared" ca="1" si="43"/>
        <v>0</v>
      </c>
      <c r="G157" s="661"/>
      <c r="H157" s="661"/>
      <c r="I157" s="360">
        <f t="shared" ca="1" si="44"/>
        <v>0</v>
      </c>
      <c r="J157" s="661"/>
      <c r="K157" s="661"/>
      <c r="L157" s="360">
        <f t="shared" ca="1" si="45"/>
        <v>0</v>
      </c>
      <c r="M157" s="457" t="str">
        <f t="shared" si="46"/>
        <v/>
      </c>
      <c r="N157" s="437">
        <f t="shared" si="47"/>
        <v>0</v>
      </c>
    </row>
    <row r="158" spans="1:14" x14ac:dyDescent="0.25">
      <c r="A158" s="359" t="str">
        <f t="shared" si="42"/>
        <v>C</v>
      </c>
      <c r="B158" s="377" t="s">
        <v>9</v>
      </c>
      <c r="C158" s="377"/>
      <c r="D158" s="661"/>
      <c r="E158" s="661"/>
      <c r="F158" s="360">
        <f t="shared" ca="1" si="43"/>
        <v>0</v>
      </c>
      <c r="G158" s="661"/>
      <c r="H158" s="661"/>
      <c r="I158" s="360">
        <f t="shared" ca="1" si="44"/>
        <v>0</v>
      </c>
      <c r="J158" s="661"/>
      <c r="K158" s="661"/>
      <c r="L158" s="360">
        <f t="shared" ca="1" si="45"/>
        <v>0</v>
      </c>
      <c r="M158" s="457" t="str">
        <f t="shared" si="46"/>
        <v/>
      </c>
      <c r="N158" s="437">
        <f t="shared" si="47"/>
        <v>0</v>
      </c>
    </row>
    <row r="159" spans="1:14" x14ac:dyDescent="0.25">
      <c r="A159" s="359" t="str">
        <f t="shared" si="42"/>
        <v>R</v>
      </c>
      <c r="B159" s="435" t="s">
        <v>1655</v>
      </c>
      <c r="C159" s="435"/>
      <c r="D159" s="661" t="s">
        <v>817</v>
      </c>
      <c r="E159" s="661"/>
      <c r="F159" s="360">
        <f t="shared" ref="F159" ca="1" si="55">IFERROR(INDEX(ImportTraits1,MATCH(B159,ImportOfficerList,0)),0)</f>
        <v>0</v>
      </c>
      <c r="G159" s="661" t="s">
        <v>1469</v>
      </c>
      <c r="H159" s="661"/>
      <c r="I159" s="360">
        <f t="shared" ref="I159" ca="1" si="56">IFERROR(INDEX(ImportTraits2,MATCH(B159,ImportOfficerList,0)),0)</f>
        <v>0</v>
      </c>
      <c r="J159" s="661"/>
      <c r="K159" s="661"/>
      <c r="L159" s="360">
        <f t="shared" ref="L159" ca="1" si="57">IFERROR(INDEX(ImportTraits3,MATCH(B159,ImportOfficerList,0)),0)</f>
        <v>0</v>
      </c>
      <c r="M159" s="457" t="str">
        <f t="shared" si="46"/>
        <v/>
      </c>
      <c r="N159" s="437">
        <f t="shared" si="47"/>
        <v>5</v>
      </c>
    </row>
    <row r="160" spans="1:14" x14ac:dyDescent="0.25">
      <c r="A160" s="359" t="str">
        <f t="shared" si="42"/>
        <v>R</v>
      </c>
      <c r="B160" s="377" t="s">
        <v>683</v>
      </c>
      <c r="C160" s="377"/>
      <c r="D160" s="661" t="s">
        <v>1401</v>
      </c>
      <c r="E160" s="661"/>
      <c r="F160" s="360">
        <f t="shared" ca="1" si="43"/>
        <v>0</v>
      </c>
      <c r="G160" s="661" t="s">
        <v>1460</v>
      </c>
      <c r="H160" s="661"/>
      <c r="I160" s="360">
        <f t="shared" ca="1" si="44"/>
        <v>0</v>
      </c>
      <c r="J160" s="661"/>
      <c r="K160" s="661"/>
      <c r="L160" s="360">
        <f t="shared" ca="1" si="45"/>
        <v>0</v>
      </c>
      <c r="M160" s="457" t="str">
        <f t="shared" si="46"/>
        <v/>
      </c>
      <c r="N160" s="437">
        <f t="shared" si="47"/>
        <v>23</v>
      </c>
    </row>
    <row r="161" spans="1:14" x14ac:dyDescent="0.25">
      <c r="A161" s="359" t="str">
        <f t="shared" si="42"/>
        <v>E</v>
      </c>
      <c r="B161" s="377" t="s">
        <v>252</v>
      </c>
      <c r="C161" s="377"/>
      <c r="D161" s="661" t="s">
        <v>817</v>
      </c>
      <c r="E161" s="661"/>
      <c r="F161" s="360">
        <f t="shared" ca="1" si="43"/>
        <v>0</v>
      </c>
      <c r="G161" s="661" t="s">
        <v>1451</v>
      </c>
      <c r="H161" s="661"/>
      <c r="I161" s="360">
        <f t="shared" ca="1" si="44"/>
        <v>0</v>
      </c>
      <c r="J161" s="661" t="s">
        <v>1473</v>
      </c>
      <c r="K161" s="661"/>
      <c r="L161" s="360">
        <f t="shared" ca="1" si="45"/>
        <v>0</v>
      </c>
      <c r="M161" s="457" t="str">
        <f t="shared" si="46"/>
        <v/>
      </c>
      <c r="N161" s="437">
        <f t="shared" si="47"/>
        <v>15</v>
      </c>
    </row>
    <row r="162" spans="1:14" x14ac:dyDescent="0.25">
      <c r="A162" s="359" t="str">
        <f t="shared" si="42"/>
        <v>R</v>
      </c>
      <c r="B162" s="377" t="s">
        <v>649</v>
      </c>
      <c r="C162" s="377"/>
      <c r="D162" s="661" t="s">
        <v>1440</v>
      </c>
      <c r="E162" s="661"/>
      <c r="F162" s="360">
        <f t="shared" ca="1" si="43"/>
        <v>0</v>
      </c>
      <c r="G162" s="661" t="s">
        <v>1408</v>
      </c>
      <c r="H162" s="661"/>
      <c r="I162" s="360">
        <f t="shared" ca="1" si="44"/>
        <v>0</v>
      </c>
      <c r="J162" s="661"/>
      <c r="K162" s="661"/>
      <c r="L162" s="360">
        <f t="shared" ca="1" si="45"/>
        <v>0</v>
      </c>
      <c r="M162" s="457" t="str">
        <f t="shared" si="46"/>
        <v/>
      </c>
      <c r="N162" s="437">
        <f t="shared" si="47"/>
        <v>13</v>
      </c>
    </row>
    <row r="163" spans="1:14" x14ac:dyDescent="0.25">
      <c r="A163" s="359" t="str">
        <f t="shared" si="42"/>
        <v>R</v>
      </c>
      <c r="B163" s="377" t="s">
        <v>684</v>
      </c>
      <c r="C163" s="377"/>
      <c r="D163" s="661" t="s">
        <v>1401</v>
      </c>
      <c r="E163" s="661"/>
      <c r="F163" s="360">
        <f t="shared" ca="1" si="43"/>
        <v>0</v>
      </c>
      <c r="G163" s="661" t="s">
        <v>1460</v>
      </c>
      <c r="H163" s="661"/>
      <c r="I163" s="360">
        <f t="shared" ca="1" si="44"/>
        <v>0</v>
      </c>
      <c r="J163" s="661"/>
      <c r="K163" s="661"/>
      <c r="L163" s="360">
        <f t="shared" ca="1" si="45"/>
        <v>0</v>
      </c>
      <c r="M163" s="457" t="str">
        <f t="shared" si="46"/>
        <v/>
      </c>
      <c r="N163" s="437">
        <f t="shared" si="47"/>
        <v>23</v>
      </c>
    </row>
    <row r="164" spans="1:14" x14ac:dyDescent="0.25">
      <c r="A164" s="359" t="str">
        <f t="shared" si="42"/>
        <v>E</v>
      </c>
      <c r="B164" s="377" t="s">
        <v>253</v>
      </c>
      <c r="C164" s="377"/>
      <c r="D164" s="661" t="s">
        <v>1403</v>
      </c>
      <c r="E164" s="661"/>
      <c r="F164" s="360">
        <f t="shared" ca="1" si="43"/>
        <v>0</v>
      </c>
      <c r="G164" s="661" t="s">
        <v>1460</v>
      </c>
      <c r="H164" s="661"/>
      <c r="I164" s="360">
        <f t="shared" ca="1" si="44"/>
        <v>0</v>
      </c>
      <c r="J164" s="661" t="s">
        <v>1422</v>
      </c>
      <c r="K164" s="661"/>
      <c r="L164" s="360">
        <f t="shared" ca="1" si="45"/>
        <v>0</v>
      </c>
      <c r="M164" s="457" t="str">
        <f t="shared" si="46"/>
        <v/>
      </c>
      <c r="N164" s="437">
        <f t="shared" si="47"/>
        <v>24</v>
      </c>
    </row>
    <row r="165" spans="1:14" x14ac:dyDescent="0.25">
      <c r="A165" s="359" t="str">
        <f t="shared" si="42"/>
        <v>R</v>
      </c>
      <c r="B165" s="377" t="s">
        <v>650</v>
      </c>
      <c r="C165" s="377"/>
      <c r="D165" s="661" t="s">
        <v>1479</v>
      </c>
      <c r="E165" s="661"/>
      <c r="F165" s="360">
        <f t="shared" ca="1" si="43"/>
        <v>0</v>
      </c>
      <c r="G165" s="661" t="s">
        <v>1511</v>
      </c>
      <c r="H165" s="661"/>
      <c r="I165" s="360">
        <f t="shared" ca="1" si="44"/>
        <v>0</v>
      </c>
      <c r="J165" s="661"/>
      <c r="K165" s="661"/>
      <c r="L165" s="360">
        <f t="shared" ca="1" si="45"/>
        <v>0</v>
      </c>
      <c r="M165" s="457" t="str">
        <f t="shared" si="46"/>
        <v/>
      </c>
      <c r="N165" s="437">
        <f t="shared" si="47"/>
        <v>8</v>
      </c>
    </row>
    <row r="166" spans="1:14" x14ac:dyDescent="0.25">
      <c r="A166" s="359" t="str">
        <f t="shared" si="42"/>
        <v>R</v>
      </c>
      <c r="B166" s="481" t="s">
        <v>1963</v>
      </c>
      <c r="C166" s="481"/>
      <c r="D166" s="661" t="s">
        <v>1484</v>
      </c>
      <c r="E166" s="661"/>
      <c r="F166" s="360">
        <f ca="1">IFERROR(INDEX(ImportTraits1,MATCH(B166,ImportOfficerList,0)), IFERROR(INDEX(ImportTraits1,MATCH("TOS Nyota Uhura",ImportOfficerList,0)),0))</f>
        <v>0</v>
      </c>
      <c r="G166" s="661" t="s">
        <v>1424</v>
      </c>
      <c r="H166" s="661"/>
      <c r="I166" s="360">
        <f ca="1">IFERROR(INDEX(ImportTraits2,MATCH(B166,ImportOfficerList,0)), IFERROR(INDEX(ImportTraits2,MATCH("TOS Nyota Uhura",ImportOfficerList,0)),0))</f>
        <v>0</v>
      </c>
      <c r="J166" s="660"/>
      <c r="K166" s="660"/>
      <c r="L166" s="360">
        <f ca="1">IFERROR(INDEX(ImportTraits3,MATCH(B166,ImportOfficerList,0)), IFERROR(INDEX(ImportTraits3,MATCH("TOS Nyota Uhura",ImportOfficerList,0)),0))</f>
        <v>0</v>
      </c>
      <c r="M166" s="457" t="str">
        <f t="shared" ref="M166" si="58">IF($F$8&lt;&gt;"",IF($F$8="Attack",INDEX(RosterAttack,MATCH(B166,RosterOfficer,0)),INDEX(RosterAttack,MATCH(B166,RosterOfficer,0))*0.5) + IF($F$8="Defence",INDEX(RosterDefence,MATCH(B166,RosterOfficer,0)),INDEX(RosterDefence,MATCH(B166,RosterOfficer,0))*0.5) + IF($F$8="Health",INDEX(RosterHealth,MATCH(B166,RosterOfficer,0)),INDEX(RosterHealth,MATCH(B166,RosterOfficer,0))*0.5),"")</f>
        <v/>
      </c>
      <c r="N166" s="482">
        <f t="shared" ref="N166" si="59">IFERROR(INDEX(AwayMissionTraitsTotals,MATCH(D166,AwayMissionTraits,0)),0) + IFERROR(INDEX(AwayMissionTraitsTotals,MATCH(G166,AwayMissionTraits,0)),0) + IFERROR(INDEX(AwayMissionTraitsTotals,MATCH(J166,AwayMissionTraits,0)),0)</f>
        <v>25</v>
      </c>
    </row>
    <row r="167" spans="1:14" x14ac:dyDescent="0.25">
      <c r="A167" s="359" t="str">
        <f t="shared" si="42"/>
        <v>R</v>
      </c>
      <c r="B167" s="377" t="s">
        <v>25</v>
      </c>
      <c r="C167" s="377"/>
      <c r="D167" s="661" t="s">
        <v>1484</v>
      </c>
      <c r="E167" s="661"/>
      <c r="F167" s="360">
        <f t="shared" ca="1" si="43"/>
        <v>0</v>
      </c>
      <c r="G167" s="661" t="s">
        <v>1430</v>
      </c>
      <c r="H167" s="661"/>
      <c r="I167" s="360">
        <f t="shared" ca="1" si="44"/>
        <v>0</v>
      </c>
      <c r="J167" s="661"/>
      <c r="K167" s="661"/>
      <c r="L167" s="360">
        <f t="shared" ca="1" si="45"/>
        <v>0</v>
      </c>
      <c r="M167" s="457" t="str">
        <f t="shared" si="46"/>
        <v/>
      </c>
      <c r="N167" s="437">
        <f t="shared" si="47"/>
        <v>33</v>
      </c>
    </row>
    <row r="168" spans="1:14" x14ac:dyDescent="0.25">
      <c r="A168" s="359" t="str">
        <f>VLOOKUP(B168,OfficerScores,2,FALSE)</f>
        <v>R</v>
      </c>
      <c r="B168" s="377" t="s">
        <v>1633</v>
      </c>
      <c r="C168" s="377"/>
      <c r="D168" s="660" t="s">
        <v>1431</v>
      </c>
      <c r="E168" s="660"/>
      <c r="F168" s="360">
        <f ca="1">IFERROR(INDEX(ImportTraits1,MATCH(B168,ImportOfficerList,0)),IFERROR(INDEX(ImportTraits1,MATCH("2 of 10",ImportOfficerList,0)),0))</f>
        <v>0</v>
      </c>
      <c r="G168" s="661" t="s">
        <v>1490</v>
      </c>
      <c r="H168" s="661"/>
      <c r="I168" s="360">
        <f ca="1">IFERROR(INDEX(ImportTraits2,MATCH(B168,ImportOfficerList,0)),IFERROR(INDEX(ImportTraits2,MATCH("2 of 10",ImportOfficerList,0)),0))</f>
        <v>0</v>
      </c>
      <c r="J168" s="661"/>
      <c r="K168" s="661"/>
      <c r="L168" s="360">
        <f ca="1">IFERROR(INDEX(ImportTraits3,MATCH(B168,ImportOfficerList,0)),IFERROR(INDEX(ImportTraits3,MATCH("2 of 10",ImportOfficerList,0)),0))</f>
        <v>0</v>
      </c>
      <c r="M168" s="457" t="str">
        <f t="shared" ref="M168:M183" si="60">IF($F$8&lt;&gt;"",IF($F$8="Attack",INDEX(RosterAttack,MATCH(B168,RosterOfficer,0)),INDEX(RosterAttack,MATCH(B168,RosterOfficer,0))*0.5) + IF($F$8="Defence",INDEX(RosterDefence,MATCH(B168,RosterOfficer,0)),INDEX(RosterDefence,MATCH(B168,RosterOfficer,0))*0.5) + IF($F$8="Health",INDEX(RosterHealth,MATCH(B168,RosterOfficer,0)),INDEX(RosterHealth,MATCH(B168,RosterOfficer,0))*0.5),"")</f>
        <v/>
      </c>
      <c r="N168" s="437">
        <f t="shared" ref="N168:N183" si="61">IFERROR(INDEX(AwayMissionTraitsTotals,MATCH(D168,AwayMissionTraits,0)),0) + IFERROR(INDEX(AwayMissionTraitsTotals,MATCH(G168,AwayMissionTraits,0)),0) + IFERROR(INDEX(AwayMissionTraitsTotals,MATCH(J168,AwayMissionTraits,0)),0)</f>
        <v>8</v>
      </c>
    </row>
    <row r="169" spans="1:14" x14ac:dyDescent="0.25">
      <c r="A169" s="359" t="str">
        <f t="shared" si="42"/>
        <v>R</v>
      </c>
      <c r="B169" s="377" t="s">
        <v>89</v>
      </c>
      <c r="C169" s="377"/>
      <c r="D169" s="661" t="s">
        <v>1514</v>
      </c>
      <c r="E169" s="661"/>
      <c r="F169" s="360">
        <f t="shared" ca="1" si="43"/>
        <v>0</v>
      </c>
      <c r="G169" s="661" t="s">
        <v>1408</v>
      </c>
      <c r="H169" s="661"/>
      <c r="I169" s="360">
        <f t="shared" ca="1" si="44"/>
        <v>0</v>
      </c>
      <c r="J169" s="661"/>
      <c r="K169" s="661"/>
      <c r="L169" s="360">
        <f t="shared" ca="1" si="45"/>
        <v>0</v>
      </c>
      <c r="M169" s="457" t="str">
        <f t="shared" si="60"/>
        <v/>
      </c>
      <c r="N169" s="437">
        <f t="shared" si="61"/>
        <v>11</v>
      </c>
    </row>
    <row r="170" spans="1:14" x14ac:dyDescent="0.25">
      <c r="A170" s="359" t="str">
        <f t="shared" si="42"/>
        <v>R</v>
      </c>
      <c r="B170" s="377" t="s">
        <v>21</v>
      </c>
      <c r="C170" s="377"/>
      <c r="D170" s="661" t="s">
        <v>1484</v>
      </c>
      <c r="E170" s="661"/>
      <c r="F170" s="360">
        <f t="shared" ca="1" si="43"/>
        <v>0</v>
      </c>
      <c r="G170" s="661" t="s">
        <v>1424</v>
      </c>
      <c r="H170" s="661"/>
      <c r="I170" s="360">
        <f t="shared" ca="1" si="44"/>
        <v>0</v>
      </c>
      <c r="J170" s="661"/>
      <c r="K170" s="661"/>
      <c r="L170" s="360">
        <f t="shared" ca="1" si="45"/>
        <v>0</v>
      </c>
      <c r="M170" s="457" t="str">
        <f t="shared" si="60"/>
        <v/>
      </c>
      <c r="N170" s="437">
        <f t="shared" si="61"/>
        <v>25</v>
      </c>
    </row>
    <row r="171" spans="1:14" x14ac:dyDescent="0.25">
      <c r="A171" s="359" t="str">
        <f t="shared" si="42"/>
        <v>C</v>
      </c>
      <c r="B171" s="377" t="s">
        <v>10</v>
      </c>
      <c r="C171" s="377"/>
      <c r="D171" s="661"/>
      <c r="E171" s="661"/>
      <c r="F171" s="360">
        <f t="shared" ca="1" si="43"/>
        <v>0</v>
      </c>
      <c r="G171" s="661"/>
      <c r="H171" s="661"/>
      <c r="I171" s="360">
        <f t="shared" ca="1" si="44"/>
        <v>0</v>
      </c>
      <c r="J171" s="661"/>
      <c r="K171" s="661"/>
      <c r="L171" s="360">
        <f t="shared" ca="1" si="45"/>
        <v>0</v>
      </c>
      <c r="M171" s="457" t="str">
        <f t="shared" si="60"/>
        <v/>
      </c>
      <c r="N171" s="437">
        <f t="shared" si="61"/>
        <v>0</v>
      </c>
    </row>
    <row r="172" spans="1:14" x14ac:dyDescent="0.25">
      <c r="A172" s="359" t="str">
        <f t="shared" si="42"/>
        <v>C</v>
      </c>
      <c r="B172" s="377" t="s">
        <v>12</v>
      </c>
      <c r="C172" s="377"/>
      <c r="D172" s="661"/>
      <c r="E172" s="661"/>
      <c r="F172" s="360">
        <f t="shared" ca="1" si="43"/>
        <v>0</v>
      </c>
      <c r="G172" s="661"/>
      <c r="H172" s="661"/>
      <c r="I172" s="360">
        <f t="shared" ca="1" si="44"/>
        <v>0</v>
      </c>
      <c r="J172" s="661"/>
      <c r="K172" s="661"/>
      <c r="L172" s="360">
        <f t="shared" ca="1" si="45"/>
        <v>0</v>
      </c>
      <c r="M172" s="457" t="str">
        <f t="shared" si="60"/>
        <v/>
      </c>
      <c r="N172" s="437">
        <f t="shared" si="61"/>
        <v>0</v>
      </c>
    </row>
    <row r="173" spans="1:14" x14ac:dyDescent="0.25">
      <c r="A173" s="359" t="str">
        <f t="shared" ref="A173:A183" si="62">VLOOKUP(B173,OfficerScores,2,FALSE)</f>
        <v>U</v>
      </c>
      <c r="B173" s="377" t="s">
        <v>40</v>
      </c>
      <c r="C173" s="377"/>
      <c r="D173" s="661" t="s">
        <v>1403</v>
      </c>
      <c r="E173" s="661"/>
      <c r="F173" s="360">
        <f t="shared" ref="F173:F183" ca="1" si="63">IFERROR(INDEX(ImportTraits1,MATCH(B173,ImportOfficerList,0)),0)</f>
        <v>0</v>
      </c>
      <c r="G173" s="661"/>
      <c r="H173" s="661"/>
      <c r="I173" s="360">
        <f t="shared" ref="I173:I183" ca="1" si="64">IFERROR(INDEX(ImportTraits2,MATCH(B173,ImportOfficerList,0)),0)</f>
        <v>0</v>
      </c>
      <c r="J173" s="661"/>
      <c r="K173" s="661"/>
      <c r="L173" s="360">
        <f t="shared" ref="L173:L183" ca="1" si="65">IFERROR(INDEX(ImportTraits3,MATCH(B173,ImportOfficerList,0)),0)</f>
        <v>0</v>
      </c>
      <c r="M173" s="457" t="str">
        <f t="shared" si="60"/>
        <v/>
      </c>
      <c r="N173" s="437">
        <f t="shared" si="61"/>
        <v>15</v>
      </c>
    </row>
    <row r="174" spans="1:14" x14ac:dyDescent="0.25">
      <c r="A174" s="359" t="str">
        <f t="shared" si="62"/>
        <v>R</v>
      </c>
      <c r="B174" s="377" t="s">
        <v>46</v>
      </c>
      <c r="C174" s="377"/>
      <c r="D174" s="661" t="s">
        <v>1481</v>
      </c>
      <c r="E174" s="661"/>
      <c r="F174" s="360">
        <f t="shared" ca="1" si="63"/>
        <v>0</v>
      </c>
      <c r="G174" s="661" t="s">
        <v>1439</v>
      </c>
      <c r="H174" s="661"/>
      <c r="I174" s="360">
        <f t="shared" ca="1" si="64"/>
        <v>0</v>
      </c>
      <c r="J174" s="661"/>
      <c r="K174" s="661"/>
      <c r="L174" s="360">
        <f t="shared" ca="1" si="65"/>
        <v>0</v>
      </c>
      <c r="M174" s="457" t="str">
        <f t="shared" si="60"/>
        <v/>
      </c>
      <c r="N174" s="437">
        <f t="shared" si="61"/>
        <v>5</v>
      </c>
    </row>
    <row r="175" spans="1:14" x14ac:dyDescent="0.25">
      <c r="A175" s="359" t="str">
        <f t="shared" si="62"/>
        <v>U</v>
      </c>
      <c r="B175" s="377" t="s">
        <v>33</v>
      </c>
      <c r="C175" s="377"/>
      <c r="D175" s="661" t="s">
        <v>1414</v>
      </c>
      <c r="E175" s="661"/>
      <c r="F175" s="360">
        <f t="shared" ca="1" si="63"/>
        <v>0</v>
      </c>
      <c r="G175" s="661"/>
      <c r="H175" s="661"/>
      <c r="I175" s="360">
        <f t="shared" ca="1" si="64"/>
        <v>0</v>
      </c>
      <c r="J175" s="661"/>
      <c r="K175" s="661"/>
      <c r="L175" s="360">
        <f t="shared" ca="1" si="65"/>
        <v>0</v>
      </c>
      <c r="M175" s="457" t="str">
        <f t="shared" si="60"/>
        <v/>
      </c>
      <c r="N175" s="437">
        <f t="shared" si="61"/>
        <v>0</v>
      </c>
    </row>
    <row r="176" spans="1:14" x14ac:dyDescent="0.25">
      <c r="A176" s="359" t="str">
        <f t="shared" si="62"/>
        <v>R</v>
      </c>
      <c r="B176" s="377" t="s">
        <v>871</v>
      </c>
      <c r="C176" s="377"/>
      <c r="D176" s="661" t="s">
        <v>1484</v>
      </c>
      <c r="E176" s="661"/>
      <c r="F176" s="360">
        <f t="shared" ca="1" si="63"/>
        <v>0</v>
      </c>
      <c r="G176" s="661" t="s">
        <v>1460</v>
      </c>
      <c r="H176" s="661"/>
      <c r="I176" s="360">
        <f t="shared" ca="1" si="64"/>
        <v>0</v>
      </c>
      <c r="J176" s="661"/>
      <c r="K176" s="661"/>
      <c r="L176" s="360">
        <f t="shared" ca="1" si="65"/>
        <v>0</v>
      </c>
      <c r="M176" s="457" t="str">
        <f t="shared" si="60"/>
        <v/>
      </c>
      <c r="N176" s="437">
        <f t="shared" si="61"/>
        <v>24</v>
      </c>
    </row>
    <row r="177" spans="1:24" x14ac:dyDescent="0.25">
      <c r="A177" s="359" t="str">
        <f t="shared" si="62"/>
        <v>E</v>
      </c>
      <c r="B177" s="377" t="s">
        <v>918</v>
      </c>
      <c r="C177" s="377"/>
      <c r="D177" s="661" t="s">
        <v>1485</v>
      </c>
      <c r="E177" s="661"/>
      <c r="F177" s="360">
        <f t="shared" ca="1" si="63"/>
        <v>0</v>
      </c>
      <c r="G177" s="661" t="s">
        <v>1451</v>
      </c>
      <c r="H177" s="661"/>
      <c r="I177" s="360">
        <f t="shared" ca="1" si="64"/>
        <v>0</v>
      </c>
      <c r="J177" s="661" t="s">
        <v>1448</v>
      </c>
      <c r="K177" s="661"/>
      <c r="L177" s="360">
        <f t="shared" ca="1" si="65"/>
        <v>0</v>
      </c>
      <c r="M177" s="457" t="str">
        <f t="shared" si="60"/>
        <v/>
      </c>
      <c r="N177" s="437">
        <f t="shared" si="61"/>
        <v>16</v>
      </c>
    </row>
    <row r="178" spans="1:24" x14ac:dyDescent="0.25">
      <c r="A178" s="359" t="str">
        <f t="shared" si="62"/>
        <v>R</v>
      </c>
      <c r="B178" s="377" t="s">
        <v>1357</v>
      </c>
      <c r="C178" s="377"/>
      <c r="D178" s="661" t="s">
        <v>1413</v>
      </c>
      <c r="E178" s="661"/>
      <c r="F178" s="360">
        <f t="shared" ca="1" si="63"/>
        <v>0</v>
      </c>
      <c r="G178" s="661" t="s">
        <v>1408</v>
      </c>
      <c r="H178" s="661"/>
      <c r="I178" s="360">
        <f t="shared" ca="1" si="64"/>
        <v>0</v>
      </c>
      <c r="J178" s="661"/>
      <c r="K178" s="661"/>
      <c r="L178" s="360">
        <f t="shared" ca="1" si="65"/>
        <v>0</v>
      </c>
      <c r="M178" s="457" t="str">
        <f t="shared" si="60"/>
        <v/>
      </c>
      <c r="N178" s="437">
        <f t="shared" si="61"/>
        <v>11</v>
      </c>
    </row>
    <row r="179" spans="1:24" x14ac:dyDescent="0.25">
      <c r="A179" s="359" t="str">
        <f t="shared" si="62"/>
        <v>U</v>
      </c>
      <c r="B179" s="377" t="s">
        <v>41</v>
      </c>
      <c r="C179" s="377"/>
      <c r="D179" s="661" t="s">
        <v>1414</v>
      </c>
      <c r="E179" s="661"/>
      <c r="F179" s="360">
        <f t="shared" ca="1" si="63"/>
        <v>0</v>
      </c>
      <c r="G179" s="661"/>
      <c r="H179" s="661"/>
      <c r="I179" s="360">
        <f t="shared" ca="1" si="64"/>
        <v>0</v>
      </c>
      <c r="J179" s="661"/>
      <c r="K179" s="661"/>
      <c r="L179" s="360">
        <f t="shared" ca="1" si="65"/>
        <v>0</v>
      </c>
      <c r="M179" s="457" t="str">
        <f t="shared" si="60"/>
        <v/>
      </c>
      <c r="N179" s="437">
        <f t="shared" si="61"/>
        <v>0</v>
      </c>
    </row>
    <row r="180" spans="1:24" x14ac:dyDescent="0.25">
      <c r="A180" s="359" t="str">
        <f t="shared" si="62"/>
        <v>U</v>
      </c>
      <c r="B180" s="377" t="s">
        <v>53</v>
      </c>
      <c r="C180" s="377"/>
      <c r="D180" s="661" t="s">
        <v>1401</v>
      </c>
      <c r="E180" s="661"/>
      <c r="F180" s="360">
        <f t="shared" ca="1" si="63"/>
        <v>0</v>
      </c>
      <c r="G180" s="661"/>
      <c r="H180" s="661"/>
      <c r="I180" s="360">
        <f t="shared" ca="1" si="64"/>
        <v>0</v>
      </c>
      <c r="J180" s="661"/>
      <c r="K180" s="661"/>
      <c r="L180" s="360">
        <f t="shared" ca="1" si="65"/>
        <v>0</v>
      </c>
      <c r="M180" s="457" t="str">
        <f t="shared" si="60"/>
        <v/>
      </c>
      <c r="N180" s="437">
        <f t="shared" si="61"/>
        <v>16</v>
      </c>
    </row>
    <row r="181" spans="1:24" x14ac:dyDescent="0.25">
      <c r="A181" s="359" t="str">
        <f t="shared" si="62"/>
        <v>R</v>
      </c>
      <c r="B181" s="377" t="s">
        <v>65</v>
      </c>
      <c r="C181" s="377"/>
      <c r="D181" s="661" t="s">
        <v>1514</v>
      </c>
      <c r="E181" s="661"/>
      <c r="F181" s="360">
        <f t="shared" ca="1" si="63"/>
        <v>0</v>
      </c>
      <c r="G181" s="661" t="s">
        <v>1483</v>
      </c>
      <c r="H181" s="661"/>
      <c r="I181" s="360">
        <f t="shared" ca="1" si="64"/>
        <v>0</v>
      </c>
      <c r="J181" s="661"/>
      <c r="K181" s="661"/>
      <c r="L181" s="360">
        <f t="shared" ca="1" si="65"/>
        <v>0</v>
      </c>
      <c r="M181" s="457" t="str">
        <f t="shared" si="60"/>
        <v/>
      </c>
      <c r="N181" s="437">
        <f t="shared" si="61"/>
        <v>7</v>
      </c>
    </row>
    <row r="182" spans="1:24" x14ac:dyDescent="0.25">
      <c r="A182" s="359" t="str">
        <f t="shared" si="62"/>
        <v>C</v>
      </c>
      <c r="B182" s="377" t="s">
        <v>54</v>
      </c>
      <c r="C182" s="377"/>
      <c r="D182" s="661"/>
      <c r="E182" s="661"/>
      <c r="F182" s="360">
        <f t="shared" ca="1" si="63"/>
        <v>0</v>
      </c>
      <c r="G182" s="661"/>
      <c r="H182" s="661"/>
      <c r="I182" s="360">
        <f t="shared" ca="1" si="64"/>
        <v>0</v>
      </c>
      <c r="J182" s="661"/>
      <c r="K182" s="661"/>
      <c r="L182" s="360">
        <f t="shared" ca="1" si="65"/>
        <v>0</v>
      </c>
      <c r="M182" s="457" t="str">
        <f t="shared" si="60"/>
        <v/>
      </c>
      <c r="N182" s="437">
        <f t="shared" si="61"/>
        <v>0</v>
      </c>
    </row>
    <row r="183" spans="1:24" x14ac:dyDescent="0.25">
      <c r="A183" s="359" t="str">
        <f t="shared" si="62"/>
        <v>U</v>
      </c>
      <c r="B183" s="377" t="s">
        <v>42</v>
      </c>
      <c r="C183" s="377"/>
      <c r="D183" s="661" t="s">
        <v>1514</v>
      </c>
      <c r="E183" s="661"/>
      <c r="F183" s="360">
        <f t="shared" ca="1" si="63"/>
        <v>0</v>
      </c>
      <c r="G183" s="661"/>
      <c r="H183" s="661"/>
      <c r="I183" s="360">
        <f t="shared" ca="1" si="64"/>
        <v>0</v>
      </c>
      <c r="J183" s="661"/>
      <c r="K183" s="661"/>
      <c r="L183" s="360">
        <f t="shared" ca="1" si="65"/>
        <v>0</v>
      </c>
      <c r="M183" s="457" t="str">
        <f t="shared" si="60"/>
        <v/>
      </c>
      <c r="N183" s="437">
        <f t="shared" si="61"/>
        <v>4</v>
      </c>
    </row>
    <row r="184" spans="1:24" s="13" customFormat="1" ht="27.75" customHeight="1" x14ac:dyDescent="0.25">
      <c r="A184" s="37"/>
      <c r="B184" s="38"/>
      <c r="C184" s="38"/>
      <c r="D184" s="39"/>
      <c r="E184" s="39"/>
      <c r="F184" s="39"/>
      <c r="G184" s="39"/>
      <c r="H184" s="39"/>
      <c r="I184" s="39"/>
      <c r="J184" s="39"/>
      <c r="K184" s="39"/>
      <c r="L184" s="39"/>
      <c r="M184" s="39"/>
      <c r="N184" s="39"/>
      <c r="O184" s="39"/>
      <c r="P184" s="39"/>
      <c r="Q184" s="39"/>
      <c r="R184" s="39"/>
      <c r="S184" s="39"/>
      <c r="T184" s="39"/>
      <c r="U184" s="356"/>
      <c r="V184" s="356"/>
      <c r="W184" s="356"/>
      <c r="X184" s="40"/>
    </row>
  </sheetData>
  <mergeCells count="501">
    <mergeCell ref="D36:E36"/>
    <mergeCell ref="G36:H36"/>
    <mergeCell ref="J36:K36"/>
    <mergeCell ref="D33:E33"/>
    <mergeCell ref="G33:H33"/>
    <mergeCell ref="J33:K33"/>
    <mergeCell ref="J39:K39"/>
    <mergeCell ref="D38:E38"/>
    <mergeCell ref="J25:K25"/>
    <mergeCell ref="J27:K27"/>
    <mergeCell ref="G159:H159"/>
    <mergeCell ref="J159:K159"/>
    <mergeCell ref="J182:K182"/>
    <mergeCell ref="J183:K183"/>
    <mergeCell ref="J176:K176"/>
    <mergeCell ref="J177:K177"/>
    <mergeCell ref="J178:K178"/>
    <mergeCell ref="J179:K179"/>
    <mergeCell ref="J180:K180"/>
    <mergeCell ref="J181:K181"/>
    <mergeCell ref="J170:K170"/>
    <mergeCell ref="J171:K171"/>
    <mergeCell ref="J172:K172"/>
    <mergeCell ref="J173:K173"/>
    <mergeCell ref="J174:K174"/>
    <mergeCell ref="J175:K175"/>
    <mergeCell ref="J163:K163"/>
    <mergeCell ref="J164:K164"/>
    <mergeCell ref="J165:K165"/>
    <mergeCell ref="J167:K167"/>
    <mergeCell ref="G179:H179"/>
    <mergeCell ref="G180:H180"/>
    <mergeCell ref="G181:H181"/>
    <mergeCell ref="D40:E40"/>
    <mergeCell ref="G40:H40"/>
    <mergeCell ref="J169:K169"/>
    <mergeCell ref="J156:K156"/>
    <mergeCell ref="J157:K157"/>
    <mergeCell ref="J158:K158"/>
    <mergeCell ref="J160:K160"/>
    <mergeCell ref="J161:K161"/>
    <mergeCell ref="J162:K162"/>
    <mergeCell ref="J147:K147"/>
    <mergeCell ref="J149:K149"/>
    <mergeCell ref="J150:K150"/>
    <mergeCell ref="J151:K151"/>
    <mergeCell ref="J152:K152"/>
    <mergeCell ref="J153:K153"/>
    <mergeCell ref="J148:K148"/>
    <mergeCell ref="J166:K166"/>
    <mergeCell ref="J138:K138"/>
    <mergeCell ref="J140:K140"/>
    <mergeCell ref="J141:K141"/>
    <mergeCell ref="J142:K142"/>
    <mergeCell ref="J144:K144"/>
    <mergeCell ref="J146:K146"/>
    <mergeCell ref="J131:K131"/>
    <mergeCell ref="J132:K132"/>
    <mergeCell ref="J133:K133"/>
    <mergeCell ref="J134:K134"/>
    <mergeCell ref="J135:K135"/>
    <mergeCell ref="J137:K137"/>
    <mergeCell ref="J145:K145"/>
    <mergeCell ref="J143:K143"/>
    <mergeCell ref="J136:K136"/>
    <mergeCell ref="J139:K139"/>
    <mergeCell ref="J123:K123"/>
    <mergeCell ref="J124:K124"/>
    <mergeCell ref="J125:K125"/>
    <mergeCell ref="J128:K128"/>
    <mergeCell ref="J129:K129"/>
    <mergeCell ref="J130:K130"/>
    <mergeCell ref="J117:K117"/>
    <mergeCell ref="J118:K118"/>
    <mergeCell ref="J119:K119"/>
    <mergeCell ref="J120:K120"/>
    <mergeCell ref="J121:K121"/>
    <mergeCell ref="J122:K122"/>
    <mergeCell ref="J126:K126"/>
    <mergeCell ref="J110:K110"/>
    <mergeCell ref="J112:K112"/>
    <mergeCell ref="J113:K113"/>
    <mergeCell ref="J114:K114"/>
    <mergeCell ref="J115:K115"/>
    <mergeCell ref="J116:K116"/>
    <mergeCell ref="J103:K103"/>
    <mergeCell ref="J104:K104"/>
    <mergeCell ref="J105:K105"/>
    <mergeCell ref="J107:K107"/>
    <mergeCell ref="J108:K108"/>
    <mergeCell ref="J109:K109"/>
    <mergeCell ref="J106:K106"/>
    <mergeCell ref="J111:K111"/>
    <mergeCell ref="J97:K97"/>
    <mergeCell ref="J98:K98"/>
    <mergeCell ref="J99:K99"/>
    <mergeCell ref="J100:K100"/>
    <mergeCell ref="J101:K101"/>
    <mergeCell ref="J102:K102"/>
    <mergeCell ref="J91:K91"/>
    <mergeCell ref="J92:K92"/>
    <mergeCell ref="J93:K93"/>
    <mergeCell ref="J94:K94"/>
    <mergeCell ref="J95:K95"/>
    <mergeCell ref="J96:K96"/>
    <mergeCell ref="J85:K85"/>
    <mergeCell ref="J86:K86"/>
    <mergeCell ref="J87:K87"/>
    <mergeCell ref="J88:K88"/>
    <mergeCell ref="J89:K89"/>
    <mergeCell ref="J90:K90"/>
    <mergeCell ref="J78:K78"/>
    <mergeCell ref="J79:K79"/>
    <mergeCell ref="J81:K81"/>
    <mergeCell ref="J82:K82"/>
    <mergeCell ref="J83:K83"/>
    <mergeCell ref="J84:K84"/>
    <mergeCell ref="J80:K80"/>
    <mergeCell ref="J71:K71"/>
    <mergeCell ref="J72:K72"/>
    <mergeCell ref="J73:K73"/>
    <mergeCell ref="J75:K75"/>
    <mergeCell ref="J76:K76"/>
    <mergeCell ref="J77:K77"/>
    <mergeCell ref="J59:K59"/>
    <mergeCell ref="J62:K62"/>
    <mergeCell ref="J63:K63"/>
    <mergeCell ref="J67:K67"/>
    <mergeCell ref="J68:K68"/>
    <mergeCell ref="J69:K69"/>
    <mergeCell ref="J65:K65"/>
    <mergeCell ref="J60:K60"/>
    <mergeCell ref="J61:K61"/>
    <mergeCell ref="J66:K66"/>
    <mergeCell ref="J70:K70"/>
    <mergeCell ref="J74:K74"/>
    <mergeCell ref="J64:K64"/>
    <mergeCell ref="J53:K53"/>
    <mergeCell ref="J54:K54"/>
    <mergeCell ref="J55:K55"/>
    <mergeCell ref="J56:K56"/>
    <mergeCell ref="J57:K57"/>
    <mergeCell ref="J58:K58"/>
    <mergeCell ref="J46:K46"/>
    <mergeCell ref="J47:K47"/>
    <mergeCell ref="J49:K49"/>
    <mergeCell ref="J50:K50"/>
    <mergeCell ref="J51:K51"/>
    <mergeCell ref="J52:K52"/>
    <mergeCell ref="J48:K48"/>
    <mergeCell ref="J41:K41"/>
    <mergeCell ref="J42:K42"/>
    <mergeCell ref="J43:K43"/>
    <mergeCell ref="J44:K44"/>
    <mergeCell ref="J45:K45"/>
    <mergeCell ref="J28:K28"/>
    <mergeCell ref="J29:K29"/>
    <mergeCell ref="J30:K30"/>
    <mergeCell ref="J32:K32"/>
    <mergeCell ref="J35:K35"/>
    <mergeCell ref="J38:K38"/>
    <mergeCell ref="J34:K34"/>
    <mergeCell ref="J37:K37"/>
    <mergeCell ref="J31:K31"/>
    <mergeCell ref="J40:K40"/>
    <mergeCell ref="G182:H182"/>
    <mergeCell ref="G183:H183"/>
    <mergeCell ref="J26:K26"/>
    <mergeCell ref="J127:K127"/>
    <mergeCell ref="J154:K154"/>
    <mergeCell ref="J168:K168"/>
    <mergeCell ref="J155:K155"/>
    <mergeCell ref="G173:H173"/>
    <mergeCell ref="G174:H174"/>
    <mergeCell ref="G175:H175"/>
    <mergeCell ref="G176:H176"/>
    <mergeCell ref="G177:H177"/>
    <mergeCell ref="G178:H178"/>
    <mergeCell ref="G165:H165"/>
    <mergeCell ref="G167:H167"/>
    <mergeCell ref="G169:H169"/>
    <mergeCell ref="G170:H170"/>
    <mergeCell ref="G171:H171"/>
    <mergeCell ref="G172:H172"/>
    <mergeCell ref="G160:H160"/>
    <mergeCell ref="G161:H161"/>
    <mergeCell ref="G162:H162"/>
    <mergeCell ref="G163:H163"/>
    <mergeCell ref="G164:H164"/>
    <mergeCell ref="G151:H151"/>
    <mergeCell ref="G152:H152"/>
    <mergeCell ref="G153:H153"/>
    <mergeCell ref="G156:H156"/>
    <mergeCell ref="G157:H157"/>
    <mergeCell ref="G158:H158"/>
    <mergeCell ref="G142:H142"/>
    <mergeCell ref="G144:H144"/>
    <mergeCell ref="G146:H146"/>
    <mergeCell ref="G147:H147"/>
    <mergeCell ref="G149:H149"/>
    <mergeCell ref="G150:H150"/>
    <mergeCell ref="G134:H134"/>
    <mergeCell ref="G135:H135"/>
    <mergeCell ref="G137:H137"/>
    <mergeCell ref="G138:H138"/>
    <mergeCell ref="G140:H140"/>
    <mergeCell ref="G141:H141"/>
    <mergeCell ref="G143:H143"/>
    <mergeCell ref="G136:H136"/>
    <mergeCell ref="G139:H139"/>
    <mergeCell ref="G128:H128"/>
    <mergeCell ref="G129:H129"/>
    <mergeCell ref="G130:H130"/>
    <mergeCell ref="G131:H131"/>
    <mergeCell ref="G132:H132"/>
    <mergeCell ref="G133:H133"/>
    <mergeCell ref="G120:H120"/>
    <mergeCell ref="G121:H121"/>
    <mergeCell ref="G122:H122"/>
    <mergeCell ref="G123:H123"/>
    <mergeCell ref="G124:H124"/>
    <mergeCell ref="G125:H125"/>
    <mergeCell ref="G126:H126"/>
    <mergeCell ref="G114:H114"/>
    <mergeCell ref="G115:H115"/>
    <mergeCell ref="G116:H116"/>
    <mergeCell ref="G117:H117"/>
    <mergeCell ref="G118:H118"/>
    <mergeCell ref="G119:H119"/>
    <mergeCell ref="G107:H107"/>
    <mergeCell ref="G108:H108"/>
    <mergeCell ref="G109:H109"/>
    <mergeCell ref="G110:H110"/>
    <mergeCell ref="G112:H112"/>
    <mergeCell ref="G113:H113"/>
    <mergeCell ref="G100:H100"/>
    <mergeCell ref="G101:H101"/>
    <mergeCell ref="G102:H102"/>
    <mergeCell ref="G103:H103"/>
    <mergeCell ref="G104:H104"/>
    <mergeCell ref="G105:H105"/>
    <mergeCell ref="G94:H94"/>
    <mergeCell ref="G95:H95"/>
    <mergeCell ref="G96:H96"/>
    <mergeCell ref="G97:H97"/>
    <mergeCell ref="G98:H98"/>
    <mergeCell ref="G99:H99"/>
    <mergeCell ref="G88:H88"/>
    <mergeCell ref="G89:H89"/>
    <mergeCell ref="G90:H90"/>
    <mergeCell ref="G91:H91"/>
    <mergeCell ref="G92:H92"/>
    <mergeCell ref="G93:H93"/>
    <mergeCell ref="G82:H82"/>
    <mergeCell ref="G83:H83"/>
    <mergeCell ref="G84:H84"/>
    <mergeCell ref="G85:H85"/>
    <mergeCell ref="G86:H86"/>
    <mergeCell ref="G87:H87"/>
    <mergeCell ref="G75:H75"/>
    <mergeCell ref="G76:H76"/>
    <mergeCell ref="G77:H77"/>
    <mergeCell ref="G78:H78"/>
    <mergeCell ref="G79:H79"/>
    <mergeCell ref="G81:H81"/>
    <mergeCell ref="G67:H67"/>
    <mergeCell ref="G68:H68"/>
    <mergeCell ref="G69:H69"/>
    <mergeCell ref="G71:H71"/>
    <mergeCell ref="G72:H72"/>
    <mergeCell ref="G73:H73"/>
    <mergeCell ref="G80:H80"/>
    <mergeCell ref="G57:H57"/>
    <mergeCell ref="G58:H58"/>
    <mergeCell ref="G59:H59"/>
    <mergeCell ref="G62:H62"/>
    <mergeCell ref="G63:H63"/>
    <mergeCell ref="G50:H50"/>
    <mergeCell ref="G51:H51"/>
    <mergeCell ref="G52:H52"/>
    <mergeCell ref="G53:H53"/>
    <mergeCell ref="G54:H54"/>
    <mergeCell ref="G55:H55"/>
    <mergeCell ref="G60:H60"/>
    <mergeCell ref="G61:H61"/>
    <mergeCell ref="G47:H47"/>
    <mergeCell ref="G49:H49"/>
    <mergeCell ref="G32:H32"/>
    <mergeCell ref="G35:H35"/>
    <mergeCell ref="G38:H38"/>
    <mergeCell ref="G39:H39"/>
    <mergeCell ref="G41:H41"/>
    <mergeCell ref="G42:H42"/>
    <mergeCell ref="G56:H56"/>
    <mergeCell ref="D182:E182"/>
    <mergeCell ref="D183:E183"/>
    <mergeCell ref="G26:H26"/>
    <mergeCell ref="G127:H127"/>
    <mergeCell ref="G154:H154"/>
    <mergeCell ref="G168:H168"/>
    <mergeCell ref="G155:H155"/>
    <mergeCell ref="G65:H65"/>
    <mergeCell ref="G148:H148"/>
    <mergeCell ref="G145:H145"/>
    <mergeCell ref="D176:E176"/>
    <mergeCell ref="D177:E177"/>
    <mergeCell ref="D178:E178"/>
    <mergeCell ref="D179:E179"/>
    <mergeCell ref="D180:E180"/>
    <mergeCell ref="D181:E181"/>
    <mergeCell ref="D170:E170"/>
    <mergeCell ref="D171:E171"/>
    <mergeCell ref="D172:E172"/>
    <mergeCell ref="D173:E173"/>
    <mergeCell ref="G43:H43"/>
    <mergeCell ref="G44:H44"/>
    <mergeCell ref="G45:H45"/>
    <mergeCell ref="G46:H46"/>
    <mergeCell ref="D174:E174"/>
    <mergeCell ref="D175:E175"/>
    <mergeCell ref="D163:E163"/>
    <mergeCell ref="D164:E164"/>
    <mergeCell ref="D165:E165"/>
    <mergeCell ref="D167:E167"/>
    <mergeCell ref="D169:E169"/>
    <mergeCell ref="D156:E156"/>
    <mergeCell ref="D157:E157"/>
    <mergeCell ref="D158:E158"/>
    <mergeCell ref="D160:E160"/>
    <mergeCell ref="D161:E161"/>
    <mergeCell ref="D162:E162"/>
    <mergeCell ref="D166:E166"/>
    <mergeCell ref="D168:E168"/>
    <mergeCell ref="D159:E159"/>
    <mergeCell ref="D147:E147"/>
    <mergeCell ref="D149:E149"/>
    <mergeCell ref="D150:E150"/>
    <mergeCell ref="D151:E151"/>
    <mergeCell ref="D152:E152"/>
    <mergeCell ref="D153:E153"/>
    <mergeCell ref="D138:E138"/>
    <mergeCell ref="D140:E140"/>
    <mergeCell ref="D141:E141"/>
    <mergeCell ref="D142:E142"/>
    <mergeCell ref="D144:E144"/>
    <mergeCell ref="D146:E146"/>
    <mergeCell ref="D143:E143"/>
    <mergeCell ref="D139:E139"/>
    <mergeCell ref="D131:E131"/>
    <mergeCell ref="D132:E132"/>
    <mergeCell ref="D133:E133"/>
    <mergeCell ref="D134:E134"/>
    <mergeCell ref="D135:E135"/>
    <mergeCell ref="D137:E137"/>
    <mergeCell ref="D123:E123"/>
    <mergeCell ref="D124:E124"/>
    <mergeCell ref="D125:E125"/>
    <mergeCell ref="D128:E128"/>
    <mergeCell ref="D129:E129"/>
    <mergeCell ref="D130:E130"/>
    <mergeCell ref="D136:E136"/>
    <mergeCell ref="D127:E127"/>
    <mergeCell ref="D117:E117"/>
    <mergeCell ref="D118:E118"/>
    <mergeCell ref="D119:E119"/>
    <mergeCell ref="D120:E120"/>
    <mergeCell ref="D121:E121"/>
    <mergeCell ref="D122:E122"/>
    <mergeCell ref="D110:E110"/>
    <mergeCell ref="D112:E112"/>
    <mergeCell ref="D113:E113"/>
    <mergeCell ref="D114:E114"/>
    <mergeCell ref="D115:E115"/>
    <mergeCell ref="D116:E116"/>
    <mergeCell ref="D91:E91"/>
    <mergeCell ref="D92:E92"/>
    <mergeCell ref="D93:E93"/>
    <mergeCell ref="D105:E105"/>
    <mergeCell ref="D107:E107"/>
    <mergeCell ref="D108:E108"/>
    <mergeCell ref="D109:E109"/>
    <mergeCell ref="D97:E97"/>
    <mergeCell ref="D98:E98"/>
    <mergeCell ref="D99:E99"/>
    <mergeCell ref="D100:E100"/>
    <mergeCell ref="D101:E101"/>
    <mergeCell ref="D102:E102"/>
    <mergeCell ref="D78:E78"/>
    <mergeCell ref="D79:E79"/>
    <mergeCell ref="D81:E81"/>
    <mergeCell ref="D74:E74"/>
    <mergeCell ref="D94:E94"/>
    <mergeCell ref="D95:E95"/>
    <mergeCell ref="D155:E155"/>
    <mergeCell ref="D65:E65"/>
    <mergeCell ref="D66:E66"/>
    <mergeCell ref="D148:E148"/>
    <mergeCell ref="D145:E145"/>
    <mergeCell ref="D75:E75"/>
    <mergeCell ref="D76:E76"/>
    <mergeCell ref="D77:E77"/>
    <mergeCell ref="D80:E80"/>
    <mergeCell ref="D96:E96"/>
    <mergeCell ref="D85:E85"/>
    <mergeCell ref="D86:E86"/>
    <mergeCell ref="D87:E87"/>
    <mergeCell ref="D88:E88"/>
    <mergeCell ref="D89:E89"/>
    <mergeCell ref="D90:E90"/>
    <mergeCell ref="D103:E103"/>
    <mergeCell ref="D104:E104"/>
    <mergeCell ref="F18:G18"/>
    <mergeCell ref="F19:G19"/>
    <mergeCell ref="F20:G20"/>
    <mergeCell ref="F21:G21"/>
    <mergeCell ref="D28:E28"/>
    <mergeCell ref="D29:E29"/>
    <mergeCell ref="D30:E30"/>
    <mergeCell ref="D32:E32"/>
    <mergeCell ref="D35:E35"/>
    <mergeCell ref="D27:E27"/>
    <mergeCell ref="D26:E26"/>
    <mergeCell ref="G31:H31"/>
    <mergeCell ref="G27:H27"/>
    <mergeCell ref="G28:H28"/>
    <mergeCell ref="G29:H29"/>
    <mergeCell ref="G30:H30"/>
    <mergeCell ref="D25:E25"/>
    <mergeCell ref="G25:H25"/>
    <mergeCell ref="D60:E60"/>
    <mergeCell ref="D126:E126"/>
    <mergeCell ref="D46:E46"/>
    <mergeCell ref="D47:E47"/>
    <mergeCell ref="D49:E49"/>
    <mergeCell ref="D50:E50"/>
    <mergeCell ref="D51:E51"/>
    <mergeCell ref="D31:E31"/>
    <mergeCell ref="D67:E67"/>
    <mergeCell ref="D106:E106"/>
    <mergeCell ref="D111:E111"/>
    <mergeCell ref="D34:E34"/>
    <mergeCell ref="D37:E37"/>
    <mergeCell ref="D39:E39"/>
    <mergeCell ref="D41:E41"/>
    <mergeCell ref="D42:E42"/>
    <mergeCell ref="D43:E43"/>
    <mergeCell ref="D44:E44"/>
    <mergeCell ref="D45:E45"/>
    <mergeCell ref="D59:E59"/>
    <mergeCell ref="D62:E62"/>
    <mergeCell ref="D63:E63"/>
    <mergeCell ref="D72:E72"/>
    <mergeCell ref="D73:E73"/>
    <mergeCell ref="G166:H166"/>
    <mergeCell ref="S5:U5"/>
    <mergeCell ref="S4:U4"/>
    <mergeCell ref="F17:G17"/>
    <mergeCell ref="K4:L4"/>
    <mergeCell ref="M4:N4"/>
    <mergeCell ref="O4:P4"/>
    <mergeCell ref="F12:I12"/>
    <mergeCell ref="F13:I13"/>
    <mergeCell ref="Q4:R4"/>
    <mergeCell ref="K5:L5"/>
    <mergeCell ref="M5:N5"/>
    <mergeCell ref="O5:P5"/>
    <mergeCell ref="Q5:R5"/>
    <mergeCell ref="F7:I7"/>
    <mergeCell ref="F8:I8"/>
    <mergeCell ref="F10:I10"/>
    <mergeCell ref="F11:I11"/>
    <mergeCell ref="D5:I5"/>
    <mergeCell ref="D4:E4"/>
    <mergeCell ref="F9:I9"/>
    <mergeCell ref="F15:I15"/>
    <mergeCell ref="D154:E154"/>
    <mergeCell ref="F16:I16"/>
    <mergeCell ref="G66:H66"/>
    <mergeCell ref="G70:H70"/>
    <mergeCell ref="G74:H74"/>
    <mergeCell ref="G106:H106"/>
    <mergeCell ref="G111:H111"/>
    <mergeCell ref="D48:E48"/>
    <mergeCell ref="G48:H48"/>
    <mergeCell ref="G64:H64"/>
    <mergeCell ref="D69:E69"/>
    <mergeCell ref="D53:E53"/>
    <mergeCell ref="D54:E54"/>
    <mergeCell ref="D55:E55"/>
    <mergeCell ref="D56:E56"/>
    <mergeCell ref="D57:E57"/>
    <mergeCell ref="D58:E58"/>
    <mergeCell ref="D61:E61"/>
    <mergeCell ref="D64:E64"/>
    <mergeCell ref="D52:E52"/>
    <mergeCell ref="D82:E82"/>
    <mergeCell ref="D83:E83"/>
    <mergeCell ref="D84:E84"/>
    <mergeCell ref="D71:E71"/>
    <mergeCell ref="D68:E68"/>
    <mergeCell ref="D70:E70"/>
  </mergeCells>
  <conditionalFormatting sqref="J21 T18:T21 L148 F148 I148 L145 F145 I145 I126:I127 L126:L127 F154:F168 I154:I168 L154:L168 F126:F143 F26:F124 I26:I66 L26:L124">
    <cfRule type="cellIs" dxfId="47" priority="17" operator="equal">
      <formula>0</formula>
    </cfRule>
  </conditionalFormatting>
  <conditionalFormatting sqref="C184">
    <cfRule type="expression" dxfId="46" priority="13">
      <formula>B184="E"</formula>
    </cfRule>
    <cfRule type="expression" dxfId="45" priority="14">
      <formula>B184="R"</formula>
    </cfRule>
    <cfRule type="expression" dxfId="44" priority="15">
      <formula>B184="U"</formula>
    </cfRule>
    <cfRule type="expression" dxfId="43" priority="16">
      <formula>B184="C"</formula>
    </cfRule>
  </conditionalFormatting>
  <conditionalFormatting sqref="B26:B183">
    <cfRule type="expression" dxfId="42" priority="9">
      <formula>A26="E"</formula>
    </cfRule>
    <cfRule type="expression" dxfId="41" priority="10">
      <formula>A26="R"</formula>
    </cfRule>
    <cfRule type="expression" dxfId="40" priority="11">
      <formula>A26="U"</formula>
    </cfRule>
    <cfRule type="expression" dxfId="39" priority="12">
      <formula>A26 = "C"</formula>
    </cfRule>
  </conditionalFormatting>
  <conditionalFormatting sqref="F125 L125 F169:F183 I169:I183 L169:L183 L149:L153 I149:I153 F149:F153 L146:L147 I146:I147 F146:F147 F144 I67:I125 I128:I144 L128:L144">
    <cfRule type="cellIs" dxfId="38" priority="6" operator="equal">
      <formula>0</formula>
    </cfRule>
  </conditionalFormatting>
  <conditionalFormatting sqref="K6:R21">
    <cfRule type="expression" dxfId="37" priority="3">
      <formula>SEARCH("()",K6)</formula>
    </cfRule>
    <cfRule type="expression" dxfId="36" priority="4">
      <formula>SEARCH("(0)",K6)</formula>
    </cfRule>
    <cfRule type="expression" dxfId="35" priority="5">
      <formula>SEARCH("(*)",K6)</formula>
    </cfRule>
  </conditionalFormatting>
  <conditionalFormatting sqref="D167:D183 F167:G183 D26:D165 F166 F26:G165 I26:J183 L26:L183">
    <cfRule type="expression" dxfId="34" priority="105">
      <formula>COUNTIF($K$5:$R$5,D26) &gt; 0</formula>
    </cfRule>
  </conditionalFormatting>
  <conditionalFormatting sqref="D166">
    <cfRule type="expression" dxfId="33" priority="2">
      <formula>COUNTIF($K$5:$R$5,D166) &gt; 0</formula>
    </cfRule>
  </conditionalFormatting>
  <conditionalFormatting sqref="G166">
    <cfRule type="expression" dxfId="32" priority="1">
      <formula>COUNTIF($K$5:$R$5,G166) &gt; 0</formula>
    </cfRule>
  </conditionalFormatting>
  <dataValidations count="1">
    <dataValidation type="list" allowBlank="1" showInputMessage="1" showErrorMessage="1" sqref="D5">
      <formula1>AwayMissionsNames</formula1>
    </dataValidation>
  </dataValidation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5C548"/>
  </sheetPr>
  <dimension ref="A1:Y84"/>
  <sheetViews>
    <sheetView workbookViewId="0">
      <selection activeCell="I3" sqref="I3:J3"/>
    </sheetView>
  </sheetViews>
  <sheetFormatPr defaultRowHeight="15.75" x14ac:dyDescent="0.25"/>
  <cols>
    <col min="1" max="1" width="7.140625" style="154" customWidth="1"/>
    <col min="2" max="2" width="9.140625" style="154" customWidth="1"/>
    <col min="3" max="3" width="11.28515625" style="154" customWidth="1"/>
    <col min="4" max="13" width="9.140625" style="154"/>
    <col min="14" max="14" width="11.85546875" style="154" customWidth="1"/>
    <col min="15" max="16" width="9.140625" style="154"/>
    <col min="17" max="17" width="13.85546875" style="154" customWidth="1"/>
    <col min="18" max="19" width="9.140625" style="154"/>
    <col min="20" max="20" width="14.42578125" style="154" customWidth="1"/>
    <col min="21" max="21" width="13.85546875" style="154" customWidth="1"/>
    <col min="22" max="22" width="11.28515625" style="154" customWidth="1"/>
    <col min="23" max="16384" width="9.140625" style="154"/>
  </cols>
  <sheetData>
    <row r="1" spans="1:25" ht="6" customHeight="1" thickBot="1" x14ac:dyDescent="0.3"/>
    <row r="2" spans="1:25" s="296" customFormat="1" ht="17.25" customHeight="1" thickBot="1" x14ac:dyDescent="0.3">
      <c r="A2" s="288"/>
      <c r="B2" s="288"/>
      <c r="C2" s="289"/>
      <c r="D2" s="409"/>
      <c r="E2" s="410"/>
      <c r="F2" s="410"/>
      <c r="G2" s="410"/>
      <c r="H2" s="410"/>
      <c r="I2" s="411">
        <v>653.81600000000003</v>
      </c>
      <c r="J2" s="412"/>
      <c r="K2" s="410"/>
      <c r="L2" s="410"/>
      <c r="M2" s="410"/>
      <c r="N2" s="410"/>
      <c r="O2" s="413"/>
      <c r="P2" s="414"/>
      <c r="Q2" s="415"/>
      <c r="R2" s="415"/>
      <c r="S2" s="416"/>
      <c r="T2" s="417"/>
      <c r="U2" s="295"/>
      <c r="V2" s="295"/>
      <c r="W2" s="295"/>
      <c r="X2" s="295"/>
      <c r="Y2" s="295"/>
    </row>
    <row r="3" spans="1:25" s="296" customFormat="1" ht="19.5" customHeight="1" x14ac:dyDescent="0.25">
      <c r="A3" s="288"/>
      <c r="B3" s="288"/>
      <c r="C3" s="297"/>
      <c r="D3" s="666" t="str">
        <f>"Traits breakdown for "&amp;I3</f>
        <v xml:space="preserve">Traits breakdown for </v>
      </c>
      <c r="E3" s="666"/>
      <c r="F3" s="666"/>
      <c r="G3" s="666"/>
      <c r="H3" s="342" t="s">
        <v>3</v>
      </c>
      <c r="I3" s="692"/>
      <c r="J3" s="693"/>
      <c r="L3" s="288"/>
      <c r="M3" s="397" t="s">
        <v>1556</v>
      </c>
      <c r="N3" s="692"/>
      <c r="O3" s="693"/>
      <c r="R3" s="408" t="s">
        <v>1622</v>
      </c>
      <c r="S3" s="687"/>
      <c r="T3" s="687"/>
      <c r="U3" s="298"/>
      <c r="V3" s="295"/>
      <c r="W3" s="295"/>
      <c r="X3" s="295"/>
      <c r="Y3" s="295"/>
    </row>
    <row r="4" spans="1:25" ht="19.5" customHeight="1" thickBot="1" x14ac:dyDescent="0.3">
      <c r="D4" s="420" t="s">
        <v>1556</v>
      </c>
      <c r="E4" s="421"/>
      <c r="F4" s="422" t="s">
        <v>214</v>
      </c>
      <c r="G4" s="422" t="s">
        <v>1557</v>
      </c>
      <c r="H4" s="423" t="s">
        <v>1619</v>
      </c>
      <c r="I4" s="424"/>
      <c r="J4" s="424"/>
      <c r="K4" s="688" t="s">
        <v>1617</v>
      </c>
      <c r="L4" s="696"/>
      <c r="M4" s="698" t="s">
        <v>1620</v>
      </c>
      <c r="N4" s="697"/>
      <c r="O4" s="697" t="s">
        <v>1621</v>
      </c>
      <c r="P4" s="697"/>
      <c r="Q4" s="697"/>
      <c r="R4" s="688" t="s">
        <v>1627</v>
      </c>
      <c r="S4" s="688"/>
      <c r="T4" s="689"/>
      <c r="Y4" s="295"/>
    </row>
    <row r="5" spans="1:25" ht="16.5" customHeight="1" x14ac:dyDescent="0.25">
      <c r="A5" s="155"/>
      <c r="B5" s="156"/>
      <c r="C5" s="318" t="s">
        <v>1606</v>
      </c>
      <c r="D5" s="694" t="str">
        <f>IFERROR(VLOOKUP(I3,TraitFull,3,FALSE)&amp;"","")</f>
        <v/>
      </c>
      <c r="E5" s="694"/>
      <c r="F5" s="418" t="str">
        <f>IFERROR(VLOOKUP(I3,TraitFull,5,FALSE)&amp;"","")</f>
        <v/>
      </c>
      <c r="G5" s="419" t="str">
        <f>IF(D5 &lt;&gt; "", COUNTIF(TraitNames,D5), "")</f>
        <v/>
      </c>
      <c r="H5" s="392" t="str">
        <f t="array" ref="H5">IFERROR(INDEX(AwayMissionOfficerMatch, MATCH(0,COUNTIF($H$4:H4, AwayMissionOfficerMatch), 0)),"")</f>
        <v/>
      </c>
      <c r="I5" s="393"/>
      <c r="J5" s="394"/>
      <c r="K5" s="384"/>
      <c r="L5" s="395" t="str">
        <f t="shared" ref="L5:L26" si="0">IF(H5&lt;&gt;"",COUNTIF(AwayMissionOfficerMatch,H5),"")</f>
        <v/>
      </c>
      <c r="M5" s="399" t="str">
        <f t="array" aca="1" ref="M5" ca="1">IFERROR(INDEX(TraitOfficers, SMALL(IF(ISNUMBER(MATCH(TraitNames,$N$3, 0)), MATCH(ROW(TraitNames), ROW(TraitNames)), ""), ROWS($A$1:A1)))&amp;" ("&amp;IFERROR(VLOOKUP(IFERROR(INDEX(TraitOfficers, SMALL(IF(ISNUMBER(MATCH(TraitNames,$N$3, 0)), MATCH(ROW(TraitNames), ROW(TraitNames)), ""), ROWS($A$1:A1))),""),TraitFull,(SUMPRODUCT(--(TraitNames=$N$3)*COLUMN(TraitNames))/COUNTIF(TraitNames,$N$3)+1),FALSE),"")&amp;")","")</f>
        <v/>
      </c>
      <c r="N5" s="384"/>
      <c r="O5" s="399" t="str">
        <f t="array" ref="O5">IFERROR(INDEX(AwayMissionsNames, SMALL(IF(ISNUMBER(MATCH(AwayMissionTraitsAll,$N$3, 0)), MATCH(ROW(AwayMissionTraitsAll), ROW(AwayMissionTraitsAll)), ""), ROWS($A$1:A1))),"")</f>
        <v/>
      </c>
      <c r="P5" s="400"/>
      <c r="Q5" s="400"/>
      <c r="R5" s="392" t="str">
        <f t="array" ref="R5">IFERROR(INDEX(AwayMissionsNames, SMALL(IF(ISNUMBER(MATCH(AwayMissionRewardsAll,$S$3, 0)), MATCH(ROW(AwayMissionRewardsAll), ROW(AwayMissionRewardsAll)), ""), ROWS($A$1:A1))),"")</f>
        <v/>
      </c>
      <c r="S5" s="384"/>
      <c r="T5" s="405"/>
      <c r="V5" s="157"/>
      <c r="W5" s="158"/>
      <c r="Y5" s="295"/>
    </row>
    <row r="6" spans="1:25" ht="16.5" customHeight="1" x14ac:dyDescent="0.25">
      <c r="A6" s="159"/>
      <c r="B6" s="153" t="s">
        <v>1603</v>
      </c>
      <c r="C6" s="318" t="s">
        <v>1607</v>
      </c>
      <c r="D6" s="695" t="str">
        <f>IFERROR(VLOOKUP(I3,TraitFull,6,FALSE)&amp;"","")</f>
        <v/>
      </c>
      <c r="E6" s="695"/>
      <c r="F6" s="380" t="str">
        <f>IFERROR(VLOOKUP(I3,TraitFull,8,FALSE)&amp;"","")</f>
        <v/>
      </c>
      <c r="G6" s="383" t="str">
        <f>IF(D6 &lt;&gt; "", COUNTIF(TraitNames,D6), "")</f>
        <v/>
      </c>
      <c r="H6" s="385" t="str">
        <f t="array" ref="H6">IFERROR(INDEX(AwayMissionOfficerMatch, MATCH(0,COUNTIF($H$4:H5, AwayMissionOfficerMatch), 0)),"")</f>
        <v/>
      </c>
      <c r="I6" s="344"/>
      <c r="J6" s="344"/>
      <c r="K6" s="161"/>
      <c r="L6" s="386" t="str">
        <f t="shared" si="0"/>
        <v/>
      </c>
      <c r="M6" s="401" t="str">
        <f t="array" aca="1" ref="M6" ca="1">IFERROR(INDEX(TraitOfficers, SMALL(IF(ISNUMBER(MATCH(TraitNames,$N$3, 0)), MATCH(ROW(TraitNames), ROW(TraitNames)), ""), ROWS($A$1:A2)))&amp;" ("&amp;IFERROR(VLOOKUP(IFERROR(INDEX(TraitOfficers, SMALL(IF(ISNUMBER(MATCH(TraitNames,$N$3, 0)), MATCH(ROW(TraitNames), ROW(TraitNames)), ""), ROWS($A$1:A2))),""),TraitFull,(SUMPRODUCT(--(TraitNames=$N$3)*COLUMN(TraitNames))/COUNTIF(TraitNames,$N$3)+1),FALSE),"")&amp;")","")</f>
        <v/>
      </c>
      <c r="N6" s="347"/>
      <c r="O6" s="401" t="str">
        <f t="array" ref="O6">IFERROR(INDEX(AwayMissionsNames, SMALL(IF(ISNUMBER(MATCH(AwayMissionTraitsAll,$N$3, 0)), MATCH(ROW(AwayMissionTraitsAll), ROW(AwayMissionTraitsAll)), ""), ROWS($A$1:A2))),"")</f>
        <v/>
      </c>
      <c r="P6" s="354"/>
      <c r="Q6" s="354"/>
      <c r="R6" s="385" t="str">
        <f t="array" ref="R6">IFERROR(INDEX(AwayMissionsNames, SMALL(IF(ISNUMBER(MATCH(AwayMissionRewardsAll,$S$3, 0)), MATCH(ROW(AwayMissionRewardsAll), ROW(AwayMissionRewardsAll)), ""), ROWS($A$1:A2))),"")</f>
        <v/>
      </c>
      <c r="S6" s="347"/>
      <c r="T6" s="402"/>
      <c r="U6" s="161"/>
      <c r="V6" s="162"/>
      <c r="W6" s="163"/>
      <c r="Y6" s="295"/>
    </row>
    <row r="7" spans="1:25" ht="16.5" customHeight="1" thickBot="1" x14ac:dyDescent="0.3">
      <c r="A7" s="159"/>
      <c r="B7" s="153" t="s">
        <v>1553</v>
      </c>
      <c r="C7" s="318" t="s">
        <v>1608</v>
      </c>
      <c r="D7" s="695" t="str">
        <f>IFERROR(VLOOKUP(I3,TraitFull,9,FALSE)&amp;"","")</f>
        <v/>
      </c>
      <c r="E7" s="695"/>
      <c r="F7" s="380" t="str">
        <f>IFERROR(VLOOKUP(I3,TraitFull,11,FALSE)&amp;"","")</f>
        <v/>
      </c>
      <c r="G7" s="383" t="str">
        <f>IF(D7 &lt;&gt; "", COUNTIF(TraitNames,D7), "")</f>
        <v/>
      </c>
      <c r="H7" s="385" t="str">
        <f t="array" ref="H7">IFERROR(INDEX(AwayMissionOfficerMatch, MATCH(0,COUNTIF($H$4:H6, AwayMissionOfficerMatch), 0)),"")</f>
        <v/>
      </c>
      <c r="I7" s="354"/>
      <c r="J7" s="354"/>
      <c r="K7" s="161"/>
      <c r="L7" s="386" t="str">
        <f t="shared" si="0"/>
        <v/>
      </c>
      <c r="M7" s="401" t="str">
        <f t="array" aca="1" ref="M7" ca="1">IFERROR(INDEX(TraitOfficers, SMALL(IF(ISNUMBER(MATCH(TraitNames,$N$3, 0)), MATCH(ROW(TraitNames), ROW(TraitNames)), ""), ROWS($A$1:A3)))&amp;" ("&amp;IFERROR(VLOOKUP(IFERROR(INDEX(TraitOfficers, SMALL(IF(ISNUMBER(MATCH(TraitNames,$N$3, 0)), MATCH(ROW(TraitNames), ROW(TraitNames)), ""), ROWS($A$1:A3))),""),TraitFull,(SUMPRODUCT(--(TraitNames=$N$3)*COLUMN(TraitNames))/COUNTIF(TraitNames,$N$3)+1),FALSE),"")&amp;")","")</f>
        <v/>
      </c>
      <c r="N7" s="347"/>
      <c r="O7" s="401" t="str">
        <f t="array" ref="O7">IFERROR(INDEX(AwayMissionsNames, SMALL(IF(ISNUMBER(MATCH(AwayMissionTraitsAll,$N$3, 0)), MATCH(ROW(AwayMissionTraitsAll), ROW(AwayMissionTraitsAll)), ""), ROWS($A$1:A3))),"")</f>
        <v/>
      </c>
      <c r="P7" s="354"/>
      <c r="Q7" s="354"/>
      <c r="R7" s="385" t="str">
        <f t="array" ref="R7">IFERROR(INDEX(AwayMissionsNames, SMALL(IF(ISNUMBER(MATCH(AwayMissionRewardsAll,$S$3, 0)), MATCH(ROW(AwayMissionRewardsAll), ROW(AwayMissionRewardsAll)), ""), ROWS($A$1:A3))),"")</f>
        <v/>
      </c>
      <c r="S7" s="354"/>
      <c r="T7" s="402"/>
      <c r="V7" s="164"/>
      <c r="W7" s="165"/>
      <c r="Y7" s="295"/>
    </row>
    <row r="8" spans="1:25" ht="17.25" thickBot="1" x14ac:dyDescent="0.3">
      <c r="A8" s="159"/>
      <c r="B8" s="153" t="s">
        <v>1605</v>
      </c>
      <c r="D8" s="425" t="s">
        <v>1625</v>
      </c>
      <c r="E8" s="690" t="s">
        <v>1702</v>
      </c>
      <c r="F8" s="691"/>
      <c r="G8" s="425"/>
      <c r="H8" s="385" t="str">
        <f t="array" ref="H8">IFERROR(INDEX(AwayMissionOfficerMatch, MATCH(0,COUNTIF($H$4:H7, AwayMissionOfficerMatch), 0)),"")</f>
        <v/>
      </c>
      <c r="I8" s="354"/>
      <c r="J8" s="354"/>
      <c r="K8" s="161"/>
      <c r="L8" s="386" t="str">
        <f t="shared" si="0"/>
        <v/>
      </c>
      <c r="M8" s="401" t="str">
        <f t="array" aca="1" ref="M8" ca="1">IFERROR(INDEX(TraitOfficers, SMALL(IF(ISNUMBER(MATCH(TraitNames,$N$3, 0)), MATCH(ROW(TraitNames), ROW(TraitNames)), ""), ROWS($A$1:A4)))&amp;" ("&amp;IFERROR(VLOOKUP(IFERROR(INDEX(TraitOfficers, SMALL(IF(ISNUMBER(MATCH(TraitNames,$N$3, 0)), MATCH(ROW(TraitNames), ROW(TraitNames)), ""), ROWS($A$1:A4))),""),TraitFull,(SUMPRODUCT(--(TraitNames=$N$3)*COLUMN(TraitNames))/COUNTIF(TraitNames,$N$3)+1),FALSE),"")&amp;")","")</f>
        <v/>
      </c>
      <c r="N8" s="347"/>
      <c r="O8" s="401" t="str">
        <f t="array" ref="O8">IFERROR(INDEX(AwayMissionsNames, SMALL(IF(ISNUMBER(MATCH(AwayMissionTraitsAll,$N$3, 0)), MATCH(ROW(AwayMissionTraitsAll), ROW(AwayMissionTraitsAll)), ""), ROWS($A$1:A4))),"")</f>
        <v/>
      </c>
      <c r="P8" s="354"/>
      <c r="Q8" s="354"/>
      <c r="R8" s="385" t="str">
        <f t="array" ref="R8">IFERROR(INDEX(AwayMissionsNames, SMALL(IF(ISNUMBER(MATCH(AwayMissionRewardsAll,$S$3, 0)), MATCH(ROW(AwayMissionRewardsAll), ROW(AwayMissionRewardsAll)), ""), ROWS($A$1:A4))),"")</f>
        <v/>
      </c>
      <c r="S8" s="354"/>
      <c r="T8" s="402"/>
      <c r="V8" s="167"/>
      <c r="W8" s="168"/>
      <c r="Y8" s="295"/>
    </row>
    <row r="9" spans="1:25" ht="16.5" customHeight="1" thickBot="1" x14ac:dyDescent="0.3">
      <c r="A9" s="169"/>
      <c r="B9" s="170"/>
      <c r="C9" s="426">
        <v>1</v>
      </c>
      <c r="D9" s="428" t="str">
        <f ca="1">VLOOKUP(C9,INDIRECT($E$8),2)</f>
        <v>Mudd</v>
      </c>
      <c r="E9" s="429"/>
      <c r="F9" s="429"/>
      <c r="G9" s="430">
        <f ca="1">VLOOKUP(C9,INDIRECT($E$8),3)</f>
        <v>37</v>
      </c>
      <c r="H9" s="161" t="str">
        <f t="array" ref="H9">IFERROR(INDEX(AwayMissionOfficerMatch, MATCH(0,COUNTIF($H$4:H8, AwayMissionOfficerMatch), 0)),"")</f>
        <v/>
      </c>
      <c r="I9" s="354"/>
      <c r="J9" s="354"/>
      <c r="K9" s="161"/>
      <c r="L9" s="386" t="str">
        <f t="shared" si="0"/>
        <v/>
      </c>
      <c r="M9" s="401" t="str">
        <f t="array" aca="1" ref="M9" ca="1">IFERROR(INDEX(TraitOfficers, SMALL(IF(ISNUMBER(MATCH(TraitNames,$N$3, 0)), MATCH(ROW(TraitNames), ROW(TraitNames)), ""), ROWS($A$1:A5)))&amp;" ("&amp;IFERROR(VLOOKUP(IFERROR(INDEX(TraitOfficers, SMALL(IF(ISNUMBER(MATCH(TraitNames,$N$3, 0)), MATCH(ROW(TraitNames), ROW(TraitNames)), ""), ROWS($A$1:A5))),""),TraitFull,(SUMPRODUCT(--(TraitNames=$N$3)*COLUMN(TraitNames))/COUNTIF(TraitNames,$N$3)+1),FALSE),"")&amp;")","")</f>
        <v/>
      </c>
      <c r="N9" s="347"/>
      <c r="O9" s="401" t="str">
        <f t="array" ref="O9">IFERROR(INDEX(AwayMissionsNames, SMALL(IF(ISNUMBER(MATCH(AwayMissionTraitsAll,$N$3, 0)), MATCH(ROW(AwayMissionTraitsAll), ROW(AwayMissionTraitsAll)), ""), ROWS($A$1:A5))),"")</f>
        <v/>
      </c>
      <c r="P9" s="354"/>
      <c r="Q9" s="354"/>
      <c r="R9" s="385" t="str">
        <f t="array" ref="R9">IFERROR(INDEX(AwayMissionsNames, SMALL(IF(ISNUMBER(MATCH(AwayMissionRewardsAll,$S$3, 0)), MATCH(ROW(AwayMissionRewardsAll), ROW(AwayMissionRewardsAll)), ""), ROWS($A$1:A5))),"")</f>
        <v/>
      </c>
      <c r="S9" s="354"/>
      <c r="T9" s="402"/>
      <c r="V9" s="171"/>
      <c r="W9" s="172"/>
      <c r="Y9" s="295"/>
    </row>
    <row r="10" spans="1:25" ht="16.5" customHeight="1" x14ac:dyDescent="0.25">
      <c r="A10" s="159"/>
      <c r="B10" s="166"/>
      <c r="C10" s="426">
        <v>2</v>
      </c>
      <c r="D10" s="427" t="str">
        <f t="shared" ref="D10:D26" ca="1" si="1">VLOOKUP(C10,INDIRECT($E$8),2)</f>
        <v>T'Pring</v>
      </c>
      <c r="E10" s="396"/>
      <c r="F10" s="396"/>
      <c r="G10" s="431">
        <f t="shared" ref="G10:G26" ca="1" si="2">VLOOKUP(C10,INDIRECT($E$8),3)</f>
        <v>33</v>
      </c>
      <c r="H10" s="161" t="str">
        <f t="array" ref="H10">IFERROR(INDEX(AwayMissionOfficerMatch, MATCH(0,COUNTIF($H$4:H9, AwayMissionOfficerMatch), 0)),"")</f>
        <v/>
      </c>
      <c r="I10" s="354"/>
      <c r="J10" s="354"/>
      <c r="K10" s="161"/>
      <c r="L10" s="386" t="str">
        <f t="shared" si="0"/>
        <v/>
      </c>
      <c r="M10" s="401" t="str">
        <f t="array" aca="1" ref="M10" ca="1">IFERROR(INDEX(TraitOfficers, SMALL(IF(ISNUMBER(MATCH(TraitNames,$N$3, 0)), MATCH(ROW(TraitNames), ROW(TraitNames)), ""), ROWS($A$1:A6)))&amp;" ("&amp;IFERROR(VLOOKUP(IFERROR(INDEX(TraitOfficers, SMALL(IF(ISNUMBER(MATCH(TraitNames,$N$3, 0)), MATCH(ROW(TraitNames), ROW(TraitNames)), ""), ROWS($A$1:A6))),""),TraitFull,(SUMPRODUCT(--(TraitNames=$N$3)*COLUMN(TraitNames))/COUNTIF(TraitNames,$N$3)+1),FALSE),"")&amp;")","")</f>
        <v/>
      </c>
      <c r="N10" s="347"/>
      <c r="O10" s="401" t="str">
        <f t="array" ref="O10">IFERROR(INDEX(AwayMissionsNames, SMALL(IF(ISNUMBER(MATCH(AwayMissionTraitsAll,$N$3, 0)), MATCH(ROW(AwayMissionTraitsAll), ROW(AwayMissionTraitsAll)), ""), ROWS($A$1:A6))),"")</f>
        <v/>
      </c>
      <c r="P10" s="354"/>
      <c r="Q10" s="354"/>
      <c r="R10" s="385" t="str">
        <f t="array" ref="R10">IFERROR(INDEX(AwayMissionsNames, SMALL(IF(ISNUMBER(MATCH(AwayMissionRewardsAll,$S$3, 0)), MATCH(ROW(AwayMissionRewardsAll), ROW(AwayMissionRewardsAll)), ""), ROWS($A$1:A6))),"")</f>
        <v/>
      </c>
      <c r="S10" s="354"/>
      <c r="T10" s="402"/>
      <c r="V10" s="175"/>
      <c r="W10" s="382"/>
      <c r="Y10" s="295"/>
    </row>
    <row r="11" spans="1:25" ht="16.5" customHeight="1" x14ac:dyDescent="0.25">
      <c r="A11" s="159"/>
      <c r="B11" s="166"/>
      <c r="C11" s="426">
        <v>3</v>
      </c>
      <c r="D11" s="427" t="str">
        <f t="shared" ca="1" si="1"/>
        <v>Eleven Of Eleven</v>
      </c>
      <c r="E11" s="396"/>
      <c r="F11" s="396"/>
      <c r="G11" s="431">
        <f t="shared" ca="1" si="2"/>
        <v>30</v>
      </c>
      <c r="H11" s="161" t="str">
        <f t="array" ref="H11">IFERROR(INDEX(AwayMissionOfficerMatch, MATCH(0,COUNTIF($H$4:H10, AwayMissionOfficerMatch), 0)),"")</f>
        <v/>
      </c>
      <c r="I11" s="354"/>
      <c r="J11" s="354"/>
      <c r="K11" s="161"/>
      <c r="L11" s="386" t="str">
        <f t="shared" si="0"/>
        <v/>
      </c>
      <c r="M11" s="401" t="str">
        <f t="array" aca="1" ref="M11" ca="1">IFERROR(INDEX(TraitOfficers, SMALL(IF(ISNUMBER(MATCH(TraitNames,$N$3, 0)), MATCH(ROW(TraitNames), ROW(TraitNames)), ""), ROWS($A$1:A7)))&amp;" ("&amp;IFERROR(VLOOKUP(IFERROR(INDEX(TraitOfficers, SMALL(IF(ISNUMBER(MATCH(TraitNames,$N$3, 0)), MATCH(ROW(TraitNames), ROW(TraitNames)), ""), ROWS($A$1:A7))),""),TraitFull,(SUMPRODUCT(--(TraitNames=$N$3)*COLUMN(TraitNames))/COUNTIF(TraitNames,$N$3)+1),FALSE),"")&amp;")","")</f>
        <v/>
      </c>
      <c r="N11" s="347"/>
      <c r="O11" s="401" t="str">
        <f t="array" ref="O11">IFERROR(INDEX(AwayMissionsNames, SMALL(IF(ISNUMBER(MATCH(AwayMissionTraitsAll,$N$3, 0)), MATCH(ROW(AwayMissionTraitsAll), ROW(AwayMissionTraitsAll)), ""), ROWS($A$1:A7))),"")</f>
        <v/>
      </c>
      <c r="P11" s="354"/>
      <c r="Q11" s="354"/>
      <c r="R11" s="385" t="str">
        <f t="array" ref="R11">IFERROR(INDEX(AwayMissionsNames, SMALL(IF(ISNUMBER(MATCH(AwayMissionRewardsAll,$S$3, 0)), MATCH(ROW(AwayMissionRewardsAll), ROW(AwayMissionRewardsAll)), ""), ROWS($A$1:A7))),"")</f>
        <v/>
      </c>
      <c r="S11" s="354"/>
      <c r="T11" s="402"/>
      <c r="V11" s="175"/>
      <c r="W11" s="382"/>
      <c r="Y11" s="295"/>
    </row>
    <row r="12" spans="1:25" ht="16.5" customHeight="1" x14ac:dyDescent="0.25">
      <c r="A12" s="159"/>
      <c r="B12" s="166"/>
      <c r="C12" s="426">
        <v>4</v>
      </c>
      <c r="D12" s="427" t="str">
        <f t="shared" ca="1" si="1"/>
        <v>Rom</v>
      </c>
      <c r="E12" s="396"/>
      <c r="F12" s="396"/>
      <c r="G12" s="431">
        <f t="shared" ca="1" si="2"/>
        <v>30</v>
      </c>
      <c r="H12" s="161" t="str">
        <f t="array" ref="H12">IFERROR(INDEX(AwayMissionOfficerMatch, MATCH(0,COUNTIF($H$4:H11, AwayMissionOfficerMatch), 0)),"")</f>
        <v/>
      </c>
      <c r="I12" s="354"/>
      <c r="J12" s="354"/>
      <c r="K12" s="161"/>
      <c r="L12" s="386" t="str">
        <f t="shared" si="0"/>
        <v/>
      </c>
      <c r="M12" s="401" t="str">
        <f t="array" aca="1" ref="M12" ca="1">IFERROR(INDEX(TraitOfficers, SMALL(IF(ISNUMBER(MATCH(TraitNames,$N$3, 0)), MATCH(ROW(TraitNames), ROW(TraitNames)), ""), ROWS($A$1:A8)))&amp;" ("&amp;IFERROR(VLOOKUP(IFERROR(INDEX(TraitOfficers, SMALL(IF(ISNUMBER(MATCH(TraitNames,$N$3, 0)), MATCH(ROW(TraitNames), ROW(TraitNames)), ""), ROWS($A$1:A8))),""),TraitFull,(SUMPRODUCT(--(TraitNames=$N$3)*COLUMN(TraitNames))/COUNTIF(TraitNames,$N$3)+1),FALSE),"")&amp;")","")</f>
        <v/>
      </c>
      <c r="N12" s="347"/>
      <c r="O12" s="401" t="str">
        <f t="array" ref="O12">IFERROR(INDEX(AwayMissionsNames, SMALL(IF(ISNUMBER(MATCH(AwayMissionTraitsAll,$N$3, 0)), MATCH(ROW(AwayMissionTraitsAll), ROW(AwayMissionTraitsAll)), ""), ROWS($A$1:A8))),"")</f>
        <v/>
      </c>
      <c r="P12" s="354"/>
      <c r="Q12" s="354"/>
      <c r="R12" s="385" t="str">
        <f t="array" ref="R12">IFERROR(INDEX(AwayMissionsNames, SMALL(IF(ISNUMBER(MATCH(AwayMissionRewardsAll,$S$3, 0)), MATCH(ROW(AwayMissionRewardsAll), ROW(AwayMissionRewardsAll)), ""), ROWS($A$1:A8))),"")</f>
        <v/>
      </c>
      <c r="S12" s="354"/>
      <c r="T12" s="402"/>
      <c r="V12" s="175"/>
      <c r="W12" s="382"/>
      <c r="Y12" s="295"/>
    </row>
    <row r="13" spans="1:25" ht="16.5" customHeight="1" x14ac:dyDescent="0.25">
      <c r="A13" s="159"/>
      <c r="B13" s="166"/>
      <c r="C13" s="426">
        <v>5</v>
      </c>
      <c r="D13" s="427" t="str">
        <f t="shared" ca="1" si="1"/>
        <v>Carol</v>
      </c>
      <c r="E13" s="396"/>
      <c r="F13" s="396"/>
      <c r="G13" s="431">
        <f t="shared" ca="1" si="2"/>
        <v>28</v>
      </c>
      <c r="H13" s="161" t="str">
        <f t="array" ref="H13">IFERROR(INDEX(AwayMissionOfficerMatch, MATCH(0,COUNTIF($H$4:H12, AwayMissionOfficerMatch), 0)),"")</f>
        <v/>
      </c>
      <c r="I13" s="354"/>
      <c r="J13" s="354"/>
      <c r="K13" s="161"/>
      <c r="L13" s="386" t="str">
        <f t="shared" si="0"/>
        <v/>
      </c>
      <c r="M13" s="401" t="str">
        <f t="array" aca="1" ref="M13" ca="1">IFERROR(INDEX(TraitOfficers, SMALL(IF(ISNUMBER(MATCH(TraitNames,$N$3, 0)), MATCH(ROW(TraitNames), ROW(TraitNames)), ""), ROWS($A$1:A9)))&amp;" ("&amp;IFERROR(VLOOKUP(IFERROR(INDEX(TraitOfficers, SMALL(IF(ISNUMBER(MATCH(TraitNames,$N$3, 0)), MATCH(ROW(TraitNames), ROW(TraitNames)), ""), ROWS($A$1:A9))),""),TraitFull,(SUMPRODUCT(--(TraitNames=$N$3)*COLUMN(TraitNames))/COUNTIF(TraitNames,$N$3)+1),FALSE),"")&amp;")","")</f>
        <v/>
      </c>
      <c r="N13" s="347"/>
      <c r="O13" s="401" t="str">
        <f t="array" ref="O13">IFERROR(INDEX(AwayMissionsNames, SMALL(IF(ISNUMBER(MATCH(AwayMissionTraitsAll,$N$3, 0)), MATCH(ROW(AwayMissionTraitsAll), ROW(AwayMissionTraitsAll)), ""), ROWS($A$1:A9))),"")</f>
        <v/>
      </c>
      <c r="P13" s="354"/>
      <c r="Q13" s="354"/>
      <c r="R13" s="385" t="str">
        <f t="array" ref="R13">IFERROR(INDEX(AwayMissionsNames, SMALL(IF(ISNUMBER(MATCH(AwayMissionRewardsAll,$S$3, 0)), MATCH(ROW(AwayMissionRewardsAll), ROW(AwayMissionRewardsAll)), ""), ROWS($A$1:A9))),"")</f>
        <v/>
      </c>
      <c r="S13" s="354"/>
      <c r="T13" s="402"/>
      <c r="V13" s="175"/>
      <c r="W13" s="11" t="s">
        <v>139</v>
      </c>
      <c r="Y13" s="295"/>
    </row>
    <row r="14" spans="1:25" ht="16.5" customHeight="1" x14ac:dyDescent="0.25">
      <c r="A14" s="159"/>
      <c r="B14" s="166"/>
      <c r="C14" s="426">
        <v>6</v>
      </c>
      <c r="D14" s="427" t="str">
        <f t="shared" ca="1" si="1"/>
        <v>Geordi La Forge</v>
      </c>
      <c r="E14" s="396"/>
      <c r="F14" s="396"/>
      <c r="G14" s="431">
        <f t="shared" ca="1" si="2"/>
        <v>26</v>
      </c>
      <c r="H14" s="161" t="str">
        <f t="array" ref="H14">IFERROR(INDEX(AwayMissionOfficerMatch, MATCH(0,COUNTIF($H$4:H13, AwayMissionOfficerMatch), 0)),"")</f>
        <v/>
      </c>
      <c r="I14" s="354"/>
      <c r="J14" s="354"/>
      <c r="K14" s="161"/>
      <c r="L14" s="386" t="str">
        <f t="shared" si="0"/>
        <v/>
      </c>
      <c r="M14" s="401" t="str">
        <f t="array" aca="1" ref="M14" ca="1">IFERROR(INDEX(TraitOfficers, SMALL(IF(ISNUMBER(MATCH(TraitNames,$N$3, 0)), MATCH(ROW(TraitNames), ROW(TraitNames)), ""), ROWS($A$1:A10)))&amp;" ("&amp;IFERROR(VLOOKUP(IFERROR(INDEX(TraitOfficers, SMALL(IF(ISNUMBER(MATCH(TraitNames,$N$3, 0)), MATCH(ROW(TraitNames), ROW(TraitNames)), ""), ROWS($A$1:A10))),""),TraitFull,(SUMPRODUCT(--(TraitNames=$N$3)*COLUMN(TraitNames))/COUNTIF(TraitNames,$N$3)+1),FALSE),"")&amp;")","")</f>
        <v/>
      </c>
      <c r="N14" s="347"/>
      <c r="O14" s="401" t="str">
        <f t="array" ref="O14">IFERROR(INDEX(AwayMissionsNames, SMALL(IF(ISNUMBER(MATCH(AwayMissionTraitsAll,$N$3, 0)), MATCH(ROW(AwayMissionTraitsAll), ROW(AwayMissionTraitsAll)), ""), ROWS($A$1:A10))),"")</f>
        <v/>
      </c>
      <c r="P14" s="347"/>
      <c r="Q14" s="347"/>
      <c r="R14" s="385" t="str">
        <f t="array" ref="R14">IFERROR(INDEX(AwayMissionsNames, SMALL(IF(ISNUMBER(MATCH(AwayMissionRewardsAll,$S$3, 0)), MATCH(ROW(AwayMissionRewardsAll), ROW(AwayMissionRewardsAll)), ""), ROWS($A$1:A10))),"")</f>
        <v/>
      </c>
      <c r="S14" s="354"/>
      <c r="T14" s="402"/>
      <c r="V14" s="175"/>
      <c r="W14" s="382"/>
      <c r="Y14" s="295"/>
    </row>
    <row r="15" spans="1:25" ht="16.5" customHeight="1" thickBot="1" x14ac:dyDescent="0.3">
      <c r="A15" s="159"/>
      <c r="B15" s="166"/>
      <c r="C15" s="426">
        <v>7</v>
      </c>
      <c r="D15" s="427" t="str">
        <f t="shared" ca="1" si="1"/>
        <v>Michael Burnham</v>
      </c>
      <c r="E15" s="396"/>
      <c r="F15" s="396"/>
      <c r="G15" s="431">
        <f t="shared" ca="1" si="2"/>
        <v>26</v>
      </c>
      <c r="H15" s="161" t="str">
        <f t="array" ref="H15">IFERROR(INDEX(AwayMissionOfficerMatch, MATCH(0,COUNTIF($H$4:H14, AwayMissionOfficerMatch), 0)),"")</f>
        <v/>
      </c>
      <c r="I15" s="354"/>
      <c r="J15" s="354"/>
      <c r="K15" s="161"/>
      <c r="L15" s="386" t="str">
        <f t="shared" si="0"/>
        <v/>
      </c>
      <c r="M15" s="401" t="str">
        <f t="array" aca="1" ref="M15" ca="1">IFERROR(INDEX(TraitOfficers, SMALL(IF(ISNUMBER(MATCH(TraitNames,$N$3, 0)), MATCH(ROW(TraitNames), ROW(TraitNames)), ""), ROWS($A$1:A11)))&amp;" ("&amp;IFERROR(VLOOKUP(IFERROR(INDEX(TraitOfficers, SMALL(IF(ISNUMBER(MATCH(TraitNames,$N$3, 0)), MATCH(ROW(TraitNames), ROW(TraitNames)), ""), ROWS($A$1:A11))),""),TraitFull,(SUMPRODUCT(--(TraitNames=$N$3)*COLUMN(TraitNames))/COUNTIF(TraitNames,$N$3)+1),FALSE),"")&amp;")","")</f>
        <v/>
      </c>
      <c r="N15" s="347"/>
      <c r="O15" s="401" t="str">
        <f t="array" ref="O15">IFERROR(INDEX(AwayMissionsNames, SMALL(IF(ISNUMBER(MATCH(AwayMissionTraitsAll,$N$3, 0)), MATCH(ROW(AwayMissionTraitsAll), ROW(AwayMissionTraitsAll)), ""), ROWS($A$1:A11))),"")</f>
        <v/>
      </c>
      <c r="P15" s="201"/>
      <c r="Q15" s="398"/>
      <c r="R15" s="385" t="str">
        <f t="array" ref="R15">IFERROR(INDEX(AwayMissionsNames, SMALL(IF(ISNUMBER(MATCH(AwayMissionRewardsAll,$S$3, 0)), MATCH(ROW(AwayMissionRewardsAll), ROW(AwayMissionRewardsAll)), ""), ROWS($A$1:A11))),"")</f>
        <v/>
      </c>
      <c r="S15" s="354"/>
      <c r="T15" s="402"/>
      <c r="V15" s="175"/>
      <c r="W15" s="382"/>
      <c r="Y15" s="295"/>
    </row>
    <row r="16" spans="1:25" ht="15.75" customHeight="1" x14ac:dyDescent="0.25">
      <c r="A16" s="173"/>
      <c r="B16" s="174"/>
      <c r="C16" s="426">
        <v>8</v>
      </c>
      <c r="D16" s="427" t="str">
        <f t="shared" ca="1" si="1"/>
        <v>TOS Uhura</v>
      </c>
      <c r="E16" s="396"/>
      <c r="F16" s="396"/>
      <c r="G16" s="431">
        <f t="shared" ca="1" si="2"/>
        <v>25</v>
      </c>
      <c r="H16" s="161" t="str">
        <f t="array" ref="H16">IFERROR(INDEX(AwayMissionOfficerMatch, MATCH(0,COUNTIF($H$4:H15, AwayMissionOfficerMatch), 0)),"")</f>
        <v/>
      </c>
      <c r="I16" s="347"/>
      <c r="J16" s="347"/>
      <c r="K16" s="161"/>
      <c r="L16" s="386" t="str">
        <f t="shared" si="0"/>
        <v/>
      </c>
      <c r="M16" s="401" t="str">
        <f t="array" aca="1" ref="M16" ca="1">IFERROR(INDEX(TraitOfficers, SMALL(IF(ISNUMBER(MATCH(TraitNames,$N$3, 0)), MATCH(ROW(TraitNames), ROW(TraitNames)), ""), ROWS($A$1:A12)))&amp;" ("&amp;IFERROR(VLOOKUP(IFERROR(INDEX(TraitOfficers, SMALL(IF(ISNUMBER(MATCH(TraitNames,$N$3, 0)), MATCH(ROW(TraitNames), ROW(TraitNames)), ""), ROWS($A$1:A12))),""),TraitFull,(SUMPRODUCT(--(TraitNames=$N$3)*COLUMN(TraitNames))/COUNTIF(TraitNames,$N$3)+1),FALSE),"")&amp;")","")</f>
        <v/>
      </c>
      <c r="N16" s="347"/>
      <c r="O16" s="401" t="str">
        <f t="array" ref="O16">IFERROR(INDEX(AwayMissionsNames, SMALL(IF(ISNUMBER(MATCH(AwayMissionTraitsAll,$N$3, 0)), MATCH(ROW(AwayMissionTraitsAll), ROW(AwayMissionTraitsAll)), ""), ROWS($A$1:A12))),"")</f>
        <v/>
      </c>
      <c r="P16" s="201"/>
      <c r="Q16" s="201"/>
      <c r="R16" s="385" t="str">
        <f t="array" ref="R16">IFERROR(INDEX(AwayMissionsNames, SMALL(IF(ISNUMBER(MATCH(AwayMissionRewardsAll,$S$3, 0)), MATCH(ROW(AwayMissionRewardsAll), ROW(AwayMissionRewardsAll)), ""), ROWS($A$1:A12))),"")</f>
        <v/>
      </c>
      <c r="S16" s="347"/>
      <c r="T16" s="402"/>
      <c r="V16" s="175"/>
      <c r="W16" s="11"/>
      <c r="Y16" s="295"/>
    </row>
    <row r="17" spans="1:25" ht="15.75" customHeight="1" thickBot="1" x14ac:dyDescent="0.3">
      <c r="A17" s="176"/>
      <c r="B17" s="177"/>
      <c r="C17" s="426">
        <v>9</v>
      </c>
      <c r="D17" s="427" t="str">
        <f t="shared" ca="1" si="1"/>
        <v>Uhura</v>
      </c>
      <c r="E17" s="396"/>
      <c r="F17" s="396"/>
      <c r="G17" s="431">
        <f t="shared" ca="1" si="2"/>
        <v>25</v>
      </c>
      <c r="H17" s="161" t="str">
        <f t="array" ref="H17">IFERROR(INDEX(AwayMissionOfficerMatch, MATCH(0,COUNTIF($H$4:H16, AwayMissionOfficerMatch), 0)),"")</f>
        <v/>
      </c>
      <c r="I17" s="349"/>
      <c r="J17" s="349"/>
      <c r="K17" s="161"/>
      <c r="L17" s="386" t="str">
        <f t="shared" si="0"/>
        <v/>
      </c>
      <c r="M17" s="401" t="str">
        <f t="array" aca="1" ref="M17" ca="1">IFERROR(INDEX(TraitOfficers, SMALL(IF(ISNUMBER(MATCH(TraitNames,$N$3, 0)), MATCH(ROW(TraitNames), ROW(TraitNames)), ""), ROWS($A$1:A13)))&amp;" ("&amp;IFERROR(VLOOKUP(IFERROR(INDEX(TraitOfficers, SMALL(IF(ISNUMBER(MATCH(TraitNames,$N$3, 0)), MATCH(ROW(TraitNames), ROW(TraitNames)), ""), ROWS($A$1:A13))),""),TraitFull,(SUMPRODUCT(--(TraitNames=$N$3)*COLUMN(TraitNames))/COUNTIF(TraitNames,$N$3)+1),FALSE),"")&amp;")","")</f>
        <v/>
      </c>
      <c r="N17" s="347"/>
      <c r="O17" s="401" t="str">
        <f t="array" ref="O17">IFERROR(INDEX(AwayMissionsNames, SMALL(IF(ISNUMBER(MATCH(AwayMissionTraitsAll,$N$3, 0)), MATCH(ROW(AwayMissionTraitsAll), ROW(AwayMissionTraitsAll)), ""), ROWS($A$1:A13))),"")</f>
        <v/>
      </c>
      <c r="P17" s="201"/>
      <c r="Q17" s="201"/>
      <c r="R17" s="385" t="str">
        <f t="array" ref="R17">IFERROR(INDEX(AwayMissionsNames, SMALL(IF(ISNUMBER(MATCH(AwayMissionRewardsAll,$S$3, 0)), MATCH(ROW(AwayMissionRewardsAll), ROW(AwayMissionRewardsAll)), ""), ROWS($A$1:A13))),"")</f>
        <v/>
      </c>
      <c r="S17" s="201"/>
      <c r="T17" s="403"/>
      <c r="V17" s="178"/>
      <c r="W17" s="179"/>
      <c r="Y17" s="295"/>
    </row>
    <row r="18" spans="1:25" ht="15.75" customHeight="1" x14ac:dyDescent="0.25">
      <c r="A18" s="176"/>
      <c r="B18" s="180"/>
      <c r="C18" s="426">
        <v>10</v>
      </c>
      <c r="D18" s="427" t="str">
        <f t="shared" ca="1" si="1"/>
        <v>Quark</v>
      </c>
      <c r="E18" s="396"/>
      <c r="F18" s="396"/>
      <c r="G18" s="431">
        <f t="shared" ca="1" si="2"/>
        <v>24</v>
      </c>
      <c r="H18" s="161" t="str">
        <f t="array" ref="H18">IFERROR(INDEX(AwayMissionOfficerMatch, MATCH(0,COUNTIF($H$4:H17, AwayMissionOfficerMatch), 0)),"")</f>
        <v/>
      </c>
      <c r="I18" s="350"/>
      <c r="J18" s="350"/>
      <c r="K18" s="161"/>
      <c r="L18" s="386" t="str">
        <f t="shared" si="0"/>
        <v/>
      </c>
      <c r="M18" s="401" t="str">
        <f t="array" aca="1" ref="M18" ca="1">IFERROR(INDEX(TraitOfficers, SMALL(IF(ISNUMBER(MATCH(TraitNames,$N$3, 0)), MATCH(ROW(TraitNames), ROW(TraitNames)), ""), ROWS($A$1:A14)))&amp;" ("&amp;IFERROR(VLOOKUP(IFERROR(INDEX(TraitOfficers, SMALL(IF(ISNUMBER(MATCH(TraitNames,$N$3, 0)), MATCH(ROW(TraitNames), ROW(TraitNames)), ""), ROWS($A$1:A14))),""),TraitFull,(SUMPRODUCT(--(TraitNames=$N$3)*COLUMN(TraitNames))/COUNTIF(TraitNames,$N$3)+1),FALSE),"")&amp;")","")</f>
        <v/>
      </c>
      <c r="N18" s="347"/>
      <c r="O18" s="401" t="str">
        <f t="array" ref="O18">IFERROR(INDEX(AwayMissionsNames, SMALL(IF(ISNUMBER(MATCH(AwayMissionTraitsAll,$N$3, 0)), MATCH(ROW(AwayMissionTraitsAll), ROW(AwayMissionTraitsAll)), ""), ROWS($A$1:A14))),"")</f>
        <v/>
      </c>
      <c r="P18" s="201"/>
      <c r="Q18" s="201"/>
      <c r="R18" s="385" t="str">
        <f t="array" ref="R18">IFERROR(INDEX(AwayMissionsNames, SMALL(IF(ISNUMBER(MATCH(AwayMissionRewardsAll,$S$3, 0)), MATCH(ROW(AwayMissionRewardsAll), ROW(AwayMissionRewardsAll)), ""), ROWS($A$1:A14))),"")</f>
        <v/>
      </c>
      <c r="S18" s="201"/>
      <c r="T18" s="403"/>
      <c r="V18" s="171"/>
      <c r="W18" s="172"/>
      <c r="Y18" s="295"/>
    </row>
    <row r="19" spans="1:25" ht="15.75" customHeight="1" x14ac:dyDescent="0.25">
      <c r="A19" s="176"/>
      <c r="B19" s="180" t="s">
        <v>140</v>
      </c>
      <c r="C19" s="426">
        <v>11</v>
      </c>
      <c r="D19" s="427" t="str">
        <f t="shared" ca="1" si="1"/>
        <v>Three Of Eleven</v>
      </c>
      <c r="E19" s="396"/>
      <c r="F19" s="396"/>
      <c r="G19" s="431">
        <f t="shared" ca="1" si="2"/>
        <v>24</v>
      </c>
      <c r="H19" s="161" t="str">
        <f t="array" ref="H19">IFERROR(INDEX(AwayMissionOfficerMatch, MATCH(0,COUNTIF($H$4:H18, AwayMissionOfficerMatch), 0)),"")</f>
        <v/>
      </c>
      <c r="I19" s="350"/>
      <c r="J19" s="350"/>
      <c r="K19" s="161"/>
      <c r="L19" s="386" t="str">
        <f t="shared" si="0"/>
        <v/>
      </c>
      <c r="M19" s="401" t="str">
        <f t="array" aca="1" ref="M19" ca="1">IFERROR(INDEX(TraitOfficers, SMALL(IF(ISNUMBER(MATCH(TraitNames,$N$3, 0)), MATCH(ROW(TraitNames), ROW(TraitNames)), ""), ROWS($A$1:A15)))&amp;" ("&amp;IFERROR(VLOOKUP(IFERROR(INDEX(TraitOfficers, SMALL(IF(ISNUMBER(MATCH(TraitNames,$N$3, 0)), MATCH(ROW(TraitNames), ROW(TraitNames)), ""), ROWS($A$1:A15))),""),TraitFull,(SUMPRODUCT(--(TraitNames=$N$3)*COLUMN(TraitNames))/COUNTIF(TraitNames,$N$3)+1),FALSE),"")&amp;")","")</f>
        <v/>
      </c>
      <c r="N19" s="347"/>
      <c r="O19" s="401" t="str">
        <f t="array" ref="O19">IFERROR(INDEX(AwayMissionsNames, SMALL(IF(ISNUMBER(MATCH(AwayMissionTraitsAll,$N$3, 0)), MATCH(ROW(AwayMissionTraitsAll), ROW(AwayMissionTraitsAll)), ""), ROWS($A$1:A15))),"")</f>
        <v/>
      </c>
      <c r="P19" s="201"/>
      <c r="Q19" s="201"/>
      <c r="R19" s="385" t="str">
        <f t="array" ref="R19">IFERROR(INDEX(AwayMissionsNames, SMALL(IF(ISNUMBER(MATCH(AwayMissionRewardsAll,$S$3, 0)), MATCH(ROW(AwayMissionRewardsAll), ROW(AwayMissionRewardsAll)), ""), ROWS($A$1:A15))),"")</f>
        <v/>
      </c>
      <c r="S19" s="201"/>
      <c r="T19" s="403"/>
      <c r="V19" s="175"/>
      <c r="W19" s="382"/>
      <c r="Y19" s="295"/>
    </row>
    <row r="20" spans="1:25" ht="15.75" customHeight="1" x14ac:dyDescent="0.25">
      <c r="A20" s="176"/>
      <c r="B20" s="180"/>
      <c r="C20" s="426">
        <v>12</v>
      </c>
      <c r="D20" s="427" t="str">
        <f t="shared" ca="1" si="1"/>
        <v>TOS Spock</v>
      </c>
      <c r="E20" s="396"/>
      <c r="F20" s="396"/>
      <c r="G20" s="431">
        <f t="shared" ca="1" si="2"/>
        <v>24</v>
      </c>
      <c r="H20" s="161" t="str">
        <f t="array" ref="H20">IFERROR(INDEX(AwayMissionOfficerMatch, MATCH(0,COUNTIF($H$4:H19, AwayMissionOfficerMatch), 0)),"")</f>
        <v/>
      </c>
      <c r="I20" s="350"/>
      <c r="J20" s="350"/>
      <c r="K20" s="161"/>
      <c r="L20" s="386" t="str">
        <f t="shared" si="0"/>
        <v/>
      </c>
      <c r="M20" s="401" t="str">
        <f t="array" aca="1" ref="M20" ca="1">IFERROR(INDEX(TraitOfficers, SMALL(IF(ISNUMBER(MATCH(TraitNames,$N$3, 0)), MATCH(ROW(TraitNames), ROW(TraitNames)), ""), ROWS($A$1:A16)))&amp;" ("&amp;IFERROR(VLOOKUP(IFERROR(INDEX(TraitOfficers, SMALL(IF(ISNUMBER(MATCH(TraitNames,$N$3, 0)), MATCH(ROW(TraitNames), ROW(TraitNames)), ""), ROWS($A$1:A16))),""),TraitFull,(SUMPRODUCT(--(TraitNames=$N$3)*COLUMN(TraitNames))/COUNTIF(TraitNames,$N$3)+1),FALSE),"")&amp;")","")</f>
        <v/>
      </c>
      <c r="N20" s="347"/>
      <c r="O20" s="401" t="str">
        <f t="array" ref="O20">IFERROR(INDEX(AwayMissionsNames, SMALL(IF(ISNUMBER(MATCH(AwayMissionTraitsAll,$N$3, 0)), MATCH(ROW(AwayMissionTraitsAll), ROW(AwayMissionTraitsAll)), ""), ROWS($A$1:A16))),"")</f>
        <v/>
      </c>
      <c r="P20" s="201"/>
      <c r="Q20" s="201"/>
      <c r="R20" s="385" t="str">
        <f t="array" ref="R20">IFERROR(INDEX(AwayMissionsNames, SMALL(IF(ISNUMBER(MATCH(AwayMissionRewardsAll,$S$3, 0)), MATCH(ROW(AwayMissionRewardsAll), ROW(AwayMissionRewardsAll)), ""), ROWS($A$1:A16))),"")</f>
        <v/>
      </c>
      <c r="S20" s="201"/>
      <c r="T20" s="403"/>
      <c r="V20" s="175"/>
      <c r="W20" s="382"/>
      <c r="Y20" s="295"/>
    </row>
    <row r="21" spans="1:25" ht="15.75" customHeight="1" x14ac:dyDescent="0.25">
      <c r="A21" s="176"/>
      <c r="B21" s="180"/>
      <c r="C21" s="426">
        <v>13</v>
      </c>
      <c r="D21" s="427" t="str">
        <f t="shared" ca="1" si="1"/>
        <v>Wesley Crusher</v>
      </c>
      <c r="E21" s="396"/>
      <c r="F21" s="396"/>
      <c r="G21" s="431">
        <f t="shared" ca="1" si="2"/>
        <v>24</v>
      </c>
      <c r="H21" s="161" t="str">
        <f t="array" ref="H21">IFERROR(INDEX(AwayMissionOfficerMatch, MATCH(0,COUNTIF($H$4:H20, AwayMissionOfficerMatch), 0)),"")</f>
        <v/>
      </c>
      <c r="I21" s="350"/>
      <c r="J21" s="350"/>
      <c r="K21" s="161"/>
      <c r="L21" s="386" t="str">
        <f t="shared" si="0"/>
        <v/>
      </c>
      <c r="M21" s="401" t="str">
        <f t="array" aca="1" ref="M21" ca="1">IFERROR(INDEX(TraitOfficers, SMALL(IF(ISNUMBER(MATCH(TraitNames,$N$3, 0)), MATCH(ROW(TraitNames), ROW(TraitNames)), ""), ROWS($A$1:A17)))&amp;" ("&amp;IFERROR(VLOOKUP(IFERROR(INDEX(TraitOfficers, SMALL(IF(ISNUMBER(MATCH(TraitNames,$N$3, 0)), MATCH(ROW(TraitNames), ROW(TraitNames)), ""), ROWS($A$1:A17))),""),TraitFull,(SUMPRODUCT(--(TraitNames=$N$3)*COLUMN(TraitNames))/COUNTIF(TraitNames,$N$3)+1),FALSE),"")&amp;")","")</f>
        <v/>
      </c>
      <c r="N21" s="161"/>
      <c r="O21" s="401" t="str">
        <f t="array" ref="O21">IFERROR(INDEX(AwayMissionsNames, SMALL(IF(ISNUMBER(MATCH(AwayMissionTraitsAll,$N$3, 0)), MATCH(ROW(AwayMissionTraitsAll), ROW(AwayMissionTraitsAll)), ""), ROWS($A$1:A17))),"")</f>
        <v/>
      </c>
      <c r="P21" s="161"/>
      <c r="Q21" s="161"/>
      <c r="R21" s="385" t="str">
        <f t="array" ref="R21">IFERROR(INDEX(AwayMissionsNames, SMALL(IF(ISNUMBER(MATCH(AwayMissionRewardsAll,$S$3, 0)), MATCH(ROW(AwayMissionRewardsAll), ROW(AwayMissionRewardsAll)), ""), ROWS($A$1:A17))),"")</f>
        <v/>
      </c>
      <c r="S21" s="201"/>
      <c r="T21" s="403"/>
      <c r="V21" s="175"/>
      <c r="W21" s="382"/>
      <c r="Y21" s="295"/>
    </row>
    <row r="22" spans="1:25" ht="15.75" customHeight="1" x14ac:dyDescent="0.25">
      <c r="A22" s="176"/>
      <c r="B22" s="177"/>
      <c r="C22" s="426">
        <v>14</v>
      </c>
      <c r="D22" s="427" t="str">
        <f t="shared" ca="1" si="1"/>
        <v>Barot</v>
      </c>
      <c r="E22" s="396"/>
      <c r="F22" s="396"/>
      <c r="G22" s="431">
        <f t="shared" ca="1" si="2"/>
        <v>23</v>
      </c>
      <c r="H22" s="161" t="str">
        <f t="array" ref="H22">IFERROR(INDEX(AwayMissionOfficerMatch, MATCH(0,COUNTIF($H$4:H21, AwayMissionOfficerMatch), 0)),"")</f>
        <v/>
      </c>
      <c r="I22" s="201"/>
      <c r="J22" s="201"/>
      <c r="K22" s="161"/>
      <c r="L22" s="386" t="str">
        <f t="shared" si="0"/>
        <v/>
      </c>
      <c r="M22" s="401" t="str">
        <f t="array" aca="1" ref="M22" ca="1">IFERROR(INDEX(TraitOfficers, SMALL(IF(ISNUMBER(MATCH(TraitNames,$N$3, 0)), MATCH(ROW(TraitNames), ROW(TraitNames)), ""), ROWS($A$1:A18)))&amp;" ("&amp;IFERROR(VLOOKUP(IFERROR(INDEX(TraitOfficers, SMALL(IF(ISNUMBER(MATCH(TraitNames,$N$3, 0)), MATCH(ROW(TraitNames), ROW(TraitNames)), ""), ROWS($A$1:A18))),""),TraitFull,(SUMPRODUCT(--(TraitNames=$N$3)*COLUMN(TraitNames))/COUNTIF(TraitNames,$N$3)+1),FALSE),"")&amp;")","")</f>
        <v/>
      </c>
      <c r="N22" s="161"/>
      <c r="O22" s="401" t="str">
        <f t="array" ref="O22">IFERROR(INDEX(AwayMissionsNames, SMALL(IF(ISNUMBER(MATCH(AwayMissionTraitsAll,$N$3, 0)), MATCH(ROW(AwayMissionTraitsAll), ROW(AwayMissionTraitsAll)), ""), ROWS($A$1:A18))),"")</f>
        <v/>
      </c>
      <c r="P22" s="161"/>
      <c r="Q22" s="161"/>
      <c r="R22" s="385" t="str">
        <f t="array" ref="R22">IFERROR(INDEX(AwayMissionsNames, SMALL(IF(ISNUMBER(MATCH(AwayMissionRewardsAll,$S$3, 0)), MATCH(ROW(AwayMissionRewardsAll), ROW(AwayMissionRewardsAll)), ""), ROWS($A$1:A18))),"")</f>
        <v/>
      </c>
      <c r="S22" s="201"/>
      <c r="T22" s="403"/>
      <c r="V22" s="175"/>
      <c r="W22" s="11" t="s">
        <v>207</v>
      </c>
      <c r="Y22" s="295"/>
    </row>
    <row r="23" spans="1:25" ht="15.75" customHeight="1" thickBot="1" x14ac:dyDescent="0.3">
      <c r="A23" s="176"/>
      <c r="B23" s="177"/>
      <c r="C23" s="426">
        <v>15</v>
      </c>
      <c r="D23" s="427" t="str">
        <f t="shared" ca="1" si="1"/>
        <v>Keenser</v>
      </c>
      <c r="E23" s="396"/>
      <c r="F23" s="396"/>
      <c r="G23" s="431">
        <f t="shared" ca="1" si="2"/>
        <v>23</v>
      </c>
      <c r="H23" s="161" t="str">
        <f t="array" ref="H23">IFERROR(INDEX(AwayMissionOfficerMatch, MATCH(0,COUNTIF($H$4:H22, AwayMissionOfficerMatch), 0)),"")</f>
        <v/>
      </c>
      <c r="I23" s="350"/>
      <c r="J23" s="350"/>
      <c r="K23" s="161"/>
      <c r="L23" s="386" t="str">
        <f t="shared" si="0"/>
        <v/>
      </c>
      <c r="M23" s="401" t="str">
        <f t="array" aca="1" ref="M23" ca="1">IFERROR(INDEX(TraitOfficers, SMALL(IF(ISNUMBER(MATCH(TraitNames,$N$3, 0)), MATCH(ROW(TraitNames), ROW(TraitNames)), ""), ROWS($A$1:A19)))&amp;" ("&amp;IFERROR(VLOOKUP(IFERROR(INDEX(TraitOfficers, SMALL(IF(ISNUMBER(MATCH(TraitNames,$N$3, 0)), MATCH(ROW(TraitNames), ROW(TraitNames)), ""), ROWS($A$1:A19))),""),TraitFull,(SUMPRODUCT(--(TraitNames=$N$3)*COLUMN(TraitNames))/COUNTIF(TraitNames,$N$3)+1),FALSE),"")&amp;")","")</f>
        <v/>
      </c>
      <c r="N23" s="350"/>
      <c r="O23" s="401" t="str">
        <f t="array" ref="O23">IFERROR(INDEX(AwayMissionsNames, SMALL(IF(ISNUMBER(MATCH(AwayMissionTraitsAll,$N$3, 0)), MATCH(ROW(AwayMissionTraitsAll), ROW(AwayMissionTraitsAll)), ""), ROWS($A$1:A19))),"")</f>
        <v/>
      </c>
      <c r="P23" s="350"/>
      <c r="Q23" s="161"/>
      <c r="R23" s="385" t="str">
        <f t="array" ref="R23">IFERROR(INDEX(AwayMissionsNames, SMALL(IF(ISNUMBER(MATCH(AwayMissionRewardsAll,$S$3, 0)), MATCH(ROW(AwayMissionRewardsAll), ROW(AwayMissionRewardsAll)), ""), ROWS($A$1:A19))),"")</f>
        <v/>
      </c>
      <c r="S23" s="350"/>
      <c r="T23" s="406"/>
      <c r="V23" s="178"/>
      <c r="W23" s="179"/>
      <c r="Y23" s="295"/>
    </row>
    <row r="24" spans="1:25" ht="15.75" customHeight="1" thickBot="1" x14ac:dyDescent="0.3">
      <c r="A24" s="173"/>
      <c r="B24" s="174"/>
      <c r="C24" s="426">
        <v>16</v>
      </c>
      <c r="D24" s="427" t="str">
        <f t="shared" ca="1" si="1"/>
        <v>Marla</v>
      </c>
      <c r="E24" s="396"/>
      <c r="F24" s="396"/>
      <c r="G24" s="431">
        <f t="shared" ca="1" si="2"/>
        <v>23</v>
      </c>
      <c r="H24" s="161" t="str">
        <f t="array" ref="H24">IFERROR(INDEX(AwayMissionOfficerMatch, MATCH(0,COUNTIF($H$4:H23, AwayMissionOfficerMatch), 0)),"")</f>
        <v/>
      </c>
      <c r="I24" s="350"/>
      <c r="J24" s="350"/>
      <c r="K24" s="161"/>
      <c r="L24" s="386" t="str">
        <f t="shared" si="0"/>
        <v/>
      </c>
      <c r="M24" s="401" t="str">
        <f t="array" aca="1" ref="M24" ca="1">IFERROR(INDEX(TraitOfficers, SMALL(IF(ISNUMBER(MATCH(TraitNames,$N$3, 0)), MATCH(ROW(TraitNames), ROW(TraitNames)), ""), ROWS($A$1:A20)))&amp;" ("&amp;IFERROR(VLOOKUP(IFERROR(INDEX(TraitOfficers, SMALL(IF(ISNUMBER(MATCH(TraitNames,$N$3, 0)), MATCH(ROW(TraitNames), ROW(TraitNames)), ""), ROWS($A$1:A20))),""),TraitFull,(SUMPRODUCT(--(TraitNames=$N$3)*COLUMN(TraitNames))/COUNTIF(TraitNames,$N$3)+1),FALSE),"")&amp;")","")</f>
        <v/>
      </c>
      <c r="N24" s="350"/>
      <c r="O24" s="401" t="str">
        <f t="array" ref="O24">IFERROR(INDEX(AwayMissionsNames, SMALL(IF(ISNUMBER(MATCH(AwayMissionTraitsAll,$N$3, 0)), MATCH(ROW(AwayMissionTraitsAll), ROW(AwayMissionTraitsAll)), ""), ROWS($A$1:A20))),"")</f>
        <v/>
      </c>
      <c r="P24" s="350"/>
      <c r="Q24" s="161"/>
      <c r="R24" s="385" t="str">
        <f t="array" ref="R24">IFERROR(INDEX(AwayMissionsNames, SMALL(IF(ISNUMBER(MATCH(AwayMissionRewardsAll,$S$3, 0)), MATCH(ROW(AwayMissionRewardsAll), ROW(AwayMissionRewardsAll)), ""), ROWS($A$1:A20))),"")</f>
        <v/>
      </c>
      <c r="S24" s="350"/>
      <c r="T24" s="406"/>
      <c r="V24" s="167"/>
      <c r="W24" s="168"/>
      <c r="Y24" s="295"/>
    </row>
    <row r="25" spans="1:25" ht="17.25" customHeight="1" thickBot="1" x14ac:dyDescent="0.3">
      <c r="A25" s="185"/>
      <c r="B25" s="186"/>
      <c r="C25" s="426">
        <v>17</v>
      </c>
      <c r="D25" s="427" t="str">
        <f t="shared" ca="1" si="1"/>
        <v>Spock</v>
      </c>
      <c r="E25" s="396"/>
      <c r="F25" s="396"/>
      <c r="G25" s="431">
        <f t="shared" ca="1" si="2"/>
        <v>23</v>
      </c>
      <c r="H25" s="161" t="str">
        <f t="array" ref="H25">IFERROR(INDEX(AwayMissionOfficerMatch, MATCH(0,COUNTIF($H$4:H24, AwayMissionOfficerMatch), 0)),"")</f>
        <v/>
      </c>
      <c r="I25" s="350"/>
      <c r="J25" s="350"/>
      <c r="K25" s="161"/>
      <c r="L25" s="386" t="str">
        <f t="shared" si="0"/>
        <v/>
      </c>
      <c r="M25" s="401" t="str">
        <f t="array" aca="1" ref="M25" ca="1">IFERROR(INDEX(TraitOfficers, SMALL(IF(ISNUMBER(MATCH(TraitNames,$N$3, 0)), MATCH(ROW(TraitNames), ROW(TraitNames)), ""), ROWS($A$1:A21)))&amp;" ("&amp;IFERROR(VLOOKUP(IFERROR(INDEX(TraitOfficers, SMALL(IF(ISNUMBER(MATCH(TraitNames,$N$3, 0)), MATCH(ROW(TraitNames), ROW(TraitNames)), ""), ROWS($A$1:A21))),""),TraitFull,(SUMPRODUCT(--(TraitNames=$N$3)*COLUMN(TraitNames))/COUNTIF(TraitNames,$N$3)+1),FALSE),"")&amp;")","")</f>
        <v/>
      </c>
      <c r="N25" s="350"/>
      <c r="O25" s="401" t="str">
        <f t="array" ref="O25">IFERROR(INDEX(AwayMissionsNames, SMALL(IF(ISNUMBER(MATCH(AwayMissionTraitsAll,$N$3, 0)), MATCH(ROW(AwayMissionTraitsAll), ROW(AwayMissionTraitsAll)), ""), ROWS($A$1:A21))),"")</f>
        <v/>
      </c>
      <c r="P25" s="350"/>
      <c r="Q25" s="161"/>
      <c r="R25" s="385" t="str">
        <f t="array" ref="R25">IFERROR(INDEX(AwayMissionsNames, SMALL(IF(ISNUMBER(MATCH(AwayMissionRewardsAll,$S$3, 0)), MATCH(ROW(AwayMissionRewardsAll), ROW(AwayMissionRewardsAll)), ""), ROWS($A$1:A21))),"")</f>
        <v/>
      </c>
      <c r="S25" s="350"/>
      <c r="T25" s="406"/>
      <c r="Y25" s="295"/>
    </row>
    <row r="26" spans="1:25" ht="16.5" customHeight="1" x14ac:dyDescent="0.25">
      <c r="C26" s="426">
        <v>18</v>
      </c>
      <c r="D26" s="432" t="str">
        <f t="shared" ca="1" si="1"/>
        <v>Ten Of Eleven</v>
      </c>
      <c r="E26" s="433"/>
      <c r="F26" s="433"/>
      <c r="G26" s="434">
        <f t="shared" ca="1" si="2"/>
        <v>23</v>
      </c>
      <c r="H26" s="389" t="str">
        <f t="array" ref="H26">IFERROR(INDEX(AwayMissionOfficerMatch, MATCH(0,COUNTIF($H$4:H25, AwayMissionOfficerMatch), 0)),"")</f>
        <v/>
      </c>
      <c r="I26" s="388"/>
      <c r="J26" s="388"/>
      <c r="K26" s="389"/>
      <c r="L26" s="390" t="str">
        <f t="shared" si="0"/>
        <v/>
      </c>
      <c r="M26" s="404" t="str">
        <f t="array" aca="1" ref="M26" ca="1">IFERROR(INDEX(TraitOfficers, SMALL(IF(ISNUMBER(MATCH(TraitNames,$N$3, 0)), MATCH(ROW(TraitNames), ROW(TraitNames)), ""), ROWS($A$1:A22)))&amp;" ("&amp;IFERROR(VLOOKUP(IFERROR(INDEX(TraitOfficers, SMALL(IF(ISNUMBER(MATCH(TraitNames,$N$3, 0)), MATCH(ROW(TraitNames), ROW(TraitNames)), ""), ROWS($A$1:A22))),""),TraitFull,(SUMPRODUCT(--(TraitNames=$N$3)*COLUMN(TraitNames))/COUNTIF(TraitNames,$N$3)+1),FALSE),"")&amp;")","")</f>
        <v/>
      </c>
      <c r="N26" s="388"/>
      <c r="O26" s="404" t="str">
        <f t="array" ref="O26">IFERROR(INDEX(AwayMissionsNames, SMALL(IF(ISNUMBER(MATCH(AwayMissionTraitsAll,$N$3, 0)), MATCH(ROW(AwayMissionTraitsAll), ROW(AwayMissionTraitsAll)), ""), ROWS($A$1:A22))),"")</f>
        <v/>
      </c>
      <c r="P26" s="388"/>
      <c r="Q26" s="389"/>
      <c r="R26" s="387" t="str">
        <f t="array" ref="R26">IFERROR(INDEX(AwayMissionsNames, SMALL(IF(ISNUMBER(MATCH(AwayMissionRewardsAll,$S$3, 0)), MATCH(ROW(AwayMissionRewardsAll), ROW(AwayMissionRewardsAll)), ""), ROWS($A$1:A22))),"")</f>
        <v/>
      </c>
      <c r="S26" s="388"/>
      <c r="T26" s="407"/>
      <c r="Y26" s="295"/>
    </row>
    <row r="27" spans="1:25" ht="8.25" customHeight="1" thickBot="1" x14ac:dyDescent="0.3">
      <c r="Y27" s="295"/>
    </row>
    <row r="28" spans="1:25" s="296" customFormat="1" ht="17.25" customHeight="1" thickBot="1" x14ac:dyDescent="0.3">
      <c r="A28" s="288"/>
      <c r="B28" s="288"/>
      <c r="C28" s="288"/>
      <c r="D28" s="290"/>
      <c r="E28" s="300"/>
      <c r="F28" s="5">
        <v>745.68499999999995</v>
      </c>
      <c r="G28" s="301"/>
      <c r="H28" s="302"/>
      <c r="I28" s="302"/>
      <c r="J28" s="302"/>
      <c r="K28" s="302"/>
      <c r="L28" s="303"/>
      <c r="M28" s="303"/>
      <c r="N28" s="304"/>
      <c r="O28" s="20">
        <v>689.11400000000003</v>
      </c>
      <c r="P28" s="305"/>
      <c r="Q28" s="51" t="s">
        <v>141</v>
      </c>
      <c r="R28" s="306"/>
      <c r="S28" s="307"/>
      <c r="T28" s="308"/>
      <c r="U28" s="309"/>
      <c r="V28" s="295"/>
      <c r="W28" s="295"/>
      <c r="X28" s="295"/>
      <c r="Y28" s="295"/>
    </row>
    <row r="29" spans="1:25" s="296" customFormat="1" ht="6.75" customHeight="1" x14ac:dyDescent="0.25">
      <c r="A29" s="288"/>
      <c r="B29" s="288"/>
      <c r="C29" s="288"/>
      <c r="D29" s="310"/>
      <c r="E29" s="311"/>
      <c r="F29" s="312"/>
      <c r="G29" s="313"/>
      <c r="H29" s="310"/>
      <c r="I29" s="310"/>
      <c r="J29" s="310"/>
      <c r="K29" s="310"/>
      <c r="L29" s="314"/>
      <c r="M29" s="314"/>
      <c r="N29" s="315"/>
      <c r="O29" s="315"/>
      <c r="P29" s="315"/>
      <c r="Q29" s="315"/>
      <c r="R29" s="316"/>
      <c r="S29" s="316"/>
      <c r="T29" s="288"/>
      <c r="U29" s="309"/>
      <c r="V29" s="295"/>
      <c r="W29" s="295"/>
      <c r="X29" s="295"/>
      <c r="Y29" s="295"/>
    </row>
    <row r="30" spans="1:25" s="182" customFormat="1" ht="15.75" customHeight="1" x14ac:dyDescent="0.25">
      <c r="B30" s="183"/>
      <c r="C30" s="183"/>
      <c r="D30" s="183"/>
      <c r="E30" s="318"/>
      <c r="F30" s="318"/>
      <c r="G30" s="318"/>
      <c r="J30" s="318"/>
      <c r="M30" s="318"/>
      <c r="Y30" s="295"/>
    </row>
    <row r="31" spans="1:25" s="182" customFormat="1" ht="15.75" customHeight="1" x14ac:dyDescent="0.25">
      <c r="B31" s="183"/>
      <c r="C31" s="183"/>
      <c r="D31" s="183"/>
      <c r="E31" s="318"/>
      <c r="F31" s="318"/>
      <c r="G31" s="318"/>
      <c r="J31" s="318"/>
      <c r="M31" s="318"/>
      <c r="U31" s="154"/>
      <c r="V31" s="154"/>
      <c r="W31" s="154"/>
      <c r="Y31" s="295"/>
    </row>
    <row r="32" spans="1:25" x14ac:dyDescent="0.25">
      <c r="Y32" s="295"/>
    </row>
    <row r="33" spans="25:25" x14ac:dyDescent="0.25">
      <c r="Y33" s="295"/>
    </row>
    <row r="34" spans="25:25" x14ac:dyDescent="0.25">
      <c r="Y34" s="295"/>
    </row>
    <row r="35" spans="25:25" x14ac:dyDescent="0.25">
      <c r="Y35" s="295"/>
    </row>
    <row r="36" spans="25:25" x14ac:dyDescent="0.25">
      <c r="Y36" s="295"/>
    </row>
    <row r="37" spans="25:25" x14ac:dyDescent="0.25">
      <c r="Y37" s="295"/>
    </row>
    <row r="38" spans="25:25" x14ac:dyDescent="0.25">
      <c r="Y38" s="295"/>
    </row>
    <row r="39" spans="25:25" x14ac:dyDescent="0.25">
      <c r="Y39" s="295"/>
    </row>
    <row r="40" spans="25:25" x14ac:dyDescent="0.25">
      <c r="Y40" s="295"/>
    </row>
    <row r="41" spans="25:25" x14ac:dyDescent="0.25">
      <c r="Y41" s="295"/>
    </row>
    <row r="42" spans="25:25" x14ac:dyDescent="0.25">
      <c r="Y42" s="295"/>
    </row>
    <row r="43" spans="25:25" x14ac:dyDescent="0.25">
      <c r="Y43" s="295"/>
    </row>
    <row r="44" spans="25:25" x14ac:dyDescent="0.25">
      <c r="Y44" s="295"/>
    </row>
    <row r="45" spans="25:25" x14ac:dyDescent="0.25">
      <c r="Y45" s="295"/>
    </row>
    <row r="46" spans="25:25" x14ac:dyDescent="0.25">
      <c r="Y46" s="295"/>
    </row>
    <row r="84" spans="21:23" ht="16.5" x14ac:dyDescent="0.25">
      <c r="U84" s="39"/>
      <c r="V84" s="39"/>
      <c r="W84" s="39"/>
    </row>
  </sheetData>
  <mergeCells count="12">
    <mergeCell ref="S3:T3"/>
    <mergeCell ref="R4:T4"/>
    <mergeCell ref="D3:G3"/>
    <mergeCell ref="E8:F8"/>
    <mergeCell ref="I3:J3"/>
    <mergeCell ref="D5:E5"/>
    <mergeCell ref="D6:E6"/>
    <mergeCell ref="D7:E7"/>
    <mergeCell ref="N3:O3"/>
    <mergeCell ref="K4:L4"/>
    <mergeCell ref="O4:Q4"/>
    <mergeCell ref="M4:N4"/>
  </mergeCells>
  <conditionalFormatting sqref="I23:J26 S23:T26 N23:N26 P23:P26">
    <cfRule type="cellIs" dxfId="31" priority="6" operator="equal">
      <formula>0</formula>
    </cfRule>
  </conditionalFormatting>
  <conditionalFormatting sqref="F5:F7">
    <cfRule type="expression" dxfId="30" priority="1">
      <formula>F5="0"</formula>
    </cfRule>
  </conditionalFormatting>
  <conditionalFormatting sqref="J6">
    <cfRule type="expression" dxfId="29" priority="70">
      <formula>VLOOKUP(J5,RankLookup,3,FALSE) = 0</formula>
    </cfRule>
    <cfRule type="expression" dxfId="28" priority="71">
      <formula>VLOOKUP(J5,RankLookup,3,FALSE) &gt;= VLOOKUP(L3,PSFull,5,FALSE)</formula>
    </cfRule>
  </conditionalFormatting>
  <conditionalFormatting sqref="I6">
    <cfRule type="expression" dxfId="27" priority="90">
      <formula>VLOOKUP(I5,RankLookup,3,FALSE) = 0</formula>
    </cfRule>
    <cfRule type="expression" dxfId="26" priority="91">
      <formula>VLOOKUP(I5,RankLookup,3,FALSE) &gt;= VLOOKUP(J3,PSFull,5,FALSE)</formula>
    </cfRule>
  </conditionalFormatting>
  <conditionalFormatting sqref="M4">
    <cfRule type="expression" dxfId="25" priority="96">
      <formula>VLOOKUP(N3,RankLookup,3,FALSE) = 0</formula>
    </cfRule>
    <cfRule type="expression" dxfId="24" priority="97">
      <formula>VLOOKUP(N3,RankLookup,3,FALSE) &gt;= VLOOKUP(J3,PSFull,7,FALSE)</formula>
    </cfRule>
  </conditionalFormatting>
  <dataValidations count="4">
    <dataValidation type="list" allowBlank="1" showInputMessage="1" showErrorMessage="1" sqref="I3:J3">
      <formula1>TraitOfficers</formula1>
    </dataValidation>
    <dataValidation type="list" allowBlank="1" showInputMessage="1" showErrorMessage="1" sqref="N3:O3">
      <formula1>AwayMissionTraits</formula1>
    </dataValidation>
    <dataValidation type="list" allowBlank="1" showInputMessage="1" showErrorMessage="1" sqref="S3:T3">
      <formula1>AwayMissionRewards</formula1>
    </dataValidation>
    <dataValidation type="list" allowBlank="1" showInputMessage="1" showErrorMessage="1" sqref="E8">
      <formula1>"Top_Officers, Top_Traits"</formula1>
    </dataValidation>
  </dataValidations>
  <pageMargins left="0.7" right="0.7" top="0.75" bottom="0.75" header="0.3" footer="0.3"/>
  <pageSetup paperSize="9" orientation="portrait" horizontalDpi="1200"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5C548"/>
  </sheetPr>
  <dimension ref="A1:AF92"/>
  <sheetViews>
    <sheetView workbookViewId="0">
      <selection activeCell="D5" sqref="D5:G5"/>
    </sheetView>
  </sheetViews>
  <sheetFormatPr defaultRowHeight="15.75" x14ac:dyDescent="0.25"/>
  <cols>
    <col min="1" max="1" width="7.140625" style="154" customWidth="1"/>
    <col min="2" max="2" width="9.140625" style="154" customWidth="1"/>
    <col min="3" max="3" width="11.28515625" style="154" customWidth="1"/>
    <col min="4" max="11" width="10.28515625" style="154" customWidth="1"/>
    <col min="12" max="15" width="15.28515625" style="154" customWidth="1"/>
    <col min="16" max="27" width="5.140625" style="154" customWidth="1"/>
    <col min="28" max="28" width="13.85546875" style="154" customWidth="1"/>
    <col min="29" max="29" width="11.28515625" style="154" customWidth="1"/>
    <col min="30" max="16384" width="9.140625" style="154"/>
  </cols>
  <sheetData>
    <row r="1" spans="1:32" ht="6" customHeight="1" x14ac:dyDescent="0.25"/>
    <row r="2" spans="1:32" s="296" customFormat="1" ht="17.25" customHeight="1" thickBot="1" x14ac:dyDescent="0.3">
      <c r="A2" s="288"/>
      <c r="B2" s="288"/>
      <c r="C2" s="289"/>
      <c r="D2" s="521"/>
      <c r="E2" s="524"/>
      <c r="F2" s="524"/>
      <c r="G2" s="524"/>
      <c r="H2" s="524"/>
      <c r="I2" s="523">
        <v>653.81600000000003</v>
      </c>
      <c r="J2" s="521"/>
      <c r="K2" s="524"/>
      <c r="L2" s="524"/>
      <c r="M2" s="524"/>
      <c r="N2" s="524"/>
      <c r="O2" s="525"/>
      <c r="P2" s="510"/>
      <c r="Q2" s="511"/>
      <c r="R2" s="511"/>
      <c r="S2" s="511"/>
      <c r="T2" s="511"/>
      <c r="U2" s="512"/>
      <c r="V2" s="509"/>
      <c r="W2" s="509"/>
      <c r="X2" s="509"/>
      <c r="Y2" s="509"/>
      <c r="Z2" s="509"/>
      <c r="AA2" s="505"/>
      <c r="AB2" s="295"/>
      <c r="AC2" s="295"/>
      <c r="AD2" s="295"/>
      <c r="AE2" s="295"/>
      <c r="AF2" s="295"/>
    </row>
    <row r="3" spans="1:32" s="296" customFormat="1" ht="19.5" customHeight="1" x14ac:dyDescent="0.25">
      <c r="A3" s="288"/>
      <c r="B3" s="288"/>
      <c r="C3" s="297"/>
      <c r="E3" s="396"/>
      <c r="F3" s="396"/>
      <c r="H3" s="342"/>
      <c r="I3" s="502"/>
      <c r="J3" s="502"/>
      <c r="K3" s="501"/>
      <c r="L3" s="288"/>
      <c r="M3" s="397"/>
      <c r="N3" s="502"/>
      <c r="O3" s="502"/>
      <c r="P3" s="501"/>
      <c r="Q3" s="501"/>
      <c r="R3" s="501"/>
      <c r="S3" s="501"/>
      <c r="T3" s="501"/>
      <c r="U3" s="501"/>
      <c r="V3" s="501"/>
      <c r="W3" s="501"/>
      <c r="X3" s="501"/>
      <c r="Y3" s="501"/>
      <c r="Z3" s="501"/>
      <c r="AA3" s="501"/>
      <c r="AB3" s="298"/>
      <c r="AC3" s="295"/>
      <c r="AD3" s="295"/>
      <c r="AE3" s="295"/>
      <c r="AF3" s="295"/>
    </row>
    <row r="4" spans="1:32" ht="19.5" customHeight="1" thickBot="1" x14ac:dyDescent="0.3">
      <c r="C4" s="161"/>
      <c r="D4" s="396" t="s">
        <v>2053</v>
      </c>
      <c r="G4" s="527"/>
      <c r="H4" s="396" t="s">
        <v>1609</v>
      </c>
      <c r="I4" s="526"/>
      <c r="J4" s="526"/>
      <c r="K4" s="526"/>
      <c r="M4" s="503"/>
      <c r="N4" s="344" t="s">
        <v>1555</v>
      </c>
      <c r="O4" s="503"/>
      <c r="P4" s="396" t="s">
        <v>2152</v>
      </c>
      <c r="Q4" s="503"/>
      <c r="R4" s="503"/>
      <c r="S4" s="503"/>
      <c r="T4" s="502"/>
      <c r="U4" s="502"/>
      <c r="V4" s="502"/>
      <c r="W4" s="502"/>
      <c r="X4" s="502"/>
      <c r="Y4" s="502"/>
      <c r="Z4" s="502"/>
      <c r="AA4" s="502"/>
      <c r="AB4" s="161"/>
      <c r="AF4" s="295"/>
    </row>
    <row r="5" spans="1:32" ht="16.5" customHeight="1" x14ac:dyDescent="0.25">
      <c r="A5" s="155"/>
      <c r="B5" s="494"/>
      <c r="C5" s="709">
        <v>1</v>
      </c>
      <c r="D5" s="703" t="str">
        <f>Migration!X4&amp;""</f>
        <v/>
      </c>
      <c r="E5" s="704"/>
      <c r="F5" s="704"/>
      <c r="G5" s="705"/>
      <c r="H5" s="699" t="str">
        <f>IFERROR(VLOOKUP(D5,AwayMissionsFull,4,FALSE)&amp;"","")</f>
        <v/>
      </c>
      <c r="I5" s="699"/>
      <c r="J5" s="699" t="str">
        <f>IFERROR(VLOOKUP(D5,AwayMissionsFull,5,FALSE)&amp;"","")</f>
        <v/>
      </c>
      <c r="K5" s="699"/>
      <c r="L5" s="699" t="str">
        <f>IFERROR(VLOOKUP(D5,AwayMissionsFull,6,FALSE)&amp;"","")</f>
        <v/>
      </c>
      <c r="M5" s="699"/>
      <c r="N5" s="708" t="str">
        <f>IFERROR(VLOOKUP(D5,AwayMissionsFull,7,FALSE)&amp;"","")</f>
        <v/>
      </c>
      <c r="O5" s="708"/>
      <c r="P5" s="715" t="str">
        <f>Migration!X14&amp;""</f>
        <v/>
      </c>
      <c r="Q5" s="715"/>
      <c r="R5" s="715"/>
      <c r="S5" s="715"/>
      <c r="T5" s="715" t="str">
        <f>Migration!X15&amp;""</f>
        <v/>
      </c>
      <c r="U5" s="715"/>
      <c r="V5" s="715"/>
      <c r="W5" s="715"/>
      <c r="X5" s="715" t="str">
        <f>Migration!X16&amp;""</f>
        <v/>
      </c>
      <c r="Y5" s="715"/>
      <c r="Z5" s="715"/>
      <c r="AA5" s="715"/>
      <c r="AB5" s="161"/>
      <c r="AC5" s="452"/>
      <c r="AD5" s="158"/>
      <c r="AF5" s="295"/>
    </row>
    <row r="6" spans="1:32" ht="16.5" customHeight="1" x14ac:dyDescent="0.25">
      <c r="A6" s="159"/>
      <c r="B6" s="495" t="s">
        <v>1603</v>
      </c>
      <c r="C6" s="709"/>
      <c r="D6" s="713" t="str">
        <f>IFERROR(IF(VLOOKUP(D5,AwayMissionsFull,8,FALSE)&amp;"" &lt;&gt;"",VLOOKUP(D5,AwayMissionsFull,8,FALSE)&amp; " (T"&amp;(SUMPRODUCT(--(TraitNames=VLOOKUP(D5,AwayMissionsFull,8,FALSE))*COLUMN(TraitNames))/COUNTIF(TraitNames,VLOOKUP(D5,AwayMissionsFull,8,FALSE))-1)/3&amp;")",""),"")</f>
        <v/>
      </c>
      <c r="E6" s="713"/>
      <c r="F6" s="714" t="str">
        <f>IFERROR(IF(VLOOKUP(D5,AwayMissionsFull,9,FALSE)&amp;"" &lt;&gt;"",VLOOKUP(D5,AwayMissionsFull,9,FALSE)&amp; " (T"&amp;(SUMPRODUCT(--(TraitNames=VLOOKUP(D5,AwayMissionsFull,9,FALSE))*COLUMN(TraitNames))/COUNTIF(TraitNames,VLOOKUP(D5,AwayMissionsFull,9,FALSE))-1)/3&amp;")",""),"")</f>
        <v/>
      </c>
      <c r="G6" s="714"/>
      <c r="H6" s="708" t="str">
        <f>IFERROR(IF(VLOOKUP(D5,AwayMissionsFull,10,FALSE)&amp;"" &lt;&gt;"",VLOOKUP(D5,AwayMissionsFull,10,FALSE)&amp; " (T"&amp;(SUMPRODUCT(--(TraitNames=VLOOKUP(D5,AwayMissionsFull,10,FALSE))*COLUMN(TraitNames))/COUNTIF(TraitNames,VLOOKUP(D5,AwayMissionsFull,10,FALSE))-1)/3&amp;")",""),"")</f>
        <v/>
      </c>
      <c r="I6" s="708"/>
      <c r="J6" s="699" t="str">
        <f>IFERROR(IF(VLOOKUP(D5,AwayMissionsFull,11,FALSE)&amp;"" &lt;&gt;"",VLOOKUP(D5,AwayMissionsFull,11,FALSE)&amp; " (T"&amp;(SUMPRODUCT(--(TraitNames=VLOOKUP(D5,AwayMissionsFull,11,FALSE))*COLUMN(TraitNames))/COUNTIF(TraitNames,VLOOKUP(D5,AwayMissionsFull,11,FALSE))-1)/3&amp;")",""),"")</f>
        <v/>
      </c>
      <c r="K6" s="699"/>
      <c r="L6" s="558" t="s">
        <v>2163</v>
      </c>
      <c r="M6" s="559">
        <f>IF(ISNUMBER(SEARCH("T1",D6))=TRUE,8000,IF(ISNUMBER(SEARCH("T2",D6))=TRUE,37500,IF(ISNUMBER(SEARCH("T3",D6))=TRUE,323500,0)))+IF(ISNUMBER(SEARCH("T1",F6))=TRUE,8000,IF(ISNUMBER(SEARCH("T2",F6))=TRUE,37500,IF(ISNUMBER(SEARCH("T3",F6))=TRUE,323500,0)))+IF(ISNUMBER(SEARCH("T1",H6))=TRUE,8000,IF(ISNUMBER(SEARCH("T2",H6))=TRUE,37500,IF(ISNUMBER(SEARCH("T3",H6))=TRUE,323500,0)))+IF(ISNUMBER(SEARCH("T1",J6))=TRUE,8000,IF(ISNUMBER(SEARCH("T2",J6))=TRUE,37500,IF(ISNUMBER(SEARCH("T3",J6))=TRUE,323500,0)))</f>
        <v>0</v>
      </c>
      <c r="N6" s="560" t="s">
        <v>2164</v>
      </c>
      <c r="O6" s="561">
        <f>(MAX(IFERROR(VLOOKUP(P7,TraitCosts,4,FALSE),0),IFERROR(VLOOKUP(Q7,TraitCosts,4,FALSE),0),IFERROR(VLOOKUP(R7,TraitCosts,4,FALSE),0),IFERROR(VLOOKUP(S7,TraitCosts,4,FALSE),0))-MAX(IF(P7&lt;&gt;"",IFERROR(VLOOKUP(P6,TraitCosts,4,FALSE),0),0),IF(Q7&lt;&gt;"",IFERROR(VLOOKUP(Q6,TraitCosts,4,FALSE),0),0),IF(R7&lt;&gt;"",IFERROR(VLOOKUP(R6,TraitCosts,4,FALSE),0),0),IF(S7&lt;&gt;"",IFERROR(VLOOKUP(S6,TraitCosts,4,FALSE),0),0)))+(MAX(IFERROR(VLOOKUP(T7,TraitCosts,4,FALSE),0),IFERROR(VLOOKUP(U7,TraitCosts,4,FALSE),0),IFERROR(VLOOKUP(V7,TraitCosts,4,FALSE),0),IFERROR(VLOOKUP(W7,TraitCosts,4,FALSE),0))-MAX(IF(T7&lt;&gt;"",IFERROR(VLOOKUP(T6,TraitCosts,4,FALSE),0),0),IF(U7&lt;&gt;"",IFERROR(VLOOKUP(U6,TraitCosts,4,FALSE),0),0),IF(V7&lt;&gt;"",IFERROR(VLOOKUP(V6,TraitCosts,4,FALSE),0),0),IF(W7&lt;&gt;"",IFERROR(VLOOKUP(W6,TraitCosts,4,FALSE),0),0)))+(MAX(IFERROR(VLOOKUP(X7,TraitCosts,4,FALSE),0),IFERROR(VLOOKUP(Y7,TraitCosts,4,FALSE),0),IFERROR(VLOOKUP(Z7,TraitCosts,4,FALSE),0),IFERROR(VLOOKUP(AA7,TraitCosts,4,FALSE),0))-MAX(IF(X7&lt;&gt;"",IFERROR(VLOOKUP(X6,TraitCosts,4,FALSE),0),0),IF(Y7&lt;&gt;"",IFERROR(VLOOKUP(Y6,TraitCosts,4,FALSE),0),0),IF(Z7&lt;&gt;"",IFERROR(VLOOKUP(Z6,TraitCosts,4,FALSE),0),0),IF(AA7&lt;&gt;"",IFERROR(VLOOKUP(AA6,TraitCosts,4,FALSE),0),0)))</f>
        <v>0</v>
      </c>
      <c r="P6" s="534" t="str">
        <f>IFERROR(IF(D6&lt;&gt;"",IF(VLOOKUP(P5,TraitFull,3,FALSE)=LEFT(D6,LEN(D6)-5),"T1/"&amp;VLOOKUP(P5,TraitFull,5,FALSE),IF(VLOOKUP(P5,TraitFull,6,FALSE)=LEFT(D6,LEN(D6)-5),"T2/"&amp;VLOOKUP(P5,TraitFull,8,FALSE),IF(VLOOKUP(P5,TraitFull,9,FALSE)=LEFT(D6,LEN(D6)-5),"T3/"&amp;VLOOKUP(P5,TraitFull,11,FALSE),""))),""),"")</f>
        <v/>
      </c>
      <c r="Q6" s="535" t="str">
        <f>IFERROR(IF(F6&lt;&gt;"",IF(VLOOKUP(P5,TraitFull,3,FALSE)=LEFT(F6,LEN(F6)-5),"T1/"&amp;VLOOKUP(P5,TraitFull,5,FALSE),IF(VLOOKUP(P5,TraitFull,6,FALSE)=LEFT(F6,LEN(F6)-5),"T2/"&amp;VLOOKUP(P5,TraitFull,8,FALSE),IF(VLOOKUP(P5,TraitFull,9,FALSE)=LEFT(F6,LEN(F6)-5),"T3/"&amp;VLOOKUP(P5,TraitFull,11,FALSE),""))),""),"")</f>
        <v/>
      </c>
      <c r="R6" s="536" t="str">
        <f>IFERROR(IF(H6&lt;&gt;"",IF(VLOOKUP(P5,TraitFull,3,FALSE)=LEFT(H6,LEN(H6)-5),"T1/"&amp;VLOOKUP(P5,TraitFull,5,FALSE),IF(VLOOKUP(P5,TraitFull,6,FALSE)=LEFT(H6,LEN(H6)-5),"T2/"&amp;VLOOKUP(P5,TraitFull,8,FALSE),IF(VLOOKUP(P5,TraitFull,9,FALSE)=LEFT(H6,LEN(H6)-5),"T3/"&amp;VLOOKUP(P5,TraitFull,11,FALSE),""))),""),"")</f>
        <v/>
      </c>
      <c r="S6" s="537" t="str">
        <f>IFERROR(IF(J6&lt;&gt;"",IF(VLOOKUP(P5,TraitFull,3,FALSE)=LEFT(J6,LEN(J6)-5),"T1/"&amp;VLOOKUP(P5,TraitFull,5,FALSE),IF(VLOOKUP(P5,TraitFull,6,FALSE)=LEFT(J6,LEN(J6)-5),"T2/"&amp;VLOOKUP(P5,TraitFull,8,FALSE),IF(VLOOKUP(P5,TraitFull,9,FALSE)=LEFT(J6,LEN(J6)-5),"T3/"&amp;VLOOKUP(P5,TraitFull,11,FALSE),""))),""),"")</f>
        <v/>
      </c>
      <c r="T6" s="538" t="str">
        <f>IFERROR(IF(D6&lt;&gt;"",IF(VLOOKUP(T5,TraitFull,3,FALSE)=LEFT(D6,LEN(D6)-5),"T1/"&amp;VLOOKUP(T5,TraitFull,5,FALSE),IF(VLOOKUP(T5,TraitFull,6,FALSE)=LEFT(D6,LEN(D6)-5),"T2/"&amp;VLOOKUP(T5,TraitFull,8,FALSE),IF(VLOOKUP(T5,TraitFull,9,FALSE)=LEFT(D6,LEN(D6)-5),"T3/"&amp;VLOOKUP(T5,TraitFull,11,FALSE),""))),""),"")</f>
        <v/>
      </c>
      <c r="U6" s="539" t="str">
        <f>IFERROR(IF(F6&lt;&gt;"",IF(VLOOKUP(T5,TraitFull,3,FALSE)=LEFT(F6,LEN(F6)-5),"T1/"&amp;VLOOKUP(T5,TraitFull,5,FALSE),IF(VLOOKUP(T5,TraitFull,6,FALSE)=LEFT(F6,LEN(F6)-5),"T2/"&amp;VLOOKUP(T5,TraitFull,8,FALSE),IF(VLOOKUP(T5,TraitFull,9,FALSE)=LEFT(F6,LEN(F6)-5),"T3/"&amp;VLOOKUP(T5,TraitFull,11,FALSE),""))),""),"")</f>
        <v/>
      </c>
      <c r="V6" s="540" t="str">
        <f>IFERROR(IF(H6&lt;&gt;"",IF(VLOOKUP(T5,TraitFull,3,FALSE)=LEFT(H6,LEN(H6)-5),"T1/"&amp;VLOOKUP(T5,TraitFull,5,FALSE),IF(VLOOKUP(T5,TraitFull,6,FALSE)=LEFT(H6,LEN(H6)-5),"T2/"&amp;VLOOKUP(T5,TraitFull,8,FALSE),IF(VLOOKUP(T5,TraitFull,9,FALSE)=LEFT(H6,LEN(H6)-5),"T3/"&amp;VLOOKUP(T5,TraitFull,11,FALSE),""))),""),"")</f>
        <v/>
      </c>
      <c r="W6" s="541" t="str">
        <f>IFERROR(IF(J6&lt;&gt;"",IF(VLOOKUP(T5,TraitFull,3,FALSE)=LEFT(J6,LEN(J6)-5),"T1/"&amp;VLOOKUP(T5,TraitFull,5,FALSE),IF(VLOOKUP(T5,TraitFull,6,FALSE)=LEFT(J6,LEN(J6)-5),"T2/"&amp;VLOOKUP(T5,TraitFull,8,FALSE),IF(VLOOKUP(T5,TraitFull,9,FALSE)=LEFT(J6,LEN(J6)-5),"T3/"&amp;VLOOKUP(T5,TraitFull,11,FALSE),""))),""),"")</f>
        <v/>
      </c>
      <c r="X6" s="538" t="str">
        <f>IFERROR(IF(D6&lt;&gt;"",IF(VLOOKUP(X5,TraitFull,3,FALSE)=LEFT(D6,LEN(D6)-5),"T1/"&amp;VLOOKUP(X5,TraitFull,5,FALSE),IF(VLOOKUP(X5,TraitFull,6,FALSE)=LEFT(D6,LEN(D6)-5),"T2/"&amp;VLOOKUP(X5,TraitFull,8,FALSE),IF(VLOOKUP(X5,TraitFull,9,FALSE)=LEFT(D6,LEN(D6)-5),"T3/"&amp;VLOOKUP(X5,TraitFull,11,FALSE),""))),""),"")</f>
        <v/>
      </c>
      <c r="Y6" s="539" t="str">
        <f>IFERROR(IF(F6&lt;&gt;"",IF(VLOOKUP(X5,TraitFull,3,FALSE)=LEFT(F6,LEN(F6)-5),"T1/"&amp;VLOOKUP(X5,TraitFull,5,FALSE),IF(VLOOKUP(X5,TraitFull,6,FALSE)=LEFT(F6,LEN(F6)-5),"T2/"&amp;VLOOKUP(X5,TraitFull,8,FALSE),IF(VLOOKUP(X5,TraitFull,9,FALSE)=LEFT(F6,LEN(F6)-5),"T3/"&amp;VLOOKUP(X5,TraitFull,11,FALSE),""))),""),"")</f>
        <v/>
      </c>
      <c r="Z6" s="540" t="str">
        <f>IFERROR(IF(H6&lt;&gt;"",IF(VLOOKUP(X5,TraitFull,3,FALSE)=LEFT(H6,LEN(H6)-5),"T1/"&amp;VLOOKUP(X5,TraitFull,5,FALSE),IF(VLOOKUP(X5,TraitFull,6,FALSE)=LEFT(H6,LEN(H6)-5),"T2/"&amp;VLOOKUP(X5,TraitFull,8,FALSE),IF(VLOOKUP(X5,TraitFull,9,FALSE)=LEFT(H6,LEN(H6)-5),"T3/"&amp;VLOOKUP(X5,TraitFull,11,FALSE),""))),""),"")</f>
        <v/>
      </c>
      <c r="AA6" s="541" t="str">
        <f>IFERROR(IF(J6&lt;&gt;"",IF(VLOOKUP(X5,TraitFull,3,FALSE)=LEFT(J6,LEN(J6)-5),"T1/"&amp;VLOOKUP(X5,TraitFull,5,FALSE),IF(VLOOKUP(X5,TraitFull,6,FALSE)=LEFT(J6,LEN(J6)-5),"T2/"&amp;VLOOKUP(X5,TraitFull,8,FALSE),IF(VLOOKUP(X5,TraitFull,9,FALSE)=LEFT(J6,LEN(J6)-5),"T3/"&amp;VLOOKUP(X5,TraitFull,11,FALSE),""))),""),"")</f>
        <v/>
      </c>
      <c r="AB6" s="161"/>
      <c r="AC6" s="444"/>
      <c r="AD6" s="163"/>
      <c r="AF6" s="295"/>
    </row>
    <row r="7" spans="1:32" ht="16.5" customHeight="1" thickBot="1" x14ac:dyDescent="0.3">
      <c r="A7" s="159"/>
      <c r="B7" s="495" t="s">
        <v>1553</v>
      </c>
      <c r="C7" s="709"/>
      <c r="D7" s="552" t="s">
        <v>2158</v>
      </c>
      <c r="E7" s="552" t="str">
        <f>IFERROR("Min:"&amp;VLOOKUP(D5,AwayMissionsFull,13,FALSE)*100&amp;"%","")</f>
        <v/>
      </c>
      <c r="F7" s="701" t="str">
        <f>IFERROR("Inc. Per Point:"&amp;VLOOKUP(D5,AwayMissionsFull,14,FALSE)*100&amp;"%","")</f>
        <v/>
      </c>
      <c r="G7" s="701"/>
      <c r="H7" s="701" t="str">
        <f>IFERROR("Total Points:"&amp;VLOOKUP(D5,AwayMissionsFull,15,FALSE)&amp;"","")</f>
        <v/>
      </c>
      <c r="I7" s="701"/>
      <c r="J7" s="552" t="str">
        <f>IFERROR("Max:"&amp;VLOOKUP(D5,AwayMissionsFull,16,FALSE)*100&amp;"%","")</f>
        <v/>
      </c>
      <c r="K7" s="553"/>
      <c r="L7" s="554" t="s">
        <v>2160</v>
      </c>
      <c r="M7" s="555" t="str">
        <f>IFERROR((MAX(IFERROR(RIGHT(VLOOKUP(P6,TraitCosts,1,FALSE),1),0),IFERROR(RIGHT(VLOOKUP(T6,TraitCosts,1,FALSE),1),0),IFERROR(RIGHT(VLOOKUP(X6,TraitCosts,1,FALSE),1),0))+MAX(IFERROR(RIGHT(VLOOKUP(Q6,TraitCosts,1,FALSE),1),0),IFERROR(RIGHT(VLOOKUP(U6,TraitCosts,1,FALSE),1),0),IFERROR(RIGHT(VLOOKUP(Y6,TraitCosts,1,FALSE),1),0))+MAX(IFERROR(RIGHT(VLOOKUP(R6,TraitCosts,1,FALSE),1),0),IFERROR(RIGHT(VLOOKUP(V6,TraitCosts,1,FALSE),1),0),IFERROR(RIGHT(VLOOKUP(Z6,TraitCosts,1,FALSE),1),0))+MAX(IFERROR(RIGHT(VLOOKUP(S6,TraitCosts,1,FALSE),1),0),IFERROR(RIGHT(VLOOKUP(W6,TraitCosts,1,FALSE),1),0),IFERROR(RIGHT(VLOOKUP(AA6,TraitCosts,1,FALSE),1),0)))*(IFERROR(VLOOKUP(D5,AwayMissionsFull,14,FALSE),""))+IFERROR(VLOOKUP(D5,AwayMissionsFull,13,FALSE),""),"")</f>
        <v/>
      </c>
      <c r="N7" s="554" t="s">
        <v>2159</v>
      </c>
      <c r="O7" s="555" t="str">
        <f>IFERROR((MAX(IFERROR(RIGHT(VLOOKUP(P6,TraitCosts,1,FALSE),1),0),IFERROR(RIGHT(VLOOKUP(T6,TraitCosts,1,FALSE),1),0),IFERROR(RIGHT(VLOOKUP(X6,TraitCosts,1,FALSE),1),0),IFERROR(RIGHT(VLOOKUP(P7,TraitCosts,1,FALSE),1),0),IFERROR(RIGHT(VLOOKUP(T7,TraitCosts,1,FALSE),1),0),IFERROR(RIGHT(VLOOKUP(X7,TraitCosts,1,FALSE),1),0))+MAX(IFERROR(RIGHT(VLOOKUP(Q6,TraitCosts,1,FALSE),1),0),IFERROR(RIGHT(VLOOKUP(U6,TraitCosts,1,FALSE),1),0),IFERROR(RIGHT(VLOOKUP(Y6,TraitCosts,1,FALSE),1),0),IFERROR(RIGHT(VLOOKUP(Q7,TraitCosts,1,FALSE),1),0),IFERROR(RIGHT(VLOOKUP(U7,TraitCosts,1,FALSE),1),0),IFERROR(RIGHT(VLOOKUP(Y7,TraitCosts,1,FALSE),1),0))+MAX(IFERROR(RIGHT(VLOOKUP(R6,TraitCosts,1,FALSE),1),0),IFERROR(RIGHT(VLOOKUP(V6,TraitCosts,1,FALSE),1),0),IFERROR(RIGHT(VLOOKUP(Z6,TraitCosts,1,FALSE),1),0),IFERROR(RIGHT(VLOOKUP(R7,TraitCosts,1,FALSE),1),0),IFERROR(RIGHT(VLOOKUP(V7,TraitCosts,1,FALSE),1),0),IFERROR(RIGHT(VLOOKUP(Z7,TraitCosts,1,FALSE),1),0))+MAX(IFERROR(RIGHT(VLOOKUP(S6,TraitCosts,1,FALSE),1),0),IFERROR(RIGHT(VLOOKUP(W6,TraitCosts,1,FALSE),1),0),IFERROR(RIGHT(VLOOKUP(AA6,TraitCosts,1,FALSE),1),0),IFERROR(RIGHT(VLOOKUP(S7,TraitCosts,1,FALSE),1),0),IFERROR(RIGHT(VLOOKUP(W7,TraitCosts,1,FALSE),1),0),IFERROR(RIGHT(VLOOKUP(AA7,TraitCosts,1,FALSE),1),0)))*(IFERROR(VLOOKUP(D5,AwayMissionsFull,14,FALSE),""))+IFERROR(VLOOKUP(D5,AwayMissionsFull,13,FALSE),""),"")</f>
        <v/>
      </c>
      <c r="P7" s="569" t="str">
        <f>Migration!Y14&amp;""</f>
        <v/>
      </c>
      <c r="Q7" s="569" t="str">
        <f>Migration!Z14&amp;""</f>
        <v/>
      </c>
      <c r="R7" s="569" t="str">
        <f>Migration!AA14&amp;""</f>
        <v/>
      </c>
      <c r="S7" s="569" t="str">
        <f>Migration!AB14&amp;""</f>
        <v/>
      </c>
      <c r="T7" s="552" t="str">
        <f>Migration!Y15&amp;""</f>
        <v/>
      </c>
      <c r="U7" s="569" t="str">
        <f>Migration!Z15&amp;""</f>
        <v/>
      </c>
      <c r="V7" s="569" t="str">
        <f>Migration!AA15&amp;""</f>
        <v/>
      </c>
      <c r="W7" s="569" t="str">
        <f>Migration!AB15&amp;""</f>
        <v/>
      </c>
      <c r="X7" s="552" t="str">
        <f>Migration!Y16&amp;""</f>
        <v/>
      </c>
      <c r="Y7" s="569" t="str">
        <f>Migration!Z16&amp;""</f>
        <v/>
      </c>
      <c r="Z7" s="569" t="str">
        <f>Migration!AA16&amp;""</f>
        <v/>
      </c>
      <c r="AA7" s="569" t="str">
        <f>Migration!AB16&amp;""</f>
        <v/>
      </c>
      <c r="AB7" s="161"/>
      <c r="AC7" s="444"/>
      <c r="AD7" s="163"/>
      <c r="AF7" s="295"/>
    </row>
    <row r="8" spans="1:32" ht="16.5" x14ac:dyDescent="0.25">
      <c r="A8" s="159"/>
      <c r="B8" s="495" t="s">
        <v>2052</v>
      </c>
      <c r="C8" s="709">
        <v>2</v>
      </c>
      <c r="D8" s="703" t="str">
        <f>Migration!X5&amp;""</f>
        <v/>
      </c>
      <c r="E8" s="704"/>
      <c r="F8" s="704"/>
      <c r="G8" s="704"/>
      <c r="H8" s="700" t="str">
        <f>IFERROR(VLOOKUP(D8,AwayMissionsFull,4,FALSE)&amp;"","")</f>
        <v/>
      </c>
      <c r="I8" s="700"/>
      <c r="J8" s="700" t="str">
        <f>IFERROR(VLOOKUP(D8,AwayMissionsFull,5,FALSE)&amp;"","")</f>
        <v/>
      </c>
      <c r="K8" s="700"/>
      <c r="L8" s="700" t="str">
        <f>IFERROR(VLOOKUP(D8,AwayMissionsFull,6,FALSE)&amp;"","")</f>
        <v/>
      </c>
      <c r="M8" s="700"/>
      <c r="N8" s="710" t="str">
        <f>IFERROR(VLOOKUP(D8,AwayMissionsFull,7,FALSE)&amp;"","")</f>
        <v/>
      </c>
      <c r="O8" s="710"/>
      <c r="P8" s="716" t="str">
        <f>Migration!X17&amp;""</f>
        <v/>
      </c>
      <c r="Q8" s="716"/>
      <c r="R8" s="716"/>
      <c r="S8" s="716"/>
      <c r="T8" s="716" t="str">
        <f>Migration!X18&amp;""</f>
        <v/>
      </c>
      <c r="U8" s="716"/>
      <c r="V8" s="716"/>
      <c r="W8" s="716"/>
      <c r="X8" s="716" t="str">
        <f>Migration!X19&amp;""</f>
        <v/>
      </c>
      <c r="Y8" s="716"/>
      <c r="Z8" s="716"/>
      <c r="AA8" s="716"/>
      <c r="AB8" s="161"/>
      <c r="AC8" s="570"/>
      <c r="AD8" s="571"/>
      <c r="AF8" s="295"/>
    </row>
    <row r="9" spans="1:32" ht="16.5" x14ac:dyDescent="0.25">
      <c r="A9" s="159"/>
      <c r="B9" s="495"/>
      <c r="C9" s="709"/>
      <c r="D9" s="711" t="str">
        <f>IFERROR(IF(VLOOKUP(D8,AwayMissionsFull,8,FALSE)&amp;"" &lt;&gt;"",VLOOKUP(D8,AwayMissionsFull,8,FALSE)&amp; " (T"&amp;(SUMPRODUCT(--(TraitNames=VLOOKUP(D8,AwayMissionsFull,8,FALSE))*COLUMN(TraitNames))/COUNTIF(TraitNames,VLOOKUP(D8,AwayMissionsFull,8,FALSE))-1)/3&amp;")",""),"")</f>
        <v/>
      </c>
      <c r="E9" s="711"/>
      <c r="F9" s="712" t="str">
        <f>IFERROR(IF(VLOOKUP(D8,AwayMissionsFull,9,FALSE)&amp;"" &lt;&gt;"",VLOOKUP(D8,AwayMissionsFull,9,FALSE)&amp; " (T"&amp;(SUMPRODUCT(--(TraitNames=VLOOKUP(D8,AwayMissionsFull,9,FALSE))*COLUMN(TraitNames))/COUNTIF(TraitNames,VLOOKUP(D8,AwayMissionsFull,9,FALSE))-1)/3&amp;")",""),"")</f>
        <v/>
      </c>
      <c r="G9" s="712"/>
      <c r="H9" s="710" t="str">
        <f>IFERROR(IF(VLOOKUP(D8,AwayMissionsFull,10,FALSE)&amp;"" &lt;&gt;"",VLOOKUP(D8,AwayMissionsFull,10,FALSE)&amp; " (T"&amp;(SUMPRODUCT(--(TraitNames=VLOOKUP(D8,AwayMissionsFull,10,FALSE))*COLUMN(TraitNames))/COUNTIF(TraitNames,VLOOKUP(D8,AwayMissionsFull,10,FALSE))-1)/3&amp;")",""),"")</f>
        <v/>
      </c>
      <c r="I9" s="710"/>
      <c r="J9" s="700" t="str">
        <f>IFERROR(IF(VLOOKUP(D8,AwayMissionsFull,11,FALSE)&amp;"" &lt;&gt;"",VLOOKUP(D8,AwayMissionsFull,11,FALSE)&amp; " (T"&amp;(SUMPRODUCT(--(TraitNames=VLOOKUP(D8,AwayMissionsFull,11,FALSE))*COLUMN(TraitNames))/COUNTIF(TraitNames,VLOOKUP(D8,AwayMissionsFull,11,FALSE))-1)/3&amp;")",""),"")</f>
        <v/>
      </c>
      <c r="K9" s="700"/>
      <c r="L9" s="565" t="s">
        <v>2163</v>
      </c>
      <c r="M9" s="566">
        <f>IF(ISNUMBER(SEARCH("T1",D9))=TRUE,8000,IF(ISNUMBER(SEARCH("T2",D9))=TRUE,37500,IF(ISNUMBER(SEARCH("T3",D9))=TRUE,323500,0)))+IF(ISNUMBER(SEARCH("T1",F9))=TRUE,8000,IF(ISNUMBER(SEARCH("T2",F9))=TRUE,37500,IF(ISNUMBER(SEARCH("T3",F9))=TRUE,323500,0)))+IF(ISNUMBER(SEARCH("T1",H9))=TRUE,8000,IF(ISNUMBER(SEARCH("T2",H9))=TRUE,37500,IF(ISNUMBER(SEARCH("T3",H9))=TRUE,323500,0)))+IF(ISNUMBER(SEARCH("T1",J9))=TRUE,8000,IF(ISNUMBER(SEARCH("T2",J9))=TRUE,37500,IF(ISNUMBER(SEARCH("T3",J9))=TRUE,323500,0)))</f>
        <v>0</v>
      </c>
      <c r="N9" s="567" t="s">
        <v>2164</v>
      </c>
      <c r="O9" s="568">
        <f>(MAX(IFERROR(VLOOKUP(P10,TraitCosts,4,FALSE),0),IFERROR(VLOOKUP(Q10,TraitCosts,4,FALSE),0),IFERROR(VLOOKUP(R10,TraitCosts,4,FALSE),0),IFERROR(VLOOKUP(S10,TraitCosts,4,FALSE),0))-MAX(IF(P10&lt;&gt;"",IFERROR(VLOOKUP(P9,TraitCosts,4,FALSE),0),0),IF(Q10&lt;&gt;"",IFERROR(VLOOKUP(Q9,TraitCosts,4,FALSE),0),0),IF(R10&lt;&gt;"",IFERROR(VLOOKUP(R9,TraitCosts,4,FALSE),0),0),IF(S10&lt;&gt;"",IFERROR(VLOOKUP(S9,TraitCosts,4,FALSE),0),0)))+(MAX(IFERROR(VLOOKUP(T10,TraitCosts,4,FALSE),0),IFERROR(VLOOKUP(U10,TraitCosts,4,FALSE),0),IFERROR(VLOOKUP(V10,TraitCosts,4,FALSE),0),IFERROR(VLOOKUP(W10,TraitCosts,4,FALSE),0))-MAX(IF(T10&lt;&gt;"",IFERROR(VLOOKUP(T9,TraitCosts,4,FALSE),0),0),IF(U10&lt;&gt;"",IFERROR(VLOOKUP(U9,TraitCosts,4,FALSE),0),0),IF(V10&lt;&gt;"",IFERROR(VLOOKUP(V9,TraitCosts,4,FALSE),0),0),IF(W10&lt;&gt;"",IFERROR(VLOOKUP(W9,TraitCosts,4,FALSE),0),0)))+(MAX(IFERROR(VLOOKUP(X10,TraitCosts,4,FALSE),0),IFERROR(VLOOKUP(Y10,TraitCosts,4,FALSE),0),IFERROR(VLOOKUP(Z10,TraitCosts,4,FALSE),0),IFERROR(VLOOKUP(AA10,TraitCosts,4,FALSE),0))-MAX(IF(X10&lt;&gt;"",IFERROR(VLOOKUP(X9,TraitCosts,4,FALSE),0),0),IF(Y10&lt;&gt;"",IFERROR(VLOOKUP(Y9,TraitCosts,4,FALSE),0),0),IF(Z10&lt;&gt;"",IFERROR(VLOOKUP(Z9,TraitCosts,4,FALSE),0),0),IF(AA10&lt;&gt;"",IFERROR(VLOOKUP(AA9,TraitCosts,4,FALSE),0),0)))</f>
        <v>0</v>
      </c>
      <c r="P9" s="542" t="str">
        <f>IFERROR(IF(D9&lt;&gt;"",IF(VLOOKUP(P8,TraitFull,3,FALSE)=LEFT(D9,LEN(D9)-5),"T1/"&amp;VLOOKUP(P8,TraitFull,5,FALSE),IF(VLOOKUP(P8,TraitFull,6,FALSE)=LEFT(D9,LEN(D9)-5),"T2/"&amp;VLOOKUP(P8,TraitFull,8,FALSE),IF(VLOOKUP(P8,TraitFull,9,FALSE)=LEFT(D9,LEN(D9)-5),"T3/"&amp;VLOOKUP(P8,TraitFull,11,FALSE),""))),""),"")</f>
        <v/>
      </c>
      <c r="Q9" s="543" t="str">
        <f>IFERROR(IF(F9&lt;&gt;"",IF(VLOOKUP(P8,TraitFull,3,FALSE)=LEFT(F9,LEN(F9)-5),"T1/"&amp;VLOOKUP(P8,TraitFull,5,FALSE),IF(VLOOKUP(P8,TraitFull,6,FALSE)=LEFT(F9,LEN(F9)-5),"T2/"&amp;VLOOKUP(P8,TraitFull,8,FALSE),IF(VLOOKUP(P8,TraitFull,9,FALSE)=LEFT(F9,LEN(F9)-5),"T3/"&amp;VLOOKUP(P8,TraitFull,11,FALSE),""))),""),"")</f>
        <v/>
      </c>
      <c r="R9" s="544" t="str">
        <f>IFERROR(IF(H9&lt;&gt;"",IF(VLOOKUP(P8,TraitFull,3,FALSE)=LEFT(H9,LEN(H9)-5),"T1/"&amp;VLOOKUP(P8,TraitFull,5,FALSE),IF(VLOOKUP(P8,TraitFull,6,FALSE)=LEFT(H9,LEN(H9)-5),"T2/"&amp;VLOOKUP(P8,TraitFull,8,FALSE),IF(VLOOKUP(P8,TraitFull,9,FALSE)=LEFT(H9,LEN(H9)-5),"T3/"&amp;VLOOKUP(P8,TraitFull,11,FALSE),""))),""),"")</f>
        <v/>
      </c>
      <c r="S9" s="545" t="str">
        <f>IFERROR(IF(J9&lt;&gt;"",IF(VLOOKUP(P8,TraitFull,3,FALSE)=LEFT(J9,LEN(J9)-5),"T1/"&amp;VLOOKUP(P8,TraitFull,5,FALSE),IF(VLOOKUP(P8,TraitFull,6,FALSE)=LEFT(J9,LEN(J9)-5),"T2/"&amp;VLOOKUP(P8,TraitFull,8,FALSE),IF(VLOOKUP(P8,TraitFull,9,FALSE)=LEFT(J9,LEN(J9)-5),"T3/"&amp;VLOOKUP(P8,TraitFull,11,FALSE),""))),""),"")</f>
        <v/>
      </c>
      <c r="T9" s="546" t="str">
        <f>IFERROR(IF(D9&lt;&gt;"",IF(VLOOKUP(T8,TraitFull,3,FALSE)=LEFT(D9,LEN(D9)-5),"T1/"&amp;VLOOKUP(T8,TraitFull,5,FALSE),IF(VLOOKUP(T8,TraitFull,6,FALSE)=LEFT(D9,LEN(D9)-5),"T2/"&amp;VLOOKUP(T8,TraitFull,8,FALSE),IF(VLOOKUP(T8,TraitFull,9,FALSE)=LEFT(D9,LEN(D9)-5),"T3/"&amp;VLOOKUP(T8,TraitFull,11,FALSE),""))),""),"")</f>
        <v/>
      </c>
      <c r="U9" s="547" t="str">
        <f>IFERROR(IF(F9&lt;&gt;"",IF(VLOOKUP(T8,TraitFull,3,FALSE)=LEFT(F9,LEN(F9)-5),"T1/"&amp;VLOOKUP(T8,TraitFull,5,FALSE),IF(VLOOKUP(T8,TraitFull,6,FALSE)=LEFT(F9,LEN(F9)-5),"T2/"&amp;VLOOKUP(T8,TraitFull,8,FALSE),IF(VLOOKUP(T8,TraitFull,9,FALSE)=LEFT(F9,LEN(F9)-5),"T3/"&amp;VLOOKUP(T8,TraitFull,11,FALSE),""))),""),"")</f>
        <v/>
      </c>
      <c r="V9" s="548" t="str">
        <f>IFERROR(IF(H9&lt;&gt;"",IF(VLOOKUP(T8,TraitFull,3,FALSE)=LEFT(H9,LEN(H9)-5),"T1/"&amp;VLOOKUP(T8,TraitFull,5,FALSE),IF(VLOOKUP(T8,TraitFull,6,FALSE)=LEFT(H9,LEN(H9)-5),"T2/"&amp;VLOOKUP(T8,TraitFull,8,FALSE),IF(VLOOKUP(T8,TraitFull,9,FALSE)=LEFT(H9,LEN(H9)-5),"T3/"&amp;VLOOKUP(T8,TraitFull,11,FALSE),""))),""),"")</f>
        <v/>
      </c>
      <c r="W9" s="549" t="str">
        <f>IFERROR(IF(J9&lt;&gt;"",IF(VLOOKUP(T8,TraitFull,3,FALSE)=LEFT(J9,LEN(J9)-5),"T1/"&amp;VLOOKUP(T8,TraitFull,5,FALSE),IF(VLOOKUP(T8,TraitFull,6,FALSE)=LEFT(J9,LEN(J9)-5),"T2/"&amp;VLOOKUP(T8,TraitFull,8,FALSE),IF(VLOOKUP(T8,TraitFull,9,FALSE)=LEFT(J9,LEN(J9)-5),"T3/"&amp;VLOOKUP(T8,TraitFull,11,FALSE),""))),""),"")</f>
        <v/>
      </c>
      <c r="X9" s="546" t="str">
        <f>IFERROR(IF(D9&lt;&gt;"",IF(VLOOKUP(X8,TraitFull,3,FALSE)=LEFT(D9,LEN(D9)-5),"T1/"&amp;VLOOKUP(X8,TraitFull,5,FALSE),IF(VLOOKUP(X8,TraitFull,6,FALSE)=LEFT(D9,LEN(D9)-5),"T2/"&amp;VLOOKUP(X8,TraitFull,8,FALSE),IF(VLOOKUP(X8,TraitFull,9,FALSE)=LEFT(D9,LEN(D9)-5),"T3/"&amp;VLOOKUP(X8,TraitFull,11,FALSE),""))),""),"")</f>
        <v/>
      </c>
      <c r="Y9" s="547" t="str">
        <f>IFERROR(IF(F9&lt;&gt;"",IF(VLOOKUP(X8,TraitFull,3,FALSE)=LEFT(F9,LEN(F9)-5),"T1/"&amp;VLOOKUP(X8,TraitFull,5,FALSE),IF(VLOOKUP(X8,TraitFull,6,FALSE)=LEFT(F9,LEN(F9)-5),"T2/"&amp;VLOOKUP(X8,TraitFull,8,FALSE),IF(VLOOKUP(X8,TraitFull,9,FALSE)=LEFT(F9,LEN(F9)-5),"T3/"&amp;VLOOKUP(X8,TraitFull,11,FALSE),""))),""),"")</f>
        <v/>
      </c>
      <c r="Z9" s="548" t="str">
        <f>IFERROR(IF(H9&lt;&gt;"",IF(VLOOKUP(X8,TraitFull,3,FALSE)=LEFT(H9,LEN(H9)-5),"T1/"&amp;VLOOKUP(X8,TraitFull,5,FALSE),IF(VLOOKUP(X8,TraitFull,6,FALSE)=LEFT(H9,LEN(H9)-5),"T2/"&amp;VLOOKUP(X8,TraitFull,8,FALSE),IF(VLOOKUP(X8,TraitFull,9,FALSE)=LEFT(H9,LEN(H9)-5),"T3/"&amp;VLOOKUP(X8,TraitFull,11,FALSE),""))),""),"")</f>
        <v/>
      </c>
      <c r="AA9" s="549" t="str">
        <f>IFERROR(IF(J9&lt;&gt;"",IF(VLOOKUP(X8,TraitFull,3,FALSE)=LEFT(J9,LEN(J9)-5),"T1/"&amp;VLOOKUP(X8,TraitFull,5,FALSE),IF(VLOOKUP(X8,TraitFull,6,FALSE)=LEFT(J9,LEN(J9)-5),"T2/"&amp;VLOOKUP(X8,TraitFull,8,FALSE),IF(VLOOKUP(X8,TraitFull,9,FALSE)=LEFT(J9,LEN(J9)-5),"T3/"&amp;VLOOKUP(X8,TraitFull,11,FALSE),""))),""),"")</f>
        <v/>
      </c>
      <c r="AB9" s="161"/>
      <c r="AC9" s="572"/>
      <c r="AD9" s="573"/>
      <c r="AF9" s="295"/>
    </row>
    <row r="10" spans="1:32" ht="17.25" thickBot="1" x14ac:dyDescent="0.3">
      <c r="A10" s="159"/>
      <c r="B10" s="495"/>
      <c r="C10" s="709"/>
      <c r="D10" s="557" t="s">
        <v>2158</v>
      </c>
      <c r="E10" s="557" t="str">
        <f>IFERROR("Min:"&amp;VLOOKUP(D8,AwayMissionsFull,13,FALSE)*100&amp;"%","")</f>
        <v/>
      </c>
      <c r="F10" s="702" t="str">
        <f>IFERROR("Inc. Per Point:"&amp;VLOOKUP(D8,AwayMissionsFull,14,FALSE)*100&amp;"%","")</f>
        <v/>
      </c>
      <c r="G10" s="702"/>
      <c r="H10" s="702" t="str">
        <f>IFERROR("Total Points:"&amp;VLOOKUP(D8,AwayMissionsFull,15,FALSE)&amp;"","")</f>
        <v/>
      </c>
      <c r="I10" s="702"/>
      <c r="J10" s="557" t="str">
        <f>IFERROR("Max:"&amp;VLOOKUP(D8,AwayMissionsFull,16,FALSE)*100&amp;"%","")</f>
        <v/>
      </c>
      <c r="K10" s="562"/>
      <c r="L10" s="563" t="s">
        <v>2160</v>
      </c>
      <c r="M10" s="564" t="str">
        <f>IFERROR((MAX(IFERROR(RIGHT(VLOOKUP(P9,TraitCosts,1,FALSE),1),0),IFERROR(RIGHT(VLOOKUP(T9,TraitCosts,1,FALSE),1),0),IFERROR(RIGHT(VLOOKUP(X9,TraitCosts,1,FALSE),1),0))+MAX(IFERROR(RIGHT(VLOOKUP(Q9,TraitCosts,1,FALSE),1),0),IFERROR(RIGHT(VLOOKUP(U9,TraitCosts,1,FALSE),1),0),IFERROR(RIGHT(VLOOKUP(Y9,TraitCosts,1,FALSE),1),0))+MAX(IFERROR(RIGHT(VLOOKUP(R9,TraitCosts,1,FALSE),1),0),IFERROR(RIGHT(VLOOKUP(V9,TraitCosts,1,FALSE),1),0),IFERROR(RIGHT(VLOOKUP(Z9,TraitCosts,1,FALSE),1),0))+MAX(IFERROR(RIGHT(VLOOKUP(S9,TraitCosts,1,FALSE),1),0),IFERROR(RIGHT(VLOOKUP(W9,TraitCosts,1,FALSE),1),0),IFERROR(RIGHT(VLOOKUP(AA9,TraitCosts,1,FALSE),1),0)))*(IFERROR(VLOOKUP(D8,AwayMissionsFull,14,FALSE),""))+IFERROR(VLOOKUP(D8,AwayMissionsFull,13,FALSE),""),"")</f>
        <v/>
      </c>
      <c r="N10" s="563" t="s">
        <v>2159</v>
      </c>
      <c r="O10" s="564" t="str">
        <f>IFERROR((MAX(IFERROR(RIGHT(VLOOKUP(P9,TraitCosts,1,FALSE),1),0),IFERROR(RIGHT(VLOOKUP(T9,TraitCosts,1,FALSE),1),0),IFERROR(RIGHT(VLOOKUP(X9,TraitCosts,1,FALSE),1),0),IFERROR(RIGHT(VLOOKUP(P10,TraitCosts,1,FALSE),1),0),IFERROR(RIGHT(VLOOKUP(T10,TraitCosts,1,FALSE),1),0),IFERROR(RIGHT(VLOOKUP(X10,TraitCosts,1,FALSE),1),0))+MAX(IFERROR(RIGHT(VLOOKUP(Q9,TraitCosts,1,FALSE),1),0),IFERROR(RIGHT(VLOOKUP(U9,TraitCosts,1,FALSE),1),0),IFERROR(RIGHT(VLOOKUP(Y9,TraitCosts,1,FALSE),1),0),IFERROR(RIGHT(VLOOKUP(Q10,TraitCosts,1,FALSE),1),0),IFERROR(RIGHT(VLOOKUP(U10,TraitCosts,1,FALSE),1),0),IFERROR(RIGHT(VLOOKUP(Y10,TraitCosts,1,FALSE),1),0))+MAX(IFERROR(RIGHT(VLOOKUP(R9,TraitCosts,1,FALSE),1),0),IFERROR(RIGHT(VLOOKUP(V9,TraitCosts,1,FALSE),1),0),IFERROR(RIGHT(VLOOKUP(Z9,TraitCosts,1,FALSE),1),0),IFERROR(RIGHT(VLOOKUP(R10,TraitCosts,1,FALSE),1),0),IFERROR(RIGHT(VLOOKUP(V10,TraitCosts,1,FALSE),1),0),IFERROR(RIGHT(VLOOKUP(Z10,TraitCosts,1,FALSE),1),0))+MAX(IFERROR(RIGHT(VLOOKUP(S9,TraitCosts,1,FALSE),1),0),IFERROR(RIGHT(VLOOKUP(W9,TraitCosts,1,FALSE),1),0),IFERROR(RIGHT(VLOOKUP(AA9,TraitCosts,1,FALSE),1),0),IFERROR(RIGHT(VLOOKUP(S10,TraitCosts,1,FALSE),1),0),IFERROR(RIGHT(VLOOKUP(W10,TraitCosts,1,FALSE),1),0),IFERROR(RIGHT(VLOOKUP(AA10,TraitCosts,1,FALSE),1),0)))*(IFERROR(VLOOKUP(D8,AwayMissionsFull,14,FALSE),""))+IFERROR(VLOOKUP(D8,AwayMissionsFull,13,FALSE),""),"")</f>
        <v/>
      </c>
      <c r="P10" s="556" t="str">
        <f>Migration!Y17&amp;""</f>
        <v/>
      </c>
      <c r="Q10" s="556" t="str">
        <f>Migration!Z17&amp;""</f>
        <v/>
      </c>
      <c r="R10" s="556" t="str">
        <f>Migration!AA17&amp;""</f>
        <v/>
      </c>
      <c r="S10" s="556" t="str">
        <f>Migration!AB17&amp;""</f>
        <v/>
      </c>
      <c r="T10" s="557" t="str">
        <f>Migration!Y18&amp;""</f>
        <v/>
      </c>
      <c r="U10" s="556" t="str">
        <f>Migration!Z18&amp;""</f>
        <v/>
      </c>
      <c r="V10" s="556" t="str">
        <f>Migration!AA18&amp;""</f>
        <v/>
      </c>
      <c r="W10" s="556" t="str">
        <f>Migration!AB18&amp;""</f>
        <v/>
      </c>
      <c r="X10" s="557" t="str">
        <f>Migration!Y19&amp;""</f>
        <v/>
      </c>
      <c r="Y10" s="556" t="str">
        <f>Migration!Z19&amp;""</f>
        <v/>
      </c>
      <c r="Z10" s="556" t="str">
        <f>Migration!AA19&amp;""</f>
        <v/>
      </c>
      <c r="AA10" s="556" t="str">
        <f>Migration!AB19&amp;""</f>
        <v/>
      </c>
      <c r="AB10" s="161"/>
      <c r="AC10" s="574"/>
      <c r="AD10" s="575"/>
      <c r="AF10" s="295"/>
    </row>
    <row r="11" spans="1:32" ht="16.5" customHeight="1" thickBot="1" x14ac:dyDescent="0.3">
      <c r="A11" s="169"/>
      <c r="B11" s="496"/>
      <c r="C11" s="709">
        <v>3</v>
      </c>
      <c r="D11" s="706" t="str">
        <f>Migration!X6&amp;""</f>
        <v/>
      </c>
      <c r="E11" s="707"/>
      <c r="F11" s="707"/>
      <c r="G11" s="707"/>
      <c r="H11" s="699" t="str">
        <f>IFERROR(VLOOKUP(D11,AwayMissionsFull,4,FALSE)&amp;"","")</f>
        <v/>
      </c>
      <c r="I11" s="699"/>
      <c r="J11" s="699" t="str">
        <f>IFERROR(VLOOKUP(D11,AwayMissionsFull,5,FALSE)&amp;"","")</f>
        <v/>
      </c>
      <c r="K11" s="699"/>
      <c r="L11" s="699" t="str">
        <f>IFERROR(VLOOKUP(D11,AwayMissionsFull,6,FALSE)&amp;"","")</f>
        <v/>
      </c>
      <c r="M11" s="699"/>
      <c r="N11" s="708" t="str">
        <f>IFERROR(VLOOKUP(D11,AwayMissionsFull,7,FALSE)&amp;"","")</f>
        <v/>
      </c>
      <c r="O11" s="708"/>
      <c r="P11" s="717" t="str">
        <f>Migration!X20&amp;""</f>
        <v/>
      </c>
      <c r="Q11" s="717"/>
      <c r="R11" s="717"/>
      <c r="S11" s="717"/>
      <c r="T11" s="717" t="str">
        <f>Migration!X21&amp;""</f>
        <v/>
      </c>
      <c r="U11" s="717"/>
      <c r="V11" s="717"/>
      <c r="W11" s="717"/>
      <c r="X11" s="717" t="str">
        <f>Migration!X22&amp;""</f>
        <v/>
      </c>
      <c r="Y11" s="717"/>
      <c r="Z11" s="717"/>
      <c r="AA11" s="717"/>
      <c r="AB11" s="161"/>
      <c r="AC11" s="448"/>
      <c r="AD11" s="382"/>
      <c r="AF11" s="295"/>
    </row>
    <row r="12" spans="1:32" ht="16.5" customHeight="1" x14ac:dyDescent="0.25">
      <c r="A12" s="159"/>
      <c r="B12" s="497"/>
      <c r="C12" s="709"/>
      <c r="D12" s="713" t="str">
        <f>IFERROR(IF(VLOOKUP(D11,AwayMissionsFull,8,FALSE)&amp;"" &lt;&gt;"",VLOOKUP(D11,AwayMissionsFull,8,FALSE)&amp; " (T"&amp;(SUMPRODUCT(--(TraitNames=VLOOKUP(D11,AwayMissionsFull,8,FALSE))*COLUMN(TraitNames))/COUNTIF(TraitNames,VLOOKUP(D11,AwayMissionsFull,8,FALSE))-1)/3&amp;")",""),"")</f>
        <v/>
      </c>
      <c r="E12" s="713"/>
      <c r="F12" s="714" t="str">
        <f>IFERROR(IF(VLOOKUP(D11,AwayMissionsFull,9,FALSE)&amp;"" &lt;&gt;"",VLOOKUP(D11,AwayMissionsFull,9,FALSE)&amp; " (T"&amp;(SUMPRODUCT(--(TraitNames=VLOOKUP(D11,AwayMissionsFull,9,FALSE))*COLUMN(TraitNames))/COUNTIF(TraitNames,VLOOKUP(D11,AwayMissionsFull,9,FALSE))-1)/3&amp;")",""),"")</f>
        <v/>
      </c>
      <c r="G12" s="714"/>
      <c r="H12" s="708" t="str">
        <f>IFERROR(IF(VLOOKUP(D11,AwayMissionsFull,10,FALSE)&amp;"" &lt;&gt;"",VLOOKUP(D11,AwayMissionsFull,10,FALSE)&amp; " (T"&amp;(SUMPRODUCT(--(TraitNames=VLOOKUP(D11,AwayMissionsFull,10,FALSE))*COLUMN(TraitNames))/COUNTIF(TraitNames,VLOOKUP(D11,AwayMissionsFull,10,FALSE))-1)/3&amp;")",""),"")</f>
        <v/>
      </c>
      <c r="I12" s="708"/>
      <c r="J12" s="699" t="str">
        <f>IFERROR(IF(VLOOKUP(D11,AwayMissionsFull,11,FALSE)&amp;"" &lt;&gt;"",VLOOKUP(D11,AwayMissionsFull,11,FALSE)&amp; " (T"&amp;(SUMPRODUCT(--(TraitNames=VLOOKUP(D11,AwayMissionsFull,11,FALSE))*COLUMN(TraitNames))/COUNTIF(TraitNames,VLOOKUP(D11,AwayMissionsFull,11,FALSE))-1)/3&amp;")",""),"")</f>
        <v/>
      </c>
      <c r="K12" s="699"/>
      <c r="L12" s="558" t="s">
        <v>2163</v>
      </c>
      <c r="M12" s="559">
        <f>IF(ISNUMBER(SEARCH("T1",D12))=TRUE,8000,IF(ISNUMBER(SEARCH("T2",D12))=TRUE,37500,IF(ISNUMBER(SEARCH("T3",D12))=TRUE,323500,0)))+IF(ISNUMBER(SEARCH("T1",F12))=TRUE,8000,IF(ISNUMBER(SEARCH("T2",F12))=TRUE,37500,IF(ISNUMBER(SEARCH("T3",F12))=TRUE,323500,0)))+IF(ISNUMBER(SEARCH("T1",H12))=TRUE,8000,IF(ISNUMBER(SEARCH("T2",H12))=TRUE,37500,IF(ISNUMBER(SEARCH("T3",H12))=TRUE,323500,0)))+IF(ISNUMBER(SEARCH("T1",J12))=TRUE,8000,IF(ISNUMBER(SEARCH("T2",J12))=TRUE,37500,IF(ISNUMBER(SEARCH("T3",J12))=TRUE,323500,0)))</f>
        <v>0</v>
      </c>
      <c r="N12" s="560" t="s">
        <v>2164</v>
      </c>
      <c r="O12" s="561">
        <f>(MAX(IFERROR(VLOOKUP(P13,TraitCosts,4,FALSE),0),IFERROR(VLOOKUP(Q13,TraitCosts,4,FALSE),0),IFERROR(VLOOKUP(R13,TraitCosts,4,FALSE),0),IFERROR(VLOOKUP(S13,TraitCosts,4,FALSE),0))-MAX(IF(P13&lt;&gt;"",IFERROR(VLOOKUP(P12,TraitCosts,4,FALSE),0),0),IF(Q13&lt;&gt;"",IFERROR(VLOOKUP(Q12,TraitCosts,4,FALSE),0),0),IF(R13&lt;&gt;"",IFERROR(VLOOKUP(R12,TraitCosts,4,FALSE),0),0),IF(S13&lt;&gt;"",IFERROR(VLOOKUP(S12,TraitCosts,4,FALSE),0),0)))+(MAX(IFERROR(VLOOKUP(T13,TraitCosts,4,FALSE),0),IFERROR(VLOOKUP(U13,TraitCosts,4,FALSE),0),IFERROR(VLOOKUP(V13,TraitCosts,4,FALSE),0),IFERROR(VLOOKUP(W13,TraitCosts,4,FALSE),0))-MAX(IF(T13&lt;&gt;"",IFERROR(VLOOKUP(T12,TraitCosts,4,FALSE),0),0),IF(U13&lt;&gt;"",IFERROR(VLOOKUP(U12,TraitCosts,4,FALSE),0),0),IF(V13&lt;&gt;"",IFERROR(VLOOKUP(V12,TraitCosts,4,FALSE),0),0),IF(W13&lt;&gt;"",IFERROR(VLOOKUP(W12,TraitCosts,4,FALSE),0),0)))+(MAX(IFERROR(VLOOKUP(X13,TraitCosts,4,FALSE),0),IFERROR(VLOOKUP(Y13,TraitCosts,4,FALSE),0),IFERROR(VLOOKUP(Z13,TraitCosts,4,FALSE),0),IFERROR(VLOOKUP(AA13,TraitCosts,4,FALSE),0))-MAX(IF(X13&lt;&gt;"",IFERROR(VLOOKUP(X12,TraitCosts,4,FALSE),0),0),IF(Y13&lt;&gt;"",IFERROR(VLOOKUP(Y12,TraitCosts,4,FALSE),0),0),IF(Z13&lt;&gt;"",IFERROR(VLOOKUP(Z12,TraitCosts,4,FALSE),0),0),IF(AA13&lt;&gt;"",IFERROR(VLOOKUP(AA12,TraitCosts,4,FALSE),0),0)))</f>
        <v>0</v>
      </c>
      <c r="P12" s="534" t="str">
        <f>IFERROR(IF(D12&lt;&gt;"",IF(VLOOKUP(P11,TraitFull,3,FALSE)=LEFT(D12,LEN(D12)-5),"T1/"&amp;VLOOKUP(P11,TraitFull,5,FALSE),IF(VLOOKUP(P11,TraitFull,6,FALSE)=LEFT(D12,LEN(D12)-5),"T2/"&amp;VLOOKUP(P11,TraitFull,8,FALSE),IF(VLOOKUP(P11,TraitFull,9,FALSE)=LEFT(D12,LEN(D12)-5),"T3/"&amp;VLOOKUP(P11,TraitFull,11,FALSE),""))),""),"")</f>
        <v/>
      </c>
      <c r="Q12" s="535" t="str">
        <f>IFERROR(IF(F12&lt;&gt;"",IF(VLOOKUP(P11,TraitFull,3,FALSE)=LEFT(F12,LEN(F12)-5),"T1/"&amp;VLOOKUP(P11,TraitFull,5,FALSE),IF(VLOOKUP(P11,TraitFull,6,FALSE)=LEFT(F12,LEN(F12)-5),"T2/"&amp;VLOOKUP(P11,TraitFull,8,FALSE),IF(VLOOKUP(P11,TraitFull,9,FALSE)=LEFT(F12,LEN(F12)-5),"T3/"&amp;VLOOKUP(P11,TraitFull,11,FALSE),""))),""),"")</f>
        <v/>
      </c>
      <c r="R12" s="536" t="str">
        <f>IFERROR(IF(H12&lt;&gt;"",IF(VLOOKUP(P11,TraitFull,3,FALSE)=LEFT(H12,LEN(H12)-5),"T1/"&amp;VLOOKUP(P11,TraitFull,5,FALSE),IF(VLOOKUP(P11,TraitFull,6,FALSE)=LEFT(H12,LEN(H12)-5),"T2/"&amp;VLOOKUP(P11,TraitFull,8,FALSE),IF(VLOOKUP(P11,TraitFull,9,FALSE)=LEFT(H12,LEN(H12)-5),"T3/"&amp;VLOOKUP(P11,TraitFull,11,FALSE),""))),""),"")</f>
        <v/>
      </c>
      <c r="S12" s="537" t="str">
        <f>IFERROR(IF(J12&lt;&gt;"",IF(VLOOKUP(P11,TraitFull,3,FALSE)=LEFT(J12,LEN(J12)-5),"T1/"&amp;VLOOKUP(P11,TraitFull,5,FALSE),IF(VLOOKUP(P11,TraitFull,6,FALSE)=LEFT(J12,LEN(J12)-5),"T2/"&amp;VLOOKUP(P11,TraitFull,8,FALSE),IF(VLOOKUP(P11,TraitFull,9,FALSE)=LEFT(J12,LEN(J12)-5),"T3/"&amp;VLOOKUP(P11,TraitFull,11,FALSE),""))),""),"")</f>
        <v/>
      </c>
      <c r="T12" s="538" t="str">
        <f>IFERROR(IF(D12&lt;&gt;"",IF(VLOOKUP(T11,TraitFull,3,FALSE)=LEFT(D12,LEN(D12)-5),"T1/"&amp;VLOOKUP(T11,TraitFull,5,FALSE),IF(VLOOKUP(T11,TraitFull,6,FALSE)=LEFT(D12,LEN(D12)-5),"T2/"&amp;VLOOKUP(T11,TraitFull,8,FALSE),IF(VLOOKUP(T11,TraitFull,9,FALSE)=LEFT(D12,LEN(D12)-5),"T3/"&amp;VLOOKUP(T11,TraitFull,11,FALSE),""))),""),"")</f>
        <v/>
      </c>
      <c r="U12" s="539" t="str">
        <f>IFERROR(IF(F12&lt;&gt;"",IF(VLOOKUP(T11,TraitFull,3,FALSE)=LEFT(F12,LEN(F12)-5),"T1/"&amp;VLOOKUP(T11,TraitFull,5,FALSE),IF(VLOOKUP(T11,TraitFull,6,FALSE)=LEFT(F12,LEN(F12)-5),"T2/"&amp;VLOOKUP(T11,TraitFull,8,FALSE),IF(VLOOKUP(T11,TraitFull,9,FALSE)=LEFT(F12,LEN(F12)-5),"T3/"&amp;VLOOKUP(T11,TraitFull,11,FALSE),""))),""),"")</f>
        <v/>
      </c>
      <c r="V12" s="540" t="str">
        <f>IFERROR(IF(H12&lt;&gt;"",IF(VLOOKUP(T11,TraitFull,3,FALSE)=LEFT(H12,LEN(H12)-5),"T1/"&amp;VLOOKUP(T11,TraitFull,5,FALSE),IF(VLOOKUP(T11,TraitFull,6,FALSE)=LEFT(H12,LEN(H12)-5),"T2/"&amp;VLOOKUP(T11,TraitFull,8,FALSE),IF(VLOOKUP(T11,TraitFull,9,FALSE)=LEFT(H12,LEN(H12)-5),"T3/"&amp;VLOOKUP(T11,TraitFull,11,FALSE),""))),""),"")</f>
        <v/>
      </c>
      <c r="W12" s="541" t="str">
        <f>IFERROR(IF(J12&lt;&gt;"",IF(VLOOKUP(T11,TraitFull,3,FALSE)=LEFT(J12,LEN(J12)-5),"T1/"&amp;VLOOKUP(T11,TraitFull,5,FALSE),IF(VLOOKUP(T11,TraitFull,6,FALSE)=LEFT(J12,LEN(J12)-5),"T2/"&amp;VLOOKUP(T11,TraitFull,8,FALSE),IF(VLOOKUP(T11,TraitFull,9,FALSE)=LEFT(J12,LEN(J12)-5),"T3/"&amp;VLOOKUP(T11,TraitFull,11,FALSE),""))),""),"")</f>
        <v/>
      </c>
      <c r="X12" s="538" t="str">
        <f>IFERROR(IF(D12&lt;&gt;"",IF(VLOOKUP(X11,TraitFull,3,FALSE)=LEFT(D12,LEN(D12)-5),"T1/"&amp;VLOOKUP(X11,TraitFull,5,FALSE),IF(VLOOKUP(X11,TraitFull,6,FALSE)=LEFT(D12,LEN(D12)-5),"T2/"&amp;VLOOKUP(X11,TraitFull,8,FALSE),IF(VLOOKUP(X11,TraitFull,9,FALSE)=LEFT(D12,LEN(D12)-5),"T3/"&amp;VLOOKUP(X11,TraitFull,11,FALSE),""))),""),"")</f>
        <v/>
      </c>
      <c r="Y12" s="539" t="str">
        <f>IFERROR(IF(F12&lt;&gt;"",IF(VLOOKUP(X11,TraitFull,3,FALSE)=LEFT(F12,LEN(F12)-5),"T1/"&amp;VLOOKUP(X11,TraitFull,5,FALSE),IF(VLOOKUP(X11,TraitFull,6,FALSE)=LEFT(F12,LEN(F12)-5),"T2/"&amp;VLOOKUP(X11,TraitFull,8,FALSE),IF(VLOOKUP(X11,TraitFull,9,FALSE)=LEFT(F12,LEN(F12)-5),"T3/"&amp;VLOOKUP(X11,TraitFull,11,FALSE),""))),""),"")</f>
        <v/>
      </c>
      <c r="Z12" s="540" t="str">
        <f>IFERROR(IF(H12&lt;&gt;"",IF(VLOOKUP(X11,TraitFull,3,FALSE)=LEFT(H12,LEN(H12)-5),"T1/"&amp;VLOOKUP(X11,TraitFull,5,FALSE),IF(VLOOKUP(X11,TraitFull,6,FALSE)=LEFT(H12,LEN(H12)-5),"T2/"&amp;VLOOKUP(X11,TraitFull,8,FALSE),IF(VLOOKUP(X11,TraitFull,9,FALSE)=LEFT(H12,LEN(H12)-5),"T3/"&amp;VLOOKUP(X11,TraitFull,11,FALSE),""))),""),"")</f>
        <v/>
      </c>
      <c r="AA12" s="541" t="str">
        <f>IFERROR(IF(J12&lt;&gt;"",IF(VLOOKUP(X11,TraitFull,3,FALSE)=LEFT(J12,LEN(J12)-5),"T1/"&amp;VLOOKUP(X11,TraitFull,5,FALSE),IF(VLOOKUP(X11,TraitFull,6,FALSE)=LEFT(J12,LEN(J12)-5),"T2/"&amp;VLOOKUP(X11,TraitFull,8,FALSE),IF(VLOOKUP(X11,TraitFull,9,FALSE)=LEFT(J12,LEN(J12)-5),"T3/"&amp;VLOOKUP(X11,TraitFull,11,FALSE),""))),""),"")</f>
        <v/>
      </c>
      <c r="AB12" s="161"/>
      <c r="AC12" s="448"/>
      <c r="AD12" s="382"/>
      <c r="AF12" s="295"/>
    </row>
    <row r="13" spans="1:32" ht="16.5" customHeight="1" x14ac:dyDescent="0.25">
      <c r="A13" s="159"/>
      <c r="B13" s="497"/>
      <c r="C13" s="709"/>
      <c r="D13" s="552" t="s">
        <v>2158</v>
      </c>
      <c r="E13" s="552" t="str">
        <f>IFERROR("Min:"&amp;VLOOKUP(D11,AwayMissionsFull,13,FALSE)*100&amp;"%","")</f>
        <v/>
      </c>
      <c r="F13" s="701" t="str">
        <f>IFERROR("Inc. Per Point:"&amp;VLOOKUP(D11,AwayMissionsFull,14,FALSE)*100&amp;"%","")</f>
        <v/>
      </c>
      <c r="G13" s="701"/>
      <c r="H13" s="701" t="str">
        <f>IFERROR("Total Points:"&amp;VLOOKUP(D11,AwayMissionsFull,15,FALSE)&amp;"","")</f>
        <v/>
      </c>
      <c r="I13" s="701"/>
      <c r="J13" s="552" t="str">
        <f>IFERROR("Max:"&amp;VLOOKUP(D11,AwayMissionsFull,16,FALSE)*100&amp;"%","")</f>
        <v/>
      </c>
      <c r="K13" s="553"/>
      <c r="L13" s="554" t="s">
        <v>2160</v>
      </c>
      <c r="M13" s="555" t="str">
        <f>IFERROR((MAX(IFERROR(RIGHT(VLOOKUP(P12,TraitCosts,1,FALSE),1),0),IFERROR(RIGHT(VLOOKUP(T12,TraitCosts,1,FALSE),1),0),IFERROR(RIGHT(VLOOKUP(X12,TraitCosts,1,FALSE),1),0))+MAX(IFERROR(RIGHT(VLOOKUP(Q12,TraitCosts,1,FALSE),1),0),IFERROR(RIGHT(VLOOKUP(U12,TraitCosts,1,FALSE),1),0),IFERROR(RIGHT(VLOOKUP(Y12,TraitCosts,1,FALSE),1),0))+MAX(IFERROR(RIGHT(VLOOKUP(R12,TraitCosts,1,FALSE),1),0),IFERROR(RIGHT(VLOOKUP(V12,TraitCosts,1,FALSE),1),0),IFERROR(RIGHT(VLOOKUP(Z12,TraitCosts,1,FALSE),1),0))+MAX(IFERROR(RIGHT(VLOOKUP(S12,TraitCosts,1,FALSE),1),0),IFERROR(RIGHT(VLOOKUP(W12,TraitCosts,1,FALSE),1),0),IFERROR(RIGHT(VLOOKUP(AA12,TraitCosts,1,FALSE),1),0)))*(IFERROR(VLOOKUP(D11,AwayMissionsFull,14,FALSE),""))+IFERROR(VLOOKUP(D11,AwayMissionsFull,13,FALSE),""),"")</f>
        <v/>
      </c>
      <c r="N13" s="554" t="s">
        <v>2159</v>
      </c>
      <c r="O13" s="555" t="str">
        <f>IFERROR((MAX(IFERROR(RIGHT(VLOOKUP(P12,TraitCosts,1,FALSE),1),0),IFERROR(RIGHT(VLOOKUP(T12,TraitCosts,1,FALSE),1),0),IFERROR(RIGHT(VLOOKUP(X12,TraitCosts,1,FALSE),1),0),IFERROR(RIGHT(VLOOKUP(P13,TraitCosts,1,FALSE),1),0),IFERROR(RIGHT(VLOOKUP(T13,TraitCosts,1,FALSE),1),0),IFERROR(RIGHT(VLOOKUP(X13,TraitCosts,1,FALSE),1),0))+MAX(IFERROR(RIGHT(VLOOKUP(Q12,TraitCosts,1,FALSE),1),0),IFERROR(RIGHT(VLOOKUP(U12,TraitCosts,1,FALSE),1),0),IFERROR(RIGHT(VLOOKUP(Y12,TraitCosts,1,FALSE),1),0),IFERROR(RIGHT(VLOOKUP(Q13,TraitCosts,1,FALSE),1),0),IFERROR(RIGHT(VLOOKUP(U13,TraitCosts,1,FALSE),1),0),IFERROR(RIGHT(VLOOKUP(Y13,TraitCosts,1,FALSE),1),0))+MAX(IFERROR(RIGHT(VLOOKUP(R12,TraitCosts,1,FALSE),1),0),IFERROR(RIGHT(VLOOKUP(V12,TraitCosts,1,FALSE),1),0),IFERROR(RIGHT(VLOOKUP(Z12,TraitCosts,1,FALSE),1),0),IFERROR(RIGHT(VLOOKUP(R13,TraitCosts,1,FALSE),1),0),IFERROR(RIGHT(VLOOKUP(V13,TraitCosts,1,FALSE),1),0),IFERROR(RIGHT(VLOOKUP(Z13,TraitCosts,1,FALSE),1),0))+MAX(IFERROR(RIGHT(VLOOKUP(S12,TraitCosts,1,FALSE),1),0),IFERROR(RIGHT(VLOOKUP(W12,TraitCosts,1,FALSE),1),0),IFERROR(RIGHT(VLOOKUP(AA12,TraitCosts,1,FALSE),1),0),IFERROR(RIGHT(VLOOKUP(S13,TraitCosts,1,FALSE),1),0),IFERROR(RIGHT(VLOOKUP(W13,TraitCosts,1,FALSE),1),0),IFERROR(RIGHT(VLOOKUP(AA13,TraitCosts,1,FALSE),1),0)))*(IFERROR(VLOOKUP(D11,AwayMissionsFull,14,FALSE),""))+IFERROR(VLOOKUP(D11,AwayMissionsFull,13,FALSE),""),"")</f>
        <v/>
      </c>
      <c r="P13" s="569" t="str">
        <f>Migration!Y20&amp;""</f>
        <v/>
      </c>
      <c r="Q13" s="569" t="str">
        <f>Migration!Z20&amp;""</f>
        <v/>
      </c>
      <c r="R13" s="569" t="str">
        <f>Migration!AA20&amp;""</f>
        <v/>
      </c>
      <c r="S13" s="569" t="str">
        <f>Migration!AB20&amp;""</f>
        <v/>
      </c>
      <c r="T13" s="552" t="str">
        <f>Migration!Y21&amp;""</f>
        <v/>
      </c>
      <c r="U13" s="569" t="str">
        <f>Migration!Z21&amp;""</f>
        <v/>
      </c>
      <c r="V13" s="569" t="str">
        <f>Migration!AA21&amp;""</f>
        <v/>
      </c>
      <c r="W13" s="569" t="str">
        <f>Migration!AB21&amp;""</f>
        <v/>
      </c>
      <c r="X13" s="552" t="str">
        <f>Migration!Y22&amp;""</f>
        <v/>
      </c>
      <c r="Y13" s="569" t="str">
        <f>Migration!Z22&amp;""</f>
        <v/>
      </c>
      <c r="Z13" s="569" t="str">
        <f>Migration!AA22&amp;""</f>
        <v/>
      </c>
      <c r="AA13" s="569" t="str">
        <f>Migration!AB22&amp;""</f>
        <v/>
      </c>
      <c r="AB13" s="161"/>
      <c r="AC13" s="448"/>
      <c r="AD13" s="382"/>
      <c r="AF13" s="295"/>
    </row>
    <row r="14" spans="1:32" ht="16.5" customHeight="1" x14ac:dyDescent="0.25">
      <c r="A14" s="159"/>
      <c r="B14" s="497"/>
      <c r="C14" s="709">
        <v>4</v>
      </c>
      <c r="D14" s="703" t="str">
        <f>Migration!X7&amp;""</f>
        <v/>
      </c>
      <c r="E14" s="704"/>
      <c r="F14" s="704"/>
      <c r="G14" s="704"/>
      <c r="H14" s="700" t="str">
        <f>IFERROR(VLOOKUP(D14,AwayMissionsFull,4,FALSE)&amp;"","")</f>
        <v/>
      </c>
      <c r="I14" s="700"/>
      <c r="J14" s="700" t="str">
        <f>IFERROR(VLOOKUP(D14,AwayMissionsFull,5,FALSE)&amp;"","")</f>
        <v/>
      </c>
      <c r="K14" s="700"/>
      <c r="L14" s="700" t="str">
        <f>IFERROR(VLOOKUP(D14,AwayMissionsFull,6,FALSE)&amp;"","")</f>
        <v/>
      </c>
      <c r="M14" s="700"/>
      <c r="N14" s="710" t="str">
        <f>IFERROR(VLOOKUP(D14,AwayMissionsFull,7,FALSE)&amp;"","")</f>
        <v/>
      </c>
      <c r="O14" s="710"/>
      <c r="P14" s="716"/>
      <c r="Q14" s="716"/>
      <c r="R14" s="716"/>
      <c r="S14" s="716"/>
      <c r="T14" s="716" t="str">
        <f>Migration!X24&amp;""</f>
        <v/>
      </c>
      <c r="U14" s="716"/>
      <c r="V14" s="716"/>
      <c r="W14" s="716"/>
      <c r="X14" s="716" t="str">
        <f>Migration!X25&amp;""</f>
        <v/>
      </c>
      <c r="Y14" s="716"/>
      <c r="Z14" s="716"/>
      <c r="AA14" s="716"/>
      <c r="AB14" s="161"/>
      <c r="AC14" s="448"/>
      <c r="AD14" s="382"/>
      <c r="AF14" s="295"/>
    </row>
    <row r="15" spans="1:32" ht="16.5" customHeight="1" x14ac:dyDescent="0.25">
      <c r="A15" s="159"/>
      <c r="B15" s="497"/>
      <c r="C15" s="709"/>
      <c r="D15" s="711" t="str">
        <f>IFERROR(IF(VLOOKUP(D14,AwayMissionsFull,8,FALSE)&amp;"" &lt;&gt;"",VLOOKUP(D14,AwayMissionsFull,8,FALSE)&amp; " (T"&amp;(SUMPRODUCT(--(TraitNames=VLOOKUP(D14,AwayMissionsFull,8,FALSE))*COLUMN(TraitNames))/COUNTIF(TraitNames,VLOOKUP(D14,AwayMissionsFull,8,FALSE))-1)/3&amp;")",""),"")</f>
        <v/>
      </c>
      <c r="E15" s="711"/>
      <c r="F15" s="712" t="str">
        <f>IFERROR(IF(VLOOKUP(D14,AwayMissionsFull,9,FALSE)&amp;"" &lt;&gt;"",VLOOKUP(D14,AwayMissionsFull,9,FALSE)&amp; " (T"&amp;(SUMPRODUCT(--(TraitNames=VLOOKUP(D14,AwayMissionsFull,9,FALSE))*COLUMN(TraitNames))/COUNTIF(TraitNames,VLOOKUP(D14,AwayMissionsFull,9,FALSE))-1)/3&amp;")",""),"")</f>
        <v/>
      </c>
      <c r="G15" s="712"/>
      <c r="H15" s="710" t="str">
        <f>IFERROR(IF(VLOOKUP(D14,AwayMissionsFull,10,FALSE)&amp;"" &lt;&gt;"",VLOOKUP(D14,AwayMissionsFull,10,FALSE)&amp; " (T"&amp;(SUMPRODUCT(--(TraitNames=VLOOKUP(D14,AwayMissionsFull,10,FALSE))*COLUMN(TraitNames))/COUNTIF(TraitNames,VLOOKUP(D14,AwayMissionsFull,10,FALSE))-1)/3&amp;")",""),"")</f>
        <v/>
      </c>
      <c r="I15" s="710"/>
      <c r="J15" s="700" t="str">
        <f>IFERROR(IF(VLOOKUP(D14,AwayMissionsFull,11,FALSE)&amp;"" &lt;&gt;"",VLOOKUP(D14,AwayMissionsFull,11,FALSE)&amp; " (T"&amp;(SUMPRODUCT(--(TraitNames=VLOOKUP(D14,AwayMissionsFull,11,FALSE))*COLUMN(TraitNames))/COUNTIF(TraitNames,VLOOKUP(D14,AwayMissionsFull,11,FALSE))-1)/3&amp;")",""),"")</f>
        <v/>
      </c>
      <c r="K15" s="700"/>
      <c r="L15" s="565" t="s">
        <v>2163</v>
      </c>
      <c r="M15" s="566">
        <f>IF(ISNUMBER(SEARCH("T1",D15))=TRUE,8000,IF(ISNUMBER(SEARCH("T2",D15))=TRUE,37500,IF(ISNUMBER(SEARCH("T3",D15))=TRUE,323500,0)))+IF(ISNUMBER(SEARCH("T1",F15))=TRUE,8000,IF(ISNUMBER(SEARCH("T2",F15))=TRUE,37500,IF(ISNUMBER(SEARCH("T3",F15))=TRUE,323500,0)))+IF(ISNUMBER(SEARCH("T1",H15))=TRUE,8000,IF(ISNUMBER(SEARCH("T2",H15))=TRUE,37500,IF(ISNUMBER(SEARCH("T3",H15))=TRUE,323500,0)))+IF(ISNUMBER(SEARCH("T1",J15))=TRUE,8000,IF(ISNUMBER(SEARCH("T2",J15))=TRUE,37500,IF(ISNUMBER(SEARCH("T3",J15))=TRUE,323500,0)))</f>
        <v>0</v>
      </c>
      <c r="N15" s="567" t="s">
        <v>2164</v>
      </c>
      <c r="O15" s="568">
        <f>(MAX(IFERROR(VLOOKUP(P16,TraitCosts,4,FALSE),0),IFERROR(VLOOKUP(Q16,TraitCosts,4,FALSE),0),IFERROR(VLOOKUP(R16,TraitCosts,4,FALSE),0),IFERROR(VLOOKUP(S16,TraitCosts,4,FALSE),0))-MAX(IF(P16&lt;&gt;"",IFERROR(VLOOKUP(P15,TraitCosts,4,FALSE),0),0),IF(Q16&lt;&gt;"",IFERROR(VLOOKUP(Q15,TraitCosts,4,FALSE),0),0),IF(R16&lt;&gt;"",IFERROR(VLOOKUP(R15,TraitCosts,4,FALSE),0),0),IF(S16&lt;&gt;"",IFERROR(VLOOKUP(S15,TraitCosts,4,FALSE),0),0)))+(MAX(IFERROR(VLOOKUP(T16,TraitCosts,4,FALSE),0),IFERROR(VLOOKUP(U16,TraitCosts,4,FALSE),0),IFERROR(VLOOKUP(V16,TraitCosts,4,FALSE),0),IFERROR(VLOOKUP(W16,TraitCosts,4,FALSE),0))-MAX(IF(T16&lt;&gt;"",IFERROR(VLOOKUP(T15,TraitCosts,4,FALSE),0),0),IF(U16&lt;&gt;"",IFERROR(VLOOKUP(U15,TraitCosts,4,FALSE),0),0),IF(V16&lt;&gt;"",IFERROR(VLOOKUP(V15,TraitCosts,4,FALSE),0),0),IF(W16&lt;&gt;"",IFERROR(VLOOKUP(W15,TraitCosts,4,FALSE),0),0)))+(MAX(IFERROR(VLOOKUP(X16,TraitCosts,4,FALSE),0),IFERROR(VLOOKUP(Y16,TraitCosts,4,FALSE),0),IFERROR(VLOOKUP(Z16,TraitCosts,4,FALSE),0),IFERROR(VLOOKUP(AA16,TraitCosts,4,FALSE),0))-MAX(IF(X16&lt;&gt;"",IFERROR(VLOOKUP(X15,TraitCosts,4,FALSE),0),0),IF(Y16&lt;&gt;"",IFERROR(VLOOKUP(Y15,TraitCosts,4,FALSE),0),0),IF(Z16&lt;&gt;"",IFERROR(VLOOKUP(Z15,TraitCosts,4,FALSE),0),0),IF(AA16&lt;&gt;"",IFERROR(VLOOKUP(AA15,TraitCosts,4,FALSE),0),0)))</f>
        <v>0</v>
      </c>
      <c r="P15" s="542" t="str">
        <f>IFERROR(IF(D15&lt;&gt;"",IF(VLOOKUP(P14,TraitFull,3,FALSE)=LEFT(D15,LEN(D15)-5),"T1/"&amp;VLOOKUP(P14,TraitFull,5,FALSE),IF(VLOOKUP(P14,TraitFull,6,FALSE)=LEFT(D15,LEN(D15)-5),"T2/"&amp;VLOOKUP(P14,TraitFull,8,FALSE),IF(VLOOKUP(P14,TraitFull,9,FALSE)=LEFT(D15,LEN(D15)-5),"T3/"&amp;VLOOKUP(P14,TraitFull,11,FALSE),""))),""),"")</f>
        <v/>
      </c>
      <c r="Q15" s="543" t="str">
        <f>IFERROR(IF(F15&lt;&gt;"",IF(VLOOKUP(P14,TraitFull,3,FALSE)=LEFT(F15,LEN(F15)-5),"T1/"&amp;VLOOKUP(P14,TraitFull,5,FALSE),IF(VLOOKUP(P14,TraitFull,6,FALSE)=LEFT(F15,LEN(F15)-5),"T2/"&amp;VLOOKUP(P14,TraitFull,8,FALSE),IF(VLOOKUP(P14,TraitFull,9,FALSE)=LEFT(F15,LEN(F15)-5),"T3/"&amp;VLOOKUP(P14,TraitFull,11,FALSE),""))),""),"")</f>
        <v/>
      </c>
      <c r="R15" s="544" t="str">
        <f>IFERROR(IF(H15&lt;&gt;"",IF(VLOOKUP(P14,TraitFull,3,FALSE)=LEFT(H15,LEN(H15)-5),"T1/"&amp;VLOOKUP(P14,TraitFull,5,FALSE),IF(VLOOKUP(P14,TraitFull,6,FALSE)=LEFT(H15,LEN(H15)-5),"T2/"&amp;VLOOKUP(P14,TraitFull,8,FALSE),IF(VLOOKUP(P14,TraitFull,9,FALSE)=LEFT(H15,LEN(H15)-5),"T3/"&amp;VLOOKUP(P14,TraitFull,11,FALSE),""))),""),"")</f>
        <v/>
      </c>
      <c r="S15" s="545" t="str">
        <f>IFERROR(IF(J15&lt;&gt;"",IF(VLOOKUP(P14,TraitFull,3,FALSE)=LEFT(J15,LEN(J15)-5),"T1/"&amp;VLOOKUP(P14,TraitFull,5,FALSE),IF(VLOOKUP(P14,TraitFull,6,FALSE)=LEFT(J15,LEN(J15)-5),"T2/"&amp;VLOOKUP(P14,TraitFull,8,FALSE),IF(VLOOKUP(P14,TraitFull,9,FALSE)=LEFT(J15,LEN(J15)-5),"T3/"&amp;VLOOKUP(P14,TraitFull,11,FALSE),""))),""),"")</f>
        <v/>
      </c>
      <c r="T15" s="546" t="str">
        <f>IFERROR(IF(D15&lt;&gt;"",IF(VLOOKUP(T14,TraitFull,3,FALSE)=LEFT(D15,LEN(D15)-5),"T1/"&amp;VLOOKUP(T14,TraitFull,5,FALSE),IF(VLOOKUP(T14,TraitFull,6,FALSE)=LEFT(D15,LEN(D15)-5),"T2/"&amp;VLOOKUP(T14,TraitFull,8,FALSE),IF(VLOOKUP(T14,TraitFull,9,FALSE)=LEFT(D15,LEN(D15)-5),"T3/"&amp;VLOOKUP(T14,TraitFull,11,FALSE),""))),""),"")</f>
        <v/>
      </c>
      <c r="U15" s="547" t="str">
        <f>IFERROR(IF(F15&lt;&gt;"",IF(VLOOKUP(T14,TraitFull,3,FALSE)=LEFT(F15,LEN(F15)-5),"T1/"&amp;VLOOKUP(T14,TraitFull,5,FALSE),IF(VLOOKUP(T14,TraitFull,6,FALSE)=LEFT(F15,LEN(F15)-5),"T2/"&amp;VLOOKUP(T14,TraitFull,8,FALSE),IF(VLOOKUP(T14,TraitFull,9,FALSE)=LEFT(F15,LEN(F15)-5),"T3/"&amp;VLOOKUP(T14,TraitFull,11,FALSE),""))),""),"")</f>
        <v/>
      </c>
      <c r="V15" s="548" t="str">
        <f>IFERROR(IF(H15&lt;&gt;"",IF(VLOOKUP(T14,TraitFull,3,FALSE)=LEFT(H15,LEN(H15)-5),"T1/"&amp;VLOOKUP(T14,TraitFull,5,FALSE),IF(VLOOKUP(T14,TraitFull,6,FALSE)=LEFT(H15,LEN(H15)-5),"T2/"&amp;VLOOKUP(T14,TraitFull,8,FALSE),IF(VLOOKUP(T14,TraitFull,9,FALSE)=LEFT(H15,LEN(H15)-5),"T3/"&amp;VLOOKUP(T14,TraitFull,11,FALSE),""))),""),"")</f>
        <v/>
      </c>
      <c r="W15" s="549" t="str">
        <f>IFERROR(IF(J15&lt;&gt;"",IF(VLOOKUP(T14,TraitFull,3,FALSE)=LEFT(J15,LEN(J15)-5),"T1/"&amp;VLOOKUP(T14,TraitFull,5,FALSE),IF(VLOOKUP(T14,TraitFull,6,FALSE)=LEFT(J15,LEN(J15)-5),"T2/"&amp;VLOOKUP(T14,TraitFull,8,FALSE),IF(VLOOKUP(T14,TraitFull,9,FALSE)=LEFT(J15,LEN(J15)-5),"T3/"&amp;VLOOKUP(T14,TraitFull,11,FALSE),""))),""),"")</f>
        <v/>
      </c>
      <c r="X15" s="546" t="str">
        <f>IFERROR(IF(D15&lt;&gt;"",IF(VLOOKUP(X14,TraitFull,3,FALSE)=LEFT(D15,LEN(D15)-5),"T1/"&amp;VLOOKUP(X14,TraitFull,5,FALSE),IF(VLOOKUP(X14,TraitFull,6,FALSE)=LEFT(D15,LEN(D15)-5),"T2/"&amp;VLOOKUP(X14,TraitFull,8,FALSE),IF(VLOOKUP(X14,TraitFull,9,FALSE)=LEFT(D15,LEN(D15)-5),"T3/"&amp;VLOOKUP(X14,TraitFull,11,FALSE),""))),""),"")</f>
        <v/>
      </c>
      <c r="Y15" s="547" t="str">
        <f>IFERROR(IF(F15&lt;&gt;"",IF(VLOOKUP(X14,TraitFull,3,FALSE)=LEFT(F15,LEN(F15)-5),"T1/"&amp;VLOOKUP(X14,TraitFull,5,FALSE),IF(VLOOKUP(X14,TraitFull,6,FALSE)=LEFT(F15,LEN(F15)-5),"T2/"&amp;VLOOKUP(X14,TraitFull,8,FALSE),IF(VLOOKUP(X14,TraitFull,9,FALSE)=LEFT(F15,LEN(F15)-5),"T3/"&amp;VLOOKUP(X14,TraitFull,11,FALSE),""))),""),"")</f>
        <v/>
      </c>
      <c r="Z15" s="548" t="str">
        <f>IFERROR(IF(H15&lt;&gt;"",IF(VLOOKUP(X14,TraitFull,3,FALSE)=LEFT(H15,LEN(H15)-5),"T1/"&amp;VLOOKUP(X14,TraitFull,5,FALSE),IF(VLOOKUP(X14,TraitFull,6,FALSE)=LEFT(H15,LEN(H15)-5),"T2/"&amp;VLOOKUP(X14,TraitFull,8,FALSE),IF(VLOOKUP(X14,TraitFull,9,FALSE)=LEFT(H15,LEN(H15)-5),"T3/"&amp;VLOOKUP(X14,TraitFull,11,FALSE),""))),""),"")</f>
        <v/>
      </c>
      <c r="AA15" s="549" t="str">
        <f>IFERROR(IF(J15&lt;&gt;"",IF(VLOOKUP(X14,TraitFull,3,FALSE)=LEFT(J15,LEN(J15)-5),"T1/"&amp;VLOOKUP(X14,TraitFull,5,FALSE),IF(VLOOKUP(X14,TraitFull,6,FALSE)=LEFT(J15,LEN(J15)-5),"T2/"&amp;VLOOKUP(X14,TraitFull,8,FALSE),IF(VLOOKUP(X14,TraitFull,9,FALSE)=LEFT(J15,LEN(J15)-5),"T3/"&amp;VLOOKUP(X14,TraitFull,11,FALSE),""))),""),"")</f>
        <v/>
      </c>
      <c r="AB15" s="161"/>
      <c r="AC15" s="448"/>
      <c r="AD15" s="11" t="s">
        <v>139</v>
      </c>
      <c r="AF15" s="295"/>
    </row>
    <row r="16" spans="1:32" ht="16.5" customHeight="1" x14ac:dyDescent="0.25">
      <c r="A16" s="159"/>
      <c r="B16" s="497"/>
      <c r="C16" s="709"/>
      <c r="D16" s="557" t="s">
        <v>2158</v>
      </c>
      <c r="E16" s="557" t="str">
        <f>IFERROR("Min:"&amp;VLOOKUP(D14,AwayMissionsFull,13,FALSE)*100&amp;"%","")</f>
        <v/>
      </c>
      <c r="F16" s="702" t="str">
        <f>IFERROR("Inc. Per Point:"&amp;VLOOKUP(D14,AwayMissionsFull,14,FALSE)*100&amp;"%","")</f>
        <v/>
      </c>
      <c r="G16" s="702"/>
      <c r="H16" s="702" t="str">
        <f>IFERROR("Total Points:"&amp;VLOOKUP(D14,AwayMissionsFull,15,FALSE)&amp;"","")</f>
        <v/>
      </c>
      <c r="I16" s="702"/>
      <c r="J16" s="557" t="str">
        <f>IFERROR("Max:"&amp;VLOOKUP(D14,AwayMissionsFull,16,FALSE)*100&amp;"%","")</f>
        <v/>
      </c>
      <c r="K16" s="562"/>
      <c r="L16" s="563" t="s">
        <v>2160</v>
      </c>
      <c r="M16" s="564" t="str">
        <f>IFERROR((MAX(IFERROR(RIGHT(VLOOKUP(P15,TraitCosts,1,FALSE),1),0),IFERROR(RIGHT(VLOOKUP(T15,TraitCosts,1,FALSE),1),0),IFERROR(RIGHT(VLOOKUP(X15,TraitCosts,1,FALSE),1),0))+MAX(IFERROR(RIGHT(VLOOKUP(Q15,TraitCosts,1,FALSE),1),0),IFERROR(RIGHT(VLOOKUP(U15,TraitCosts,1,FALSE),1),0),IFERROR(RIGHT(VLOOKUP(Y15,TraitCosts,1,FALSE),1),0))+MAX(IFERROR(RIGHT(VLOOKUP(R15,TraitCosts,1,FALSE),1),0),IFERROR(RIGHT(VLOOKUP(V15,TraitCosts,1,FALSE),1),0),IFERROR(RIGHT(VLOOKUP(Z15,TraitCosts,1,FALSE),1),0))+MAX(IFERROR(RIGHT(VLOOKUP(S15,TraitCosts,1,FALSE),1),0),IFERROR(RIGHT(VLOOKUP(W15,TraitCosts,1,FALSE),1),0),IFERROR(RIGHT(VLOOKUP(AA15,TraitCosts,1,FALSE),1),0)))*(IFERROR(VLOOKUP(D14,AwayMissionsFull,14,FALSE),""))+IFERROR(VLOOKUP(D14,AwayMissionsFull,13,FALSE),""),"")</f>
        <v/>
      </c>
      <c r="N16" s="563" t="s">
        <v>2159</v>
      </c>
      <c r="O16" s="564" t="str">
        <f>IFERROR((MAX(IFERROR(RIGHT(VLOOKUP(P15,TraitCosts,1,FALSE),1),0),IFERROR(RIGHT(VLOOKUP(T15,TraitCosts,1,FALSE),1),0),IFERROR(RIGHT(VLOOKUP(X15,TraitCosts,1,FALSE),1),0),IFERROR(RIGHT(VLOOKUP(P16,TraitCosts,1,FALSE),1),0),IFERROR(RIGHT(VLOOKUP(T16,TraitCosts,1,FALSE),1),0),IFERROR(RIGHT(VLOOKUP(X16,TraitCosts,1,FALSE),1),0))+MAX(IFERROR(RIGHT(VLOOKUP(Q15,TraitCosts,1,FALSE),1),0),IFERROR(RIGHT(VLOOKUP(U15,TraitCosts,1,FALSE),1),0),IFERROR(RIGHT(VLOOKUP(Y15,TraitCosts,1,FALSE),1),0),IFERROR(RIGHT(VLOOKUP(Q16,TraitCosts,1,FALSE),1),0),IFERROR(RIGHT(VLOOKUP(U16,TraitCosts,1,FALSE),1),0),IFERROR(RIGHT(VLOOKUP(Y16,TraitCosts,1,FALSE),1),0))+MAX(IFERROR(RIGHT(VLOOKUP(R15,TraitCosts,1,FALSE),1),0),IFERROR(RIGHT(VLOOKUP(V15,TraitCosts,1,FALSE),1),0),IFERROR(RIGHT(VLOOKUP(Z15,TraitCosts,1,FALSE),1),0),IFERROR(RIGHT(VLOOKUP(R16,TraitCosts,1,FALSE),1),0),IFERROR(RIGHT(VLOOKUP(V16,TraitCosts,1,FALSE),1),0),IFERROR(RIGHT(VLOOKUP(Z16,TraitCosts,1,FALSE),1),0))+MAX(IFERROR(RIGHT(VLOOKUP(S15,TraitCosts,1,FALSE),1),0),IFERROR(RIGHT(VLOOKUP(W15,TraitCosts,1,FALSE),1),0),IFERROR(RIGHT(VLOOKUP(AA15,TraitCosts,1,FALSE),1),0),IFERROR(RIGHT(VLOOKUP(S16,TraitCosts,1,FALSE),1),0),IFERROR(RIGHT(VLOOKUP(W16,TraitCosts,1,FALSE),1),0),IFERROR(RIGHT(VLOOKUP(AA16,TraitCosts,1,FALSE),1),0)))*(IFERROR(VLOOKUP(D14,AwayMissionsFull,14,FALSE),""))+IFERROR(VLOOKUP(D14,AwayMissionsFull,13,FALSE),""),"")</f>
        <v/>
      </c>
      <c r="P16" s="556" t="str">
        <f>Migration!Y23&amp;""</f>
        <v/>
      </c>
      <c r="Q16" s="556" t="str">
        <f>Migration!Z23&amp;""</f>
        <v/>
      </c>
      <c r="R16" s="556" t="str">
        <f>Migration!AA23&amp;""</f>
        <v/>
      </c>
      <c r="S16" s="556" t="str">
        <f>Migration!AB23&amp;""</f>
        <v/>
      </c>
      <c r="T16" s="557" t="str">
        <f>Migration!Y24&amp;""</f>
        <v/>
      </c>
      <c r="U16" s="556" t="str">
        <f>Migration!Z24&amp;""</f>
        <v/>
      </c>
      <c r="V16" s="556" t="str">
        <f>Migration!AA24&amp;""</f>
        <v/>
      </c>
      <c r="W16" s="556" t="str">
        <f>Migration!AB24&amp;""</f>
        <v/>
      </c>
      <c r="X16" s="557" t="str">
        <f>Migration!Y25&amp;""</f>
        <v/>
      </c>
      <c r="Y16" s="556" t="str">
        <f>Migration!Z25&amp;""</f>
        <v/>
      </c>
      <c r="Z16" s="556" t="str">
        <f>Migration!AA25&amp;""</f>
        <v/>
      </c>
      <c r="AA16" s="556" t="str">
        <f>Migration!AB25&amp;""</f>
        <v/>
      </c>
      <c r="AB16" s="161"/>
      <c r="AC16" s="448"/>
      <c r="AD16" s="382"/>
      <c r="AF16" s="295"/>
    </row>
    <row r="17" spans="1:32" ht="16.5" customHeight="1" thickBot="1" x14ac:dyDescent="0.3">
      <c r="A17" s="159"/>
      <c r="B17" s="497"/>
      <c r="C17" s="709">
        <v>5</v>
      </c>
      <c r="D17" s="703" t="str">
        <f>Migration!X8&amp;""</f>
        <v/>
      </c>
      <c r="E17" s="704"/>
      <c r="F17" s="704"/>
      <c r="G17" s="704"/>
      <c r="H17" s="699" t="str">
        <f>IFERROR(VLOOKUP(D17,AwayMissionsFull,4,FALSE)&amp;"","")</f>
        <v/>
      </c>
      <c r="I17" s="699"/>
      <c r="J17" s="699" t="str">
        <f>IFERROR(VLOOKUP(D17,AwayMissionsFull,5,FALSE)&amp;"","")</f>
        <v/>
      </c>
      <c r="K17" s="699"/>
      <c r="L17" s="699" t="str">
        <f>IFERROR(VLOOKUP(D17,AwayMissionsFull,6,FALSE)&amp;"","")</f>
        <v/>
      </c>
      <c r="M17" s="699"/>
      <c r="N17" s="708" t="str">
        <f>IFERROR(VLOOKUP(D17,AwayMissionsFull,7,FALSE)&amp;"","")</f>
        <v/>
      </c>
      <c r="O17" s="708"/>
      <c r="P17" s="717" t="str">
        <f>Migration!X26&amp;""</f>
        <v/>
      </c>
      <c r="Q17" s="717"/>
      <c r="R17" s="717"/>
      <c r="S17" s="717"/>
      <c r="T17" s="717"/>
      <c r="U17" s="717"/>
      <c r="V17" s="717"/>
      <c r="W17" s="717"/>
      <c r="X17" s="717" t="str">
        <f>Migration!X28&amp;""</f>
        <v/>
      </c>
      <c r="Y17" s="717"/>
      <c r="Z17" s="717"/>
      <c r="AA17" s="717"/>
      <c r="AB17" s="161"/>
      <c r="AC17" s="448"/>
      <c r="AD17" s="382"/>
      <c r="AF17" s="295"/>
    </row>
    <row r="18" spans="1:32" ht="15.75" customHeight="1" x14ac:dyDescent="0.25">
      <c r="A18" s="173"/>
      <c r="B18" s="498"/>
      <c r="C18" s="709"/>
      <c r="D18" s="713" t="str">
        <f>IFERROR(IF(VLOOKUP(D17,AwayMissionsFull,8,FALSE)&amp;"" &lt;&gt;"",VLOOKUP(D17,AwayMissionsFull,8,FALSE)&amp; " (T"&amp;(SUMPRODUCT(--(TraitNames=VLOOKUP(D17,AwayMissionsFull,8,FALSE))*COLUMN(TraitNames))/COUNTIF(TraitNames,VLOOKUP(D17,AwayMissionsFull,8,FALSE))-1)/3&amp;")",""),"")</f>
        <v/>
      </c>
      <c r="E18" s="713"/>
      <c r="F18" s="714" t="str">
        <f>IFERROR(IF(VLOOKUP(D17,AwayMissionsFull,9,FALSE)&amp;"" &lt;&gt;"",VLOOKUP(D17,AwayMissionsFull,9,FALSE)&amp; " (T"&amp;(SUMPRODUCT(--(TraitNames=VLOOKUP(D17,AwayMissionsFull,9,FALSE))*COLUMN(TraitNames))/COUNTIF(TraitNames,VLOOKUP(D17,AwayMissionsFull,9,FALSE))-1)/3&amp;")",""),"")</f>
        <v/>
      </c>
      <c r="G18" s="714"/>
      <c r="H18" s="708" t="str">
        <f>IFERROR(IF(VLOOKUP(D17,AwayMissionsFull,10,FALSE)&amp;"" &lt;&gt;"",VLOOKUP(D17,AwayMissionsFull,10,FALSE)&amp; " (T"&amp;(SUMPRODUCT(--(TraitNames=VLOOKUP(D17,AwayMissionsFull,10,FALSE))*COLUMN(TraitNames))/COUNTIF(TraitNames,VLOOKUP(D17,AwayMissionsFull,10,FALSE))-1)/3&amp;")",""),"")</f>
        <v/>
      </c>
      <c r="I18" s="708"/>
      <c r="J18" s="699" t="str">
        <f>IFERROR(IF(VLOOKUP(D17,AwayMissionsFull,11,FALSE)&amp;"" &lt;&gt;"",VLOOKUP(D17,AwayMissionsFull,11,FALSE)&amp; " (T"&amp;(SUMPRODUCT(--(TraitNames=VLOOKUP(D17,AwayMissionsFull,11,FALSE))*COLUMN(TraitNames))/COUNTIF(TraitNames,VLOOKUP(D17,AwayMissionsFull,11,FALSE))-1)/3&amp;")",""),"")</f>
        <v/>
      </c>
      <c r="K18" s="699"/>
      <c r="L18" s="558" t="s">
        <v>2163</v>
      </c>
      <c r="M18" s="559">
        <f>IF(ISNUMBER(SEARCH("T1",D18))=TRUE,8000,IF(ISNUMBER(SEARCH("T2",D18))=TRUE,37500,IF(ISNUMBER(SEARCH("T3",D18))=TRUE,323500,0)))+IF(ISNUMBER(SEARCH("T1",F18))=TRUE,8000,IF(ISNUMBER(SEARCH("T2",F18))=TRUE,37500,IF(ISNUMBER(SEARCH("T3",F18))=TRUE,323500,0)))+IF(ISNUMBER(SEARCH("T1",H18))=TRUE,8000,IF(ISNUMBER(SEARCH("T2",H18))=TRUE,37500,IF(ISNUMBER(SEARCH("T3",H18))=TRUE,323500,0)))+IF(ISNUMBER(SEARCH("T1",J18))=TRUE,8000,IF(ISNUMBER(SEARCH("T2",J18))=TRUE,37500,IF(ISNUMBER(SEARCH("T3",J18))=TRUE,323500,0)))</f>
        <v>0</v>
      </c>
      <c r="N18" s="560" t="s">
        <v>2164</v>
      </c>
      <c r="O18" s="561">
        <f>(MAX(IFERROR(VLOOKUP(P19,TraitCosts,4,FALSE),0),IFERROR(VLOOKUP(Q19,TraitCosts,4,FALSE),0),IFERROR(VLOOKUP(R19,TraitCosts,4,FALSE),0),IFERROR(VLOOKUP(S19,TraitCosts,4,FALSE),0))-MAX(IF(P19&lt;&gt;"",IFERROR(VLOOKUP(P18,TraitCosts,4,FALSE),0),0),IF(Q19&lt;&gt;"",IFERROR(VLOOKUP(Q18,TraitCosts,4,FALSE),0),0),IF(R19&lt;&gt;"",IFERROR(VLOOKUP(R18,TraitCosts,4,FALSE),0),0),IF(S19&lt;&gt;"",IFERROR(VLOOKUP(S18,TraitCosts,4,FALSE),0),0)))+(MAX(IFERROR(VLOOKUP(T19,TraitCosts,4,FALSE),0),IFERROR(VLOOKUP(U19,TraitCosts,4,FALSE),0),IFERROR(VLOOKUP(V19,TraitCosts,4,FALSE),0),IFERROR(VLOOKUP(W19,TraitCosts,4,FALSE),0))-MAX(IF(T19&lt;&gt;"",IFERROR(VLOOKUP(T18,TraitCosts,4,FALSE),0),0),IF(U19&lt;&gt;"",IFERROR(VLOOKUP(U18,TraitCosts,4,FALSE),0),0),IF(V19&lt;&gt;"",IFERROR(VLOOKUP(V18,TraitCosts,4,FALSE),0),0),IF(W19&lt;&gt;"",IFERROR(VLOOKUP(W18,TraitCosts,4,FALSE),0),0)))+(MAX(IFERROR(VLOOKUP(X19,TraitCosts,4,FALSE),0),IFERROR(VLOOKUP(Y19,TraitCosts,4,FALSE),0),IFERROR(VLOOKUP(Z19,TraitCosts,4,FALSE),0),IFERROR(VLOOKUP(AA19,TraitCosts,4,FALSE),0))-MAX(IF(X19&lt;&gt;"",IFERROR(VLOOKUP(X18,TraitCosts,4,FALSE),0),0),IF(Y19&lt;&gt;"",IFERROR(VLOOKUP(Y18,TraitCosts,4,FALSE),0),0),IF(Z19&lt;&gt;"",IFERROR(VLOOKUP(Z18,TraitCosts,4,FALSE),0),0),IF(AA19&lt;&gt;"",IFERROR(VLOOKUP(AA18,TraitCosts,4,FALSE),0),0)))</f>
        <v>0</v>
      </c>
      <c r="P18" s="534" t="str">
        <f>IFERROR(IF(D18&lt;&gt;"",IF(VLOOKUP(P17,TraitFull,3,FALSE)=LEFT(D18,LEN(D18)-5),"T1/"&amp;VLOOKUP(P17,TraitFull,5,FALSE),IF(VLOOKUP(P17,TraitFull,6,FALSE)=LEFT(D18,LEN(D18)-5),"T2/"&amp;VLOOKUP(P17,TraitFull,8,FALSE),IF(VLOOKUP(P17,TraitFull,9,FALSE)=LEFT(D18,LEN(D18)-5),"T3/"&amp;VLOOKUP(P17,TraitFull,11,FALSE),""))),""),"")</f>
        <v/>
      </c>
      <c r="Q18" s="535" t="str">
        <f>IFERROR(IF(F18&lt;&gt;"",IF(VLOOKUP(P17,TraitFull,3,FALSE)=LEFT(F18,LEN(F18)-5),"T1/"&amp;VLOOKUP(P17,TraitFull,5,FALSE),IF(VLOOKUP(P17,TraitFull,6,FALSE)=LEFT(F18,LEN(F18)-5),"T2/"&amp;VLOOKUP(P17,TraitFull,8,FALSE),IF(VLOOKUP(P17,TraitFull,9,FALSE)=LEFT(F18,LEN(F18)-5),"T3/"&amp;VLOOKUP(P17,TraitFull,11,FALSE),""))),""),"")</f>
        <v/>
      </c>
      <c r="R18" s="536" t="str">
        <f>IFERROR(IF(H18&lt;&gt;"",IF(VLOOKUP(P17,TraitFull,3,FALSE)=LEFT(H18,LEN(H18)-5),"T1/"&amp;VLOOKUP(P17,TraitFull,5,FALSE),IF(VLOOKUP(P17,TraitFull,6,FALSE)=LEFT(H18,LEN(H18)-5),"T2/"&amp;VLOOKUP(P17,TraitFull,8,FALSE),IF(VLOOKUP(P17,TraitFull,9,FALSE)=LEFT(H18,LEN(H18)-5),"T3/"&amp;VLOOKUP(P17,TraitFull,11,FALSE),""))),""),"")</f>
        <v/>
      </c>
      <c r="S18" s="537" t="str">
        <f>IFERROR(IF(J18&lt;&gt;"",IF(VLOOKUP(P17,TraitFull,3,FALSE)=LEFT(J18,LEN(J18)-5),"T1/"&amp;VLOOKUP(P17,TraitFull,5,FALSE),IF(VLOOKUP(P17,TraitFull,6,FALSE)=LEFT(J18,LEN(J18)-5),"T2/"&amp;VLOOKUP(P17,TraitFull,8,FALSE),IF(VLOOKUP(P17,TraitFull,9,FALSE)=LEFT(J18,LEN(J18)-5),"T3/"&amp;VLOOKUP(P17,TraitFull,11,FALSE),""))),""),"")</f>
        <v/>
      </c>
      <c r="T18" s="538" t="str">
        <f>IFERROR(IF(D18&lt;&gt;"",IF(VLOOKUP(T17,TraitFull,3,FALSE)=LEFT(D18,LEN(D18)-5),"T1/"&amp;VLOOKUP(T17,TraitFull,5,FALSE),IF(VLOOKUP(T17,TraitFull,6,FALSE)=LEFT(D18,LEN(D18)-5),"T2/"&amp;VLOOKUP(T17,TraitFull,8,FALSE),IF(VLOOKUP(T17,TraitFull,9,FALSE)=LEFT(D18,LEN(D18)-5),"T3/"&amp;VLOOKUP(T17,TraitFull,11,FALSE),""))),""),"")</f>
        <v/>
      </c>
      <c r="U18" s="539" t="str">
        <f>IFERROR(IF(F18&lt;&gt;"",IF(VLOOKUP(T17,TraitFull,3,FALSE)=LEFT(F18,LEN(F18)-5),"T1/"&amp;VLOOKUP(T17,TraitFull,5,FALSE),IF(VLOOKUP(T17,TraitFull,6,FALSE)=LEFT(F18,LEN(F18)-5),"T2/"&amp;VLOOKUP(T17,TraitFull,8,FALSE),IF(VLOOKUP(T17,TraitFull,9,FALSE)=LEFT(F18,LEN(F18)-5),"T3/"&amp;VLOOKUP(T17,TraitFull,11,FALSE),""))),""),"")</f>
        <v/>
      </c>
      <c r="V18" s="540" t="str">
        <f>IFERROR(IF(H18&lt;&gt;"",IF(VLOOKUP(T17,TraitFull,3,FALSE)=LEFT(H18,LEN(H18)-5),"T1/"&amp;VLOOKUP(T17,TraitFull,5,FALSE),IF(VLOOKUP(T17,TraitFull,6,FALSE)=LEFT(H18,LEN(H18)-5),"T2/"&amp;VLOOKUP(T17,TraitFull,8,FALSE),IF(VLOOKUP(T17,TraitFull,9,FALSE)=LEFT(H18,LEN(H18)-5),"T3/"&amp;VLOOKUP(T17,TraitFull,11,FALSE),""))),""),"")</f>
        <v/>
      </c>
      <c r="W18" s="541" t="str">
        <f>IFERROR(IF(J18&lt;&gt;"",IF(VLOOKUP(T17,TraitFull,3,FALSE)=LEFT(J18,LEN(J18)-5),"T1/"&amp;VLOOKUP(T17,TraitFull,5,FALSE),IF(VLOOKUP(T17,TraitFull,6,FALSE)=LEFT(J18,LEN(J18)-5),"T2/"&amp;VLOOKUP(T17,TraitFull,8,FALSE),IF(VLOOKUP(T17,TraitFull,9,FALSE)=LEFT(J18,LEN(J18)-5),"T3/"&amp;VLOOKUP(T17,TraitFull,11,FALSE),""))),""),"")</f>
        <v/>
      </c>
      <c r="X18" s="538" t="str">
        <f>IFERROR(IF(D18&lt;&gt;"",IF(VLOOKUP(X17,TraitFull,3,FALSE)=LEFT(D18,LEN(D18)-5),"T1/"&amp;VLOOKUP(X17,TraitFull,5,FALSE),IF(VLOOKUP(X17,TraitFull,6,FALSE)=LEFT(D18,LEN(D18)-5),"T2/"&amp;VLOOKUP(X17,TraitFull,8,FALSE),IF(VLOOKUP(X17,TraitFull,9,FALSE)=LEFT(D18,LEN(D18)-5),"T3/"&amp;VLOOKUP(X17,TraitFull,11,FALSE),""))),""),"")</f>
        <v/>
      </c>
      <c r="Y18" s="539" t="str">
        <f>IFERROR(IF(F18&lt;&gt;"",IF(VLOOKUP(X17,TraitFull,3,FALSE)=LEFT(F18,LEN(F18)-5),"T1/"&amp;VLOOKUP(X17,TraitFull,5,FALSE),IF(VLOOKUP(X17,TraitFull,6,FALSE)=LEFT(F18,LEN(F18)-5),"T2/"&amp;VLOOKUP(X17,TraitFull,8,FALSE),IF(VLOOKUP(X17,TraitFull,9,FALSE)=LEFT(F18,LEN(F18)-5),"T3/"&amp;VLOOKUP(X17,TraitFull,11,FALSE),""))),""),"")</f>
        <v/>
      </c>
      <c r="Z18" s="540" t="str">
        <f>IFERROR(IF(H18&lt;&gt;"",IF(VLOOKUP(X17,TraitFull,3,FALSE)=LEFT(H18,LEN(H18)-5),"T1/"&amp;VLOOKUP(X17,TraitFull,5,FALSE),IF(VLOOKUP(X17,TraitFull,6,FALSE)=LEFT(H18,LEN(H18)-5),"T2/"&amp;VLOOKUP(X17,TraitFull,8,FALSE),IF(VLOOKUP(X17,TraitFull,9,FALSE)=LEFT(H18,LEN(H18)-5),"T3/"&amp;VLOOKUP(X17,TraitFull,11,FALSE),""))),""),"")</f>
        <v/>
      </c>
      <c r="AA18" s="541" t="str">
        <f>IFERROR(IF(J18&lt;&gt;"",IF(VLOOKUP(X17,TraitFull,3,FALSE)=LEFT(J18,LEN(J18)-5),"T1/"&amp;VLOOKUP(X17,TraitFull,5,FALSE),IF(VLOOKUP(X17,TraitFull,6,FALSE)=LEFT(J18,LEN(J18)-5),"T2/"&amp;VLOOKUP(X17,TraitFull,8,FALSE),IF(VLOOKUP(X17,TraitFull,9,FALSE)=LEFT(J18,LEN(J18)-5),"T3/"&amp;VLOOKUP(X17,TraitFull,11,FALSE),""))),""),"")</f>
        <v/>
      </c>
      <c r="AB18" s="161"/>
      <c r="AC18" s="448"/>
      <c r="AD18" s="11"/>
      <c r="AF18" s="295"/>
    </row>
    <row r="19" spans="1:32" ht="15.75" customHeight="1" thickBot="1" x14ac:dyDescent="0.3">
      <c r="A19" s="176"/>
      <c r="B19" s="499"/>
      <c r="C19" s="709"/>
      <c r="D19" s="552" t="s">
        <v>2158</v>
      </c>
      <c r="E19" s="552" t="str">
        <f>IFERROR("Min:"&amp;VLOOKUP(D17,AwayMissionsFull,13,FALSE)*100&amp;"%","")</f>
        <v/>
      </c>
      <c r="F19" s="701" t="str">
        <f>IFERROR("Inc. Per Point:"&amp;VLOOKUP(D17,AwayMissionsFull,14,FALSE)*100&amp;"%","")</f>
        <v/>
      </c>
      <c r="G19" s="701"/>
      <c r="H19" s="701" t="str">
        <f>IFERROR("Total Points:"&amp;VLOOKUP(D17,AwayMissionsFull,15,FALSE)&amp;"","")</f>
        <v/>
      </c>
      <c r="I19" s="701"/>
      <c r="J19" s="552" t="str">
        <f>IFERROR("Max:"&amp;VLOOKUP(D17,AwayMissionsFull,16,FALSE)*100&amp;"%","")</f>
        <v/>
      </c>
      <c r="K19" s="553"/>
      <c r="L19" s="554" t="s">
        <v>2160</v>
      </c>
      <c r="M19" s="555" t="str">
        <f>IFERROR((MAX(IFERROR(RIGHT(VLOOKUP(P18,TraitCosts,1,FALSE),1),0),IFERROR(RIGHT(VLOOKUP(T18,TraitCosts,1,FALSE),1),0),IFERROR(RIGHT(VLOOKUP(X18,TraitCosts,1,FALSE),1),0))+MAX(IFERROR(RIGHT(VLOOKUP(Q18,TraitCosts,1,FALSE),1),0),IFERROR(RIGHT(VLOOKUP(U18,TraitCosts,1,FALSE),1),0),IFERROR(RIGHT(VLOOKUP(Y18,TraitCosts,1,FALSE),1),0))+MAX(IFERROR(RIGHT(VLOOKUP(R18,TraitCosts,1,FALSE),1),0),IFERROR(RIGHT(VLOOKUP(V18,TraitCosts,1,FALSE),1),0),IFERROR(RIGHT(VLOOKUP(Z18,TraitCosts,1,FALSE),1),0))+MAX(IFERROR(RIGHT(VLOOKUP(S18,TraitCosts,1,FALSE),1),0),IFERROR(RIGHT(VLOOKUP(W18,TraitCosts,1,FALSE),1),0),IFERROR(RIGHT(VLOOKUP(AA18,TraitCosts,1,FALSE),1),0)))*(IFERROR(VLOOKUP(D17,AwayMissionsFull,14,FALSE),""))+IFERROR(VLOOKUP(D17,AwayMissionsFull,13,FALSE),""),"")</f>
        <v/>
      </c>
      <c r="N19" s="554" t="s">
        <v>2159</v>
      </c>
      <c r="O19" s="555" t="str">
        <f>IFERROR((MAX(IFERROR(RIGHT(VLOOKUP(P18,TraitCosts,1,FALSE),1),0),IFERROR(RIGHT(VLOOKUP(T18,TraitCosts,1,FALSE),1),0),IFERROR(RIGHT(VLOOKUP(X18,TraitCosts,1,FALSE),1),0),IFERROR(RIGHT(VLOOKUP(P19,TraitCosts,1,FALSE),1),0),IFERROR(RIGHT(VLOOKUP(T19,TraitCosts,1,FALSE),1),0),IFERROR(RIGHT(VLOOKUP(X19,TraitCosts,1,FALSE),1),0))+MAX(IFERROR(RIGHT(VLOOKUP(Q18,TraitCosts,1,FALSE),1),0),IFERROR(RIGHT(VLOOKUP(U18,TraitCosts,1,FALSE),1),0),IFERROR(RIGHT(VLOOKUP(Y18,TraitCosts,1,FALSE),1),0),IFERROR(RIGHT(VLOOKUP(Q19,TraitCosts,1,FALSE),1),0),IFERROR(RIGHT(VLOOKUP(U19,TraitCosts,1,FALSE),1),0),IFERROR(RIGHT(VLOOKUP(Y19,TraitCosts,1,FALSE),1),0))+MAX(IFERROR(RIGHT(VLOOKUP(R18,TraitCosts,1,FALSE),1),0),IFERROR(RIGHT(VLOOKUP(V18,TraitCosts,1,FALSE),1),0),IFERROR(RIGHT(VLOOKUP(Z18,TraitCosts,1,FALSE),1),0),IFERROR(RIGHT(VLOOKUP(R19,TraitCosts,1,FALSE),1),0),IFERROR(RIGHT(VLOOKUP(V19,TraitCosts,1,FALSE),1),0),IFERROR(RIGHT(VLOOKUP(Z19,TraitCosts,1,FALSE),1),0))+MAX(IFERROR(RIGHT(VLOOKUP(S18,TraitCosts,1,FALSE),1),0),IFERROR(RIGHT(VLOOKUP(W18,TraitCosts,1,FALSE),1),0),IFERROR(RIGHT(VLOOKUP(AA18,TraitCosts,1,FALSE),1),0),IFERROR(RIGHT(VLOOKUP(S19,TraitCosts,1,FALSE),1),0),IFERROR(RIGHT(VLOOKUP(W19,TraitCosts,1,FALSE),1),0),IFERROR(RIGHT(VLOOKUP(AA19,TraitCosts,1,FALSE),1),0)))*(IFERROR(VLOOKUP(D17,AwayMissionsFull,14,FALSE),""))+IFERROR(VLOOKUP(D17,AwayMissionsFull,13,FALSE),""),"")</f>
        <v/>
      </c>
      <c r="P19" s="569" t="str">
        <f>Migration!Y26&amp;""</f>
        <v/>
      </c>
      <c r="Q19" s="569" t="str">
        <f>Migration!Z26&amp;""</f>
        <v/>
      </c>
      <c r="R19" s="569" t="str">
        <f>Migration!AA26&amp;""</f>
        <v/>
      </c>
      <c r="S19" s="569" t="str">
        <f>Migration!AB26&amp;""</f>
        <v/>
      </c>
      <c r="T19" s="552" t="str">
        <f>Migration!Y27&amp;""</f>
        <v/>
      </c>
      <c r="U19" s="569" t="str">
        <f>Migration!Z27&amp;""</f>
        <v/>
      </c>
      <c r="V19" s="569" t="str">
        <f>Migration!AA27&amp;""</f>
        <v/>
      </c>
      <c r="W19" s="569" t="str">
        <f>Migration!AB27&amp;""</f>
        <v/>
      </c>
      <c r="X19" s="552" t="str">
        <f>Migration!Y28&amp;""</f>
        <v/>
      </c>
      <c r="Y19" s="569" t="str">
        <f>Migration!Z28&amp;""</f>
        <v/>
      </c>
      <c r="Z19" s="569" t="str">
        <f>Migration!AA28&amp;""</f>
        <v/>
      </c>
      <c r="AA19" s="569" t="str">
        <f>Migration!AB28&amp;""</f>
        <v/>
      </c>
      <c r="AB19" s="161"/>
      <c r="AC19" s="449"/>
      <c r="AD19" s="179"/>
      <c r="AF19" s="295"/>
    </row>
    <row r="20" spans="1:32" ht="15.75" customHeight="1" x14ac:dyDescent="0.25">
      <c r="A20" s="176"/>
      <c r="B20" s="500"/>
      <c r="C20" s="709">
        <v>6</v>
      </c>
      <c r="D20" s="703" t="str">
        <f>Migration!X9&amp;""</f>
        <v/>
      </c>
      <c r="E20" s="704"/>
      <c r="F20" s="704"/>
      <c r="G20" s="704"/>
      <c r="H20" s="700" t="str">
        <f>IFERROR(VLOOKUP(D20,AwayMissionsFull,4,FALSE)&amp;"","")</f>
        <v/>
      </c>
      <c r="I20" s="700"/>
      <c r="J20" s="700" t="str">
        <f>IFERROR(VLOOKUP(D20,AwayMissionsFull,5,FALSE)&amp;"","")</f>
        <v/>
      </c>
      <c r="K20" s="700"/>
      <c r="L20" s="700" t="str">
        <f>IFERROR(VLOOKUP(D20,AwayMissionsFull,6,FALSE)&amp;"","")</f>
        <v/>
      </c>
      <c r="M20" s="700"/>
      <c r="N20" s="710" t="str">
        <f>IFERROR(VLOOKUP(D20,AwayMissionsFull,7,FALSE)&amp;"","")</f>
        <v/>
      </c>
      <c r="O20" s="710"/>
      <c r="P20" s="716" t="str">
        <f>Migration!X29&amp;""</f>
        <v/>
      </c>
      <c r="Q20" s="716"/>
      <c r="R20" s="716"/>
      <c r="S20" s="716"/>
      <c r="T20" s="716" t="str">
        <f>Migration!X30&amp;""</f>
        <v/>
      </c>
      <c r="U20" s="716"/>
      <c r="V20" s="716"/>
      <c r="W20" s="716"/>
      <c r="X20" s="716"/>
      <c r="Y20" s="716"/>
      <c r="Z20" s="716"/>
      <c r="AA20" s="716"/>
      <c r="AB20" s="161"/>
      <c r="AC20" s="447"/>
      <c r="AD20" s="172"/>
      <c r="AF20" s="295"/>
    </row>
    <row r="21" spans="1:32" ht="15.75" customHeight="1" x14ac:dyDescent="0.25">
      <c r="A21" s="176"/>
      <c r="B21" s="500" t="s">
        <v>140</v>
      </c>
      <c r="C21" s="709"/>
      <c r="D21" s="711" t="str">
        <f>IFERROR(IF(VLOOKUP(D20,AwayMissionsFull,8,FALSE)&amp;"" &lt;&gt;"",VLOOKUP(D20,AwayMissionsFull,8,FALSE)&amp; " (T"&amp;(SUMPRODUCT(--(TraitNames=VLOOKUP(D20,AwayMissionsFull,8,FALSE))*COLUMN(TraitNames))/COUNTIF(TraitNames,VLOOKUP(D20,AwayMissionsFull,8,FALSE))-1)/3&amp;")",""),"")</f>
        <v/>
      </c>
      <c r="E21" s="711"/>
      <c r="F21" s="712" t="str">
        <f>IFERROR(IF(VLOOKUP(D20,AwayMissionsFull,9,FALSE)&amp;"" &lt;&gt;"",VLOOKUP(D20,AwayMissionsFull,9,FALSE)&amp; " (T"&amp;(SUMPRODUCT(--(TraitNames=VLOOKUP(D20,AwayMissionsFull,9,FALSE))*COLUMN(TraitNames))/COUNTIF(TraitNames,VLOOKUP(D20,AwayMissionsFull,9,FALSE))-1)/3&amp;")",""),"")</f>
        <v/>
      </c>
      <c r="G21" s="712"/>
      <c r="H21" s="710" t="str">
        <f>IFERROR(IF(VLOOKUP(D20,AwayMissionsFull,10,FALSE)&amp;"" &lt;&gt;"",VLOOKUP(D20,AwayMissionsFull,10,FALSE)&amp; " (T"&amp;(SUMPRODUCT(--(TraitNames=VLOOKUP(D20,AwayMissionsFull,10,FALSE))*COLUMN(TraitNames))/COUNTIF(TraitNames,VLOOKUP(D20,AwayMissionsFull,10,FALSE))-1)/3&amp;")",""),"")</f>
        <v/>
      </c>
      <c r="I21" s="710"/>
      <c r="J21" s="700" t="str">
        <f>IFERROR(IF(VLOOKUP(D20,AwayMissionsFull,11,FALSE)&amp;"" &lt;&gt;"",VLOOKUP(D20,AwayMissionsFull,11,FALSE)&amp; " (T"&amp;(SUMPRODUCT(--(TraitNames=VLOOKUP(D20,AwayMissionsFull,11,FALSE))*COLUMN(TraitNames))/COUNTIF(TraitNames,VLOOKUP(D20,AwayMissionsFull,11,FALSE))-1)/3&amp;")",""),"")</f>
        <v/>
      </c>
      <c r="K21" s="700"/>
      <c r="L21" s="565" t="s">
        <v>2163</v>
      </c>
      <c r="M21" s="566">
        <f>IF(ISNUMBER(SEARCH("T1",D21))=TRUE,8000,IF(ISNUMBER(SEARCH("T2",D21))=TRUE,37500,IF(ISNUMBER(SEARCH("T3",D21))=TRUE,323500,0)))+IF(ISNUMBER(SEARCH("T1",F21))=TRUE,8000,IF(ISNUMBER(SEARCH("T2",F21))=TRUE,37500,IF(ISNUMBER(SEARCH("T3",F21))=TRUE,323500,0)))+IF(ISNUMBER(SEARCH("T1",H21))=TRUE,8000,IF(ISNUMBER(SEARCH("T2",H21))=TRUE,37500,IF(ISNUMBER(SEARCH("T3",H21))=TRUE,323500,0)))+IF(ISNUMBER(SEARCH("T1",J21))=TRUE,8000,IF(ISNUMBER(SEARCH("T2",J21))=TRUE,37500,IF(ISNUMBER(SEARCH("T3",J21))=TRUE,323500,0)))</f>
        <v>0</v>
      </c>
      <c r="N21" s="567" t="s">
        <v>2164</v>
      </c>
      <c r="O21" s="568">
        <f>(MAX(IFERROR(VLOOKUP(P22,TraitCosts,4,FALSE),0),IFERROR(VLOOKUP(Q22,TraitCosts,4,FALSE),0),IFERROR(VLOOKUP(R22,TraitCosts,4,FALSE),0),IFERROR(VLOOKUP(S22,TraitCosts,4,FALSE),0))-MAX(IF(P22&lt;&gt;"",IFERROR(VLOOKUP(P21,TraitCosts,4,FALSE),0),0),IF(Q22&lt;&gt;"",IFERROR(VLOOKUP(Q21,TraitCosts,4,FALSE),0),0),IF(R22&lt;&gt;"",IFERROR(VLOOKUP(R21,TraitCosts,4,FALSE),0),0),IF(S22&lt;&gt;"",IFERROR(VLOOKUP(S21,TraitCosts,4,FALSE),0),0)))+(MAX(IFERROR(VLOOKUP(T22,TraitCosts,4,FALSE),0),IFERROR(VLOOKUP(U22,TraitCosts,4,FALSE),0),IFERROR(VLOOKUP(V22,TraitCosts,4,FALSE),0),IFERROR(VLOOKUP(W22,TraitCosts,4,FALSE),0))-MAX(IF(T22&lt;&gt;"",IFERROR(VLOOKUP(T21,TraitCosts,4,FALSE),0),0),IF(U22&lt;&gt;"",IFERROR(VLOOKUP(U21,TraitCosts,4,FALSE),0),0),IF(V22&lt;&gt;"",IFERROR(VLOOKUP(V21,TraitCosts,4,FALSE),0),0),IF(W22&lt;&gt;"",IFERROR(VLOOKUP(W21,TraitCosts,4,FALSE),0),0)))+(MAX(IFERROR(VLOOKUP(X22,TraitCosts,4,FALSE),0),IFERROR(VLOOKUP(Y22,TraitCosts,4,FALSE),0),IFERROR(VLOOKUP(Z22,TraitCosts,4,FALSE),0),IFERROR(VLOOKUP(AA22,TraitCosts,4,FALSE),0))-MAX(IF(X22&lt;&gt;"",IFERROR(VLOOKUP(X21,TraitCosts,4,FALSE),0),0),IF(Y22&lt;&gt;"",IFERROR(VLOOKUP(Y21,TraitCosts,4,FALSE),0),0),IF(Z22&lt;&gt;"",IFERROR(VLOOKUP(Z21,TraitCosts,4,FALSE),0),0),IF(AA22&lt;&gt;"",IFERROR(VLOOKUP(AA21,TraitCosts,4,FALSE),0),0)))</f>
        <v>0</v>
      </c>
      <c r="P21" s="542" t="str">
        <f>IFERROR(IF(D21&lt;&gt;"",IF(VLOOKUP(P20,TraitFull,3,FALSE)=LEFT(D21,LEN(D21)-5),"T1/"&amp;VLOOKUP(P20,TraitFull,5,FALSE),IF(VLOOKUP(P20,TraitFull,6,FALSE)=LEFT(D21,LEN(D21)-5),"T2/"&amp;VLOOKUP(P20,TraitFull,8,FALSE),IF(VLOOKUP(P20,TraitFull,9,FALSE)=LEFT(D21,LEN(D21)-5),"T3/"&amp;VLOOKUP(P20,TraitFull,11,FALSE),""))),""),"")</f>
        <v/>
      </c>
      <c r="Q21" s="543" t="str">
        <f>IFERROR(IF(F21&lt;&gt;"",IF(VLOOKUP(P20,TraitFull,3,FALSE)=LEFT(F21,LEN(F21)-5),"T1/"&amp;VLOOKUP(P20,TraitFull,5,FALSE),IF(VLOOKUP(P20,TraitFull,6,FALSE)=LEFT(F21,LEN(F21)-5),"T2/"&amp;VLOOKUP(P20,TraitFull,8,FALSE),IF(VLOOKUP(P20,TraitFull,9,FALSE)=LEFT(F21,LEN(F21)-5),"T3/"&amp;VLOOKUP(P20,TraitFull,11,FALSE),""))),""),"")</f>
        <v/>
      </c>
      <c r="R21" s="544" t="str">
        <f>IFERROR(IF(H21&lt;&gt;"",IF(VLOOKUP(P20,TraitFull,3,FALSE)=LEFT(H21,LEN(H21)-5),"T1/"&amp;VLOOKUP(P20,TraitFull,5,FALSE),IF(VLOOKUP(P20,TraitFull,6,FALSE)=LEFT(H21,LEN(H21)-5),"T2/"&amp;VLOOKUP(P20,TraitFull,8,FALSE),IF(VLOOKUP(P20,TraitFull,9,FALSE)=LEFT(H21,LEN(H21)-5),"T3/"&amp;VLOOKUP(P20,TraitFull,11,FALSE),""))),""),"")</f>
        <v/>
      </c>
      <c r="S21" s="545" t="str">
        <f>IFERROR(IF(J21&lt;&gt;"",IF(VLOOKUP(P20,TraitFull,3,FALSE)=LEFT(J21,LEN(J21)-5),"T1/"&amp;VLOOKUP(P20,TraitFull,5,FALSE),IF(VLOOKUP(P20,TraitFull,6,FALSE)=LEFT(J21,LEN(J21)-5),"T2/"&amp;VLOOKUP(P20,TraitFull,8,FALSE),IF(VLOOKUP(P20,TraitFull,9,FALSE)=LEFT(J21,LEN(J21)-5),"T3/"&amp;VLOOKUP(P20,TraitFull,11,FALSE),""))),""),"")</f>
        <v/>
      </c>
      <c r="T21" s="546" t="str">
        <f>IFERROR(IF(D21&lt;&gt;"",IF(VLOOKUP(T20,TraitFull,3,FALSE)=LEFT(D21,LEN(D21)-5),"T1/"&amp;VLOOKUP(T20,TraitFull,5,FALSE),IF(VLOOKUP(T20,TraitFull,6,FALSE)=LEFT(D21,LEN(D21)-5),"T2/"&amp;VLOOKUP(T20,TraitFull,8,FALSE),IF(VLOOKUP(T20,TraitFull,9,FALSE)=LEFT(D21,LEN(D21)-5),"T3/"&amp;VLOOKUP(T20,TraitFull,11,FALSE),""))),""),"")</f>
        <v/>
      </c>
      <c r="U21" s="547" t="str">
        <f>IFERROR(IF(F21&lt;&gt;"",IF(VLOOKUP(T20,TraitFull,3,FALSE)=LEFT(F21,LEN(F21)-5),"T1/"&amp;VLOOKUP(T20,TraitFull,5,FALSE),IF(VLOOKUP(T20,TraitFull,6,FALSE)=LEFT(F21,LEN(F21)-5),"T2/"&amp;VLOOKUP(T20,TraitFull,8,FALSE),IF(VLOOKUP(T20,TraitFull,9,FALSE)=LEFT(F21,LEN(F21)-5),"T3/"&amp;VLOOKUP(T20,TraitFull,11,FALSE),""))),""),"")</f>
        <v/>
      </c>
      <c r="V21" s="548" t="str">
        <f>IFERROR(IF(H21&lt;&gt;"",IF(VLOOKUP(T20,TraitFull,3,FALSE)=LEFT(H21,LEN(H21)-5),"T1/"&amp;VLOOKUP(T20,TraitFull,5,FALSE),IF(VLOOKUP(T20,TraitFull,6,FALSE)=LEFT(H21,LEN(H21)-5),"T2/"&amp;VLOOKUP(T20,TraitFull,8,FALSE),IF(VLOOKUP(T20,TraitFull,9,FALSE)=LEFT(H21,LEN(H21)-5),"T3/"&amp;VLOOKUP(T20,TraitFull,11,FALSE),""))),""),"")</f>
        <v/>
      </c>
      <c r="W21" s="549" t="str">
        <f>IFERROR(IF(J21&lt;&gt;"",IF(VLOOKUP(T20,TraitFull,3,FALSE)=LEFT(J21,LEN(J21)-5),"T1/"&amp;VLOOKUP(T20,TraitFull,5,FALSE),IF(VLOOKUP(T20,TraitFull,6,FALSE)=LEFT(J21,LEN(J21)-5),"T2/"&amp;VLOOKUP(T20,TraitFull,8,FALSE),IF(VLOOKUP(T20,TraitFull,9,FALSE)=LEFT(J21,LEN(J21)-5),"T3/"&amp;VLOOKUP(T20,TraitFull,11,FALSE),""))),""),"")</f>
        <v/>
      </c>
      <c r="X21" s="546" t="str">
        <f>IFERROR(IF(D21&lt;&gt;"",IF(VLOOKUP(X20,TraitFull,3,FALSE)=LEFT(D21,LEN(D21)-5),"T1/"&amp;VLOOKUP(X20,TraitFull,5,FALSE),IF(VLOOKUP(X20,TraitFull,6,FALSE)=LEFT(D21,LEN(D21)-5),"T2/"&amp;VLOOKUP(X20,TraitFull,8,FALSE),IF(VLOOKUP(X20,TraitFull,9,FALSE)=LEFT(D21,LEN(D21)-5),"T3/"&amp;VLOOKUP(X20,TraitFull,11,FALSE),""))),""),"")</f>
        <v/>
      </c>
      <c r="Y21" s="547" t="str">
        <f>IFERROR(IF(F21&lt;&gt;"",IF(VLOOKUP(X20,TraitFull,3,FALSE)=LEFT(F21,LEN(F21)-5),"T1/"&amp;VLOOKUP(X20,TraitFull,5,FALSE),IF(VLOOKUP(X20,TraitFull,6,FALSE)=LEFT(F21,LEN(F21)-5),"T2/"&amp;VLOOKUP(X20,TraitFull,8,FALSE),IF(VLOOKUP(X20,TraitFull,9,FALSE)=LEFT(F21,LEN(F21)-5),"T3/"&amp;VLOOKUP(X20,TraitFull,11,FALSE),""))),""),"")</f>
        <v/>
      </c>
      <c r="Z21" s="548" t="str">
        <f>IFERROR(IF(H21&lt;&gt;"",IF(VLOOKUP(X20,TraitFull,3,FALSE)=LEFT(H21,LEN(H21)-5),"T1/"&amp;VLOOKUP(X20,TraitFull,5,FALSE),IF(VLOOKUP(X20,TraitFull,6,FALSE)=LEFT(H21,LEN(H21)-5),"T2/"&amp;VLOOKUP(X20,TraitFull,8,FALSE),IF(VLOOKUP(X20,TraitFull,9,FALSE)=LEFT(H21,LEN(H21)-5),"T3/"&amp;VLOOKUP(X20,TraitFull,11,FALSE),""))),""),"")</f>
        <v/>
      </c>
      <c r="AA21" s="549" t="str">
        <f>IFERROR(IF(J21&lt;&gt;"",IF(VLOOKUP(X20,TraitFull,3,FALSE)=LEFT(J21,LEN(J21)-5),"T1/"&amp;VLOOKUP(X20,TraitFull,5,FALSE),IF(VLOOKUP(X20,TraitFull,6,FALSE)=LEFT(J21,LEN(J21)-5),"T2/"&amp;VLOOKUP(X20,TraitFull,8,FALSE),IF(VLOOKUP(X20,TraitFull,9,FALSE)=LEFT(J21,LEN(J21)-5),"T3/"&amp;VLOOKUP(X20,TraitFull,11,FALSE),""))),""),"")</f>
        <v/>
      </c>
      <c r="AB21" s="161"/>
      <c r="AC21" s="448"/>
      <c r="AD21" s="382"/>
      <c r="AF21" s="295"/>
    </row>
    <row r="22" spans="1:32" ht="15.75" customHeight="1" x14ac:dyDescent="0.25">
      <c r="A22" s="176"/>
      <c r="B22" s="500"/>
      <c r="C22" s="709"/>
      <c r="D22" s="557" t="s">
        <v>2158</v>
      </c>
      <c r="E22" s="557" t="str">
        <f>IFERROR("Min:"&amp;VLOOKUP(D20,AwayMissionsFull,13,FALSE)*100&amp;"%","")</f>
        <v/>
      </c>
      <c r="F22" s="702" t="str">
        <f>IFERROR("Inc. Per Point:"&amp;VLOOKUP(D20,AwayMissionsFull,14,FALSE)*100&amp;"%","")</f>
        <v/>
      </c>
      <c r="G22" s="702"/>
      <c r="H22" s="702" t="str">
        <f>IFERROR("Total Points:"&amp;VLOOKUP(D20,AwayMissionsFull,15,FALSE)&amp;"","")</f>
        <v/>
      </c>
      <c r="I22" s="702"/>
      <c r="J22" s="557" t="str">
        <f>IFERROR("Max:"&amp;VLOOKUP(D20,AwayMissionsFull,16,FALSE)*100&amp;"%","")</f>
        <v/>
      </c>
      <c r="K22" s="562"/>
      <c r="L22" s="563" t="s">
        <v>2160</v>
      </c>
      <c r="M22" s="564" t="str">
        <f>IFERROR((MAX(IFERROR(RIGHT(VLOOKUP(P21,TraitCosts,1,FALSE),1),0),IFERROR(RIGHT(VLOOKUP(T21,TraitCosts,1,FALSE),1),0),IFERROR(RIGHT(VLOOKUP(X21,TraitCosts,1,FALSE),1),0))+MAX(IFERROR(RIGHT(VLOOKUP(Q21,TraitCosts,1,FALSE),1),0),IFERROR(RIGHT(VLOOKUP(U21,TraitCosts,1,FALSE),1),0),IFERROR(RIGHT(VLOOKUP(Y21,TraitCosts,1,FALSE),1),0))+MAX(IFERROR(RIGHT(VLOOKUP(R21,TraitCosts,1,FALSE),1),0),IFERROR(RIGHT(VLOOKUP(V21,TraitCosts,1,FALSE),1),0),IFERROR(RIGHT(VLOOKUP(Z21,TraitCosts,1,FALSE),1),0))+MAX(IFERROR(RIGHT(VLOOKUP(S21,TraitCosts,1,FALSE),1),0),IFERROR(RIGHT(VLOOKUP(W21,TraitCosts,1,FALSE),1),0),IFERROR(RIGHT(VLOOKUP(AA21,TraitCosts,1,FALSE),1),0)))*(IFERROR(VLOOKUP(D20,AwayMissionsFull,14,FALSE),""))+IFERROR(VLOOKUP(D20,AwayMissionsFull,13,FALSE),""),"")</f>
        <v/>
      </c>
      <c r="N22" s="563" t="s">
        <v>2159</v>
      </c>
      <c r="O22" s="564" t="str">
        <f>IFERROR((MAX(IFERROR(RIGHT(VLOOKUP(P21,TraitCosts,1,FALSE),1),0),IFERROR(RIGHT(VLOOKUP(T21,TraitCosts,1,FALSE),1),0),IFERROR(RIGHT(VLOOKUP(X21,TraitCosts,1,FALSE),1),0),IFERROR(RIGHT(VLOOKUP(P22,TraitCosts,1,FALSE),1),0),IFERROR(RIGHT(VLOOKUP(T22,TraitCosts,1,FALSE),1),0),IFERROR(RIGHT(VLOOKUP(X22,TraitCosts,1,FALSE),1),0))+MAX(IFERROR(RIGHT(VLOOKUP(Q21,TraitCosts,1,FALSE),1),0),IFERROR(RIGHT(VLOOKUP(U21,TraitCosts,1,FALSE),1),0),IFERROR(RIGHT(VLOOKUP(Y21,TraitCosts,1,FALSE),1),0),IFERROR(RIGHT(VLOOKUP(Q22,TraitCosts,1,FALSE),1),0),IFERROR(RIGHT(VLOOKUP(U22,TraitCosts,1,FALSE),1),0),IFERROR(RIGHT(VLOOKUP(Y22,TraitCosts,1,FALSE),1),0))+MAX(IFERROR(RIGHT(VLOOKUP(R21,TraitCosts,1,FALSE),1),0),IFERROR(RIGHT(VLOOKUP(V21,TraitCosts,1,FALSE),1),0),IFERROR(RIGHT(VLOOKUP(Z21,TraitCosts,1,FALSE),1),0),IFERROR(RIGHT(VLOOKUP(R22,TraitCosts,1,FALSE),1),0),IFERROR(RIGHT(VLOOKUP(V22,TraitCosts,1,FALSE),1),0),IFERROR(RIGHT(VLOOKUP(Z22,TraitCosts,1,FALSE),1),0))+MAX(IFERROR(RIGHT(VLOOKUP(S21,TraitCosts,1,FALSE),1),0),IFERROR(RIGHT(VLOOKUP(W21,TraitCosts,1,FALSE),1),0),IFERROR(RIGHT(VLOOKUP(AA21,TraitCosts,1,FALSE),1),0),IFERROR(RIGHT(VLOOKUP(S22,TraitCosts,1,FALSE),1),0),IFERROR(RIGHT(VLOOKUP(W22,TraitCosts,1,FALSE),1),0),IFERROR(RIGHT(VLOOKUP(AA22,TraitCosts,1,FALSE),1),0)))*(IFERROR(VLOOKUP(D20,AwayMissionsFull,14,FALSE),""))+IFERROR(VLOOKUP(D20,AwayMissionsFull,13,FALSE),""),"")</f>
        <v/>
      </c>
      <c r="P22" s="556" t="str">
        <f>Migration!Y29&amp;""</f>
        <v/>
      </c>
      <c r="Q22" s="556" t="str">
        <f>Migration!Z29&amp;""</f>
        <v/>
      </c>
      <c r="R22" s="556" t="str">
        <f>Migration!AA29&amp;""</f>
        <v/>
      </c>
      <c r="S22" s="556" t="str">
        <f>Migration!AB29&amp;""</f>
        <v/>
      </c>
      <c r="T22" s="557" t="str">
        <f>Migration!Y30&amp;""</f>
        <v/>
      </c>
      <c r="U22" s="556" t="str">
        <f>Migration!Z30&amp;""</f>
        <v/>
      </c>
      <c r="V22" s="556" t="str">
        <f>Migration!AA30&amp;""</f>
        <v/>
      </c>
      <c r="W22" s="556" t="str">
        <f>Migration!AB30&amp;""</f>
        <v/>
      </c>
      <c r="X22" s="557" t="str">
        <f>Migration!Y31&amp;""</f>
        <v/>
      </c>
      <c r="Y22" s="556" t="str">
        <f>Migration!Z31&amp;""</f>
        <v/>
      </c>
      <c r="Z22" s="556" t="str">
        <f>Migration!AA31&amp;""</f>
        <v/>
      </c>
      <c r="AA22" s="556" t="str">
        <f>Migration!AB31&amp;""</f>
        <v/>
      </c>
      <c r="AB22" s="161"/>
      <c r="AC22" s="448"/>
      <c r="AD22" s="382"/>
      <c r="AF22" s="295"/>
    </row>
    <row r="23" spans="1:32" ht="15.75" customHeight="1" x14ac:dyDescent="0.25">
      <c r="A23" s="176"/>
      <c r="B23" s="500"/>
      <c r="C23" s="709">
        <v>7</v>
      </c>
      <c r="D23" s="703" t="str">
        <f>Migration!X10&amp;""</f>
        <v/>
      </c>
      <c r="E23" s="704"/>
      <c r="F23" s="704"/>
      <c r="G23" s="704"/>
      <c r="H23" s="699" t="str">
        <f>IFERROR(VLOOKUP(D23,AwayMissionsFull,4,FALSE)&amp;"","")</f>
        <v/>
      </c>
      <c r="I23" s="699"/>
      <c r="J23" s="699" t="str">
        <f>IFERROR(VLOOKUP(D23,AwayMissionsFull,5,FALSE)&amp;"","")</f>
        <v/>
      </c>
      <c r="K23" s="699"/>
      <c r="L23" s="699" t="str">
        <f>IFERROR(VLOOKUP(D23,AwayMissionsFull,6,FALSE)&amp;"","")</f>
        <v/>
      </c>
      <c r="M23" s="699"/>
      <c r="N23" s="708" t="str">
        <f>IFERROR(VLOOKUP(D23,AwayMissionsFull,7,FALSE)&amp;"","")</f>
        <v/>
      </c>
      <c r="O23" s="708"/>
      <c r="P23" s="717" t="str">
        <f>Migration!X32&amp;""</f>
        <v/>
      </c>
      <c r="Q23" s="717"/>
      <c r="R23" s="717"/>
      <c r="S23" s="717"/>
      <c r="T23" s="717" t="str">
        <f>Migration!X33&amp;""</f>
        <v/>
      </c>
      <c r="U23" s="717"/>
      <c r="V23" s="717"/>
      <c r="W23" s="717"/>
      <c r="X23" s="717" t="str">
        <f>Migration!X34&amp;""</f>
        <v/>
      </c>
      <c r="Y23" s="717"/>
      <c r="Z23" s="717"/>
      <c r="AA23" s="717"/>
      <c r="AB23" s="161"/>
      <c r="AC23" s="448"/>
      <c r="AD23" s="382"/>
      <c r="AF23" s="295"/>
    </row>
    <row r="24" spans="1:32" ht="15.75" customHeight="1" x14ac:dyDescent="0.25">
      <c r="A24" s="176"/>
      <c r="B24" s="499"/>
      <c r="C24" s="709"/>
      <c r="D24" s="713" t="str">
        <f>IFERROR(IF(VLOOKUP(D23,AwayMissionsFull,8,FALSE)&amp;"" &lt;&gt;"",VLOOKUP(D23,AwayMissionsFull,8,FALSE)&amp; " (T"&amp;(SUMPRODUCT(--(TraitNames=VLOOKUP(D23,AwayMissionsFull,8,FALSE))*COLUMN(TraitNames))/COUNTIF(TraitNames,VLOOKUP(D23,AwayMissionsFull,8,FALSE))-1)/3&amp;")",""),"")</f>
        <v/>
      </c>
      <c r="E24" s="713"/>
      <c r="F24" s="714" t="str">
        <f>IFERROR(IF(VLOOKUP(D23,AwayMissionsFull,9,FALSE)&amp;"" &lt;&gt;"",VLOOKUP(D23,AwayMissionsFull,9,FALSE)&amp; " (T"&amp;(SUMPRODUCT(--(TraitNames=VLOOKUP(D23,AwayMissionsFull,9,FALSE))*COLUMN(TraitNames))/COUNTIF(TraitNames,VLOOKUP(D23,AwayMissionsFull,9,FALSE))-1)/3&amp;")",""),"")</f>
        <v/>
      </c>
      <c r="G24" s="714"/>
      <c r="H24" s="708" t="str">
        <f>IFERROR(IF(VLOOKUP(D23,AwayMissionsFull,10,FALSE)&amp;"" &lt;&gt;"",VLOOKUP(D23,AwayMissionsFull,10,FALSE)&amp; " (T"&amp;(SUMPRODUCT(--(TraitNames=VLOOKUP(D23,AwayMissionsFull,10,FALSE))*COLUMN(TraitNames))/COUNTIF(TraitNames,VLOOKUP(D23,AwayMissionsFull,10,FALSE))-1)/3&amp;")",""),"")</f>
        <v/>
      </c>
      <c r="I24" s="708"/>
      <c r="J24" s="699" t="str">
        <f>IFERROR(IF(VLOOKUP(D23,AwayMissionsFull,11,FALSE)&amp;"" &lt;&gt;"",VLOOKUP(D23,AwayMissionsFull,11,FALSE)&amp; " (T"&amp;(SUMPRODUCT(--(TraitNames=VLOOKUP(D23,AwayMissionsFull,11,FALSE))*COLUMN(TraitNames))/COUNTIF(TraitNames,VLOOKUP(D23,AwayMissionsFull,11,FALSE))-1)/3&amp;")",""),"")</f>
        <v/>
      </c>
      <c r="K24" s="699"/>
      <c r="L24" s="558" t="s">
        <v>2163</v>
      </c>
      <c r="M24" s="559">
        <f>IF(ISNUMBER(SEARCH("T1",D24))=TRUE,8000,IF(ISNUMBER(SEARCH("T2",D24))=TRUE,37500,IF(ISNUMBER(SEARCH("T3",D24))=TRUE,323500,0)))+IF(ISNUMBER(SEARCH("T1",F24))=TRUE,8000,IF(ISNUMBER(SEARCH("T2",F24))=TRUE,37500,IF(ISNUMBER(SEARCH("T3",F24))=TRUE,323500,0)))+IF(ISNUMBER(SEARCH("T1",H24))=TRUE,8000,IF(ISNUMBER(SEARCH("T2",H24))=TRUE,37500,IF(ISNUMBER(SEARCH("T3",H24))=TRUE,323500,0)))+IF(ISNUMBER(SEARCH("T1",J24))=TRUE,8000,IF(ISNUMBER(SEARCH("T2",J24))=TRUE,37500,IF(ISNUMBER(SEARCH("T3",J24))=TRUE,323500,0)))</f>
        <v>0</v>
      </c>
      <c r="N24" s="560" t="s">
        <v>2164</v>
      </c>
      <c r="O24" s="561">
        <f>(MAX(IFERROR(VLOOKUP(P25,TraitCosts,4,FALSE),0),IFERROR(VLOOKUP(Q25,TraitCosts,4,FALSE),0),IFERROR(VLOOKUP(R25,TraitCosts,4,FALSE),0),IFERROR(VLOOKUP(S25,TraitCosts,4,FALSE),0))-MAX(IF(P25&lt;&gt;"",IFERROR(VLOOKUP(P24,TraitCosts,4,FALSE),0),0),IF(Q25&lt;&gt;"",IFERROR(VLOOKUP(Q24,TraitCosts,4,FALSE),0),0),IF(R25&lt;&gt;"",IFERROR(VLOOKUP(R24,TraitCosts,4,FALSE),0),0),IF(S25&lt;&gt;"",IFERROR(VLOOKUP(S24,TraitCosts,4,FALSE),0),0)))+(MAX(IFERROR(VLOOKUP(T25,TraitCosts,4,FALSE),0),IFERROR(VLOOKUP(U25,TraitCosts,4,FALSE),0),IFERROR(VLOOKUP(V25,TraitCosts,4,FALSE),0),IFERROR(VLOOKUP(W25,TraitCosts,4,FALSE),0))-MAX(IF(T25&lt;&gt;"",IFERROR(VLOOKUP(T24,TraitCosts,4,FALSE),0),0),IF(U25&lt;&gt;"",IFERROR(VLOOKUP(U24,TraitCosts,4,FALSE),0),0),IF(V25&lt;&gt;"",IFERROR(VLOOKUP(V24,TraitCosts,4,FALSE),0),0),IF(W25&lt;&gt;"",IFERROR(VLOOKUP(W24,TraitCosts,4,FALSE),0),0)))+(MAX(IFERROR(VLOOKUP(X25,TraitCosts,4,FALSE),0),IFERROR(VLOOKUP(Y25,TraitCosts,4,FALSE),0),IFERROR(VLOOKUP(Z25,TraitCosts,4,FALSE),0),IFERROR(VLOOKUP(AA25,TraitCosts,4,FALSE),0))-MAX(IF(X25&lt;&gt;"",IFERROR(VLOOKUP(X24,TraitCosts,4,FALSE),0),0),IF(Y25&lt;&gt;"",IFERROR(VLOOKUP(Y24,TraitCosts,4,FALSE),0),0),IF(Z25&lt;&gt;"",IFERROR(VLOOKUP(Z24,TraitCosts,4,FALSE),0),0),IF(AA25&lt;&gt;"",IFERROR(VLOOKUP(AA24,TraitCosts,4,FALSE),0),0)))</f>
        <v>0</v>
      </c>
      <c r="P24" s="534" t="str">
        <f>IFERROR(IF(D24&lt;&gt;"",IF(VLOOKUP(P23,TraitFull,3,FALSE)=LEFT(D24,LEN(D24)-5),"T1/"&amp;VLOOKUP(P23,TraitFull,5,FALSE),IF(VLOOKUP(P23,TraitFull,6,FALSE)=LEFT(D24,LEN(D24)-5),"T2/"&amp;VLOOKUP(P23,TraitFull,8,FALSE),IF(VLOOKUP(P23,TraitFull,9,FALSE)=LEFT(D24,LEN(D24)-5),"T3/"&amp;VLOOKUP(P23,TraitFull,11,FALSE),""))),""),"")</f>
        <v/>
      </c>
      <c r="Q24" s="535" t="str">
        <f>IFERROR(IF(F24&lt;&gt;"",IF(VLOOKUP(P23,TraitFull,3,FALSE)=LEFT(F24,LEN(F24)-5),"T1/"&amp;VLOOKUP(P23,TraitFull,5,FALSE),IF(VLOOKUP(P23,TraitFull,6,FALSE)=LEFT(F24,LEN(F24)-5),"T2/"&amp;VLOOKUP(P23,TraitFull,8,FALSE),IF(VLOOKUP(P23,TraitFull,9,FALSE)=LEFT(F24,LEN(F24)-5),"T3/"&amp;VLOOKUP(P23,TraitFull,11,FALSE),""))),""),"")</f>
        <v/>
      </c>
      <c r="R24" s="536" t="str">
        <f>IFERROR(IF(H24&lt;&gt;"",IF(VLOOKUP(P23,TraitFull,3,FALSE)=LEFT(H24,LEN(H24)-5),"T1/"&amp;VLOOKUP(P23,TraitFull,5,FALSE),IF(VLOOKUP(P23,TraitFull,6,FALSE)=LEFT(H24,LEN(H24)-5),"T2/"&amp;VLOOKUP(P23,TraitFull,8,FALSE),IF(VLOOKUP(P23,TraitFull,9,FALSE)=LEFT(H24,LEN(H24)-5),"T3/"&amp;VLOOKUP(P23,TraitFull,11,FALSE),""))),""),"")</f>
        <v/>
      </c>
      <c r="S24" s="537" t="str">
        <f>IFERROR(IF(J24&lt;&gt;"",IF(VLOOKUP(P23,TraitFull,3,FALSE)=LEFT(J24,LEN(J24)-5),"T1/"&amp;VLOOKUP(P23,TraitFull,5,FALSE),IF(VLOOKUP(P23,TraitFull,6,FALSE)=LEFT(J24,LEN(J24)-5),"T2/"&amp;VLOOKUP(P23,TraitFull,8,FALSE),IF(VLOOKUP(P23,TraitFull,9,FALSE)=LEFT(J24,LEN(J24)-5),"T3/"&amp;VLOOKUP(P23,TraitFull,11,FALSE),""))),""),"")</f>
        <v/>
      </c>
      <c r="T24" s="538" t="str">
        <f>IFERROR(IF(D24&lt;&gt;"",IF(VLOOKUP(T23,TraitFull,3,FALSE)=LEFT(D24,LEN(D24)-5),"T1/"&amp;VLOOKUP(T23,TraitFull,5,FALSE),IF(VLOOKUP(T23,TraitFull,6,FALSE)=LEFT(D24,LEN(D24)-5),"T2/"&amp;VLOOKUP(T23,TraitFull,8,FALSE),IF(VLOOKUP(T23,TraitFull,9,FALSE)=LEFT(D24,LEN(D24)-5),"T3/"&amp;VLOOKUP(T23,TraitFull,11,FALSE),""))),""),"")</f>
        <v/>
      </c>
      <c r="U24" s="539" t="str">
        <f>IFERROR(IF(F24&lt;&gt;"",IF(VLOOKUP(T23,TraitFull,3,FALSE)=LEFT(F24,LEN(F24)-5),"T1/"&amp;VLOOKUP(T23,TraitFull,5,FALSE),IF(VLOOKUP(T23,TraitFull,6,FALSE)=LEFT(F24,LEN(F24)-5),"T2/"&amp;VLOOKUP(T23,TraitFull,8,FALSE),IF(VLOOKUP(T23,TraitFull,9,FALSE)=LEFT(F24,LEN(F24)-5),"T3/"&amp;VLOOKUP(T23,TraitFull,11,FALSE),""))),""),"")</f>
        <v/>
      </c>
      <c r="V24" s="540" t="str">
        <f>IFERROR(IF(H24&lt;&gt;"",IF(VLOOKUP(T23,TraitFull,3,FALSE)=LEFT(H24,LEN(H24)-5),"T1/"&amp;VLOOKUP(T23,TraitFull,5,FALSE),IF(VLOOKUP(T23,TraitFull,6,FALSE)=LEFT(H24,LEN(H24)-5),"T2/"&amp;VLOOKUP(T23,TraitFull,8,FALSE),IF(VLOOKUP(T23,TraitFull,9,FALSE)=LEFT(H24,LEN(H24)-5),"T3/"&amp;VLOOKUP(T23,TraitFull,11,FALSE),""))),""),"")</f>
        <v/>
      </c>
      <c r="W24" s="541" t="str">
        <f>IFERROR(IF(J24&lt;&gt;"",IF(VLOOKUP(T23,TraitFull,3,FALSE)=LEFT(J24,LEN(J24)-5),"T1/"&amp;VLOOKUP(T23,TraitFull,5,FALSE),IF(VLOOKUP(T23,TraitFull,6,FALSE)=LEFT(J24,LEN(J24)-5),"T2/"&amp;VLOOKUP(T23,TraitFull,8,FALSE),IF(VLOOKUP(T23,TraitFull,9,FALSE)=LEFT(J24,LEN(J24)-5),"T3/"&amp;VLOOKUP(T23,TraitFull,11,FALSE),""))),""),"")</f>
        <v/>
      </c>
      <c r="X24" s="538" t="str">
        <f>IFERROR(IF(D24&lt;&gt;"",IF(VLOOKUP(X23,TraitFull,3,FALSE)=LEFT(D24,LEN(D24)-5),"T1/"&amp;VLOOKUP(X23,TraitFull,5,FALSE),IF(VLOOKUP(X23,TraitFull,6,FALSE)=LEFT(D24,LEN(D24)-5),"T2/"&amp;VLOOKUP(X23,TraitFull,8,FALSE),IF(VLOOKUP(X23,TraitFull,9,FALSE)=LEFT(D24,LEN(D24)-5),"T3/"&amp;VLOOKUP(X23,TraitFull,11,FALSE),""))),""),"")</f>
        <v/>
      </c>
      <c r="Y24" s="539" t="str">
        <f>IFERROR(IF(F24&lt;&gt;"",IF(VLOOKUP(X23,TraitFull,3,FALSE)=LEFT(F24,LEN(F24)-5),"T1/"&amp;VLOOKUP(X23,TraitFull,5,FALSE),IF(VLOOKUP(X23,TraitFull,6,FALSE)=LEFT(F24,LEN(F24)-5),"T2/"&amp;VLOOKUP(X23,TraitFull,8,FALSE),IF(VLOOKUP(X23,TraitFull,9,FALSE)=LEFT(F24,LEN(F24)-5),"T3/"&amp;VLOOKUP(X23,TraitFull,11,FALSE),""))),""),"")</f>
        <v/>
      </c>
      <c r="Z24" s="540" t="str">
        <f>IFERROR(IF(H24&lt;&gt;"",IF(VLOOKUP(X23,TraitFull,3,FALSE)=LEFT(H24,LEN(H24)-5),"T1/"&amp;VLOOKUP(X23,TraitFull,5,FALSE),IF(VLOOKUP(X23,TraitFull,6,FALSE)=LEFT(H24,LEN(H24)-5),"T2/"&amp;VLOOKUP(X23,TraitFull,8,FALSE),IF(VLOOKUP(X23,TraitFull,9,FALSE)=LEFT(H24,LEN(H24)-5),"T3/"&amp;VLOOKUP(X23,TraitFull,11,FALSE),""))),""),"")</f>
        <v/>
      </c>
      <c r="AA24" s="541" t="str">
        <f>IFERROR(IF(J24&lt;&gt;"",IF(VLOOKUP(X23,TraitFull,3,FALSE)=LEFT(J24,LEN(J24)-5),"T1/"&amp;VLOOKUP(X23,TraitFull,5,FALSE),IF(VLOOKUP(X23,TraitFull,6,FALSE)=LEFT(J24,LEN(J24)-5),"T2/"&amp;VLOOKUP(X23,TraitFull,8,FALSE),IF(VLOOKUP(X23,TraitFull,9,FALSE)=LEFT(J24,LEN(J24)-5),"T3/"&amp;VLOOKUP(X23,TraitFull,11,FALSE),""))),""),"")</f>
        <v/>
      </c>
      <c r="AB24" s="161"/>
      <c r="AC24" s="448"/>
      <c r="AD24" s="11" t="s">
        <v>207</v>
      </c>
      <c r="AF24" s="295"/>
    </row>
    <row r="25" spans="1:32" ht="15.75" customHeight="1" thickBot="1" x14ac:dyDescent="0.3">
      <c r="A25" s="176"/>
      <c r="B25" s="499"/>
      <c r="C25" s="709"/>
      <c r="D25" s="552" t="s">
        <v>2158</v>
      </c>
      <c r="E25" s="552" t="str">
        <f>IFERROR("Min:"&amp;VLOOKUP(D23,AwayMissionsFull,13,FALSE)*100&amp;"%","")</f>
        <v/>
      </c>
      <c r="F25" s="701" t="str">
        <f>IFERROR("Inc. Per Point:"&amp;VLOOKUP(D23,AwayMissionsFull,14,FALSE)*100&amp;"%","")</f>
        <v/>
      </c>
      <c r="G25" s="701"/>
      <c r="H25" s="701" t="str">
        <f>IFERROR("Total Points:"&amp;VLOOKUP(D23,AwayMissionsFull,15,FALSE)&amp;"","")</f>
        <v/>
      </c>
      <c r="I25" s="701"/>
      <c r="J25" s="552" t="str">
        <f>IFERROR("Max:"&amp;VLOOKUP(D23,AwayMissionsFull,16,FALSE)*100&amp;"%","")</f>
        <v/>
      </c>
      <c r="K25" s="553"/>
      <c r="L25" s="554" t="s">
        <v>2160</v>
      </c>
      <c r="M25" s="555" t="str">
        <f>IFERROR((MAX(IFERROR(RIGHT(VLOOKUP(P24,TraitCosts,1,FALSE),1),0),IFERROR(RIGHT(VLOOKUP(T24,TraitCosts,1,FALSE),1),0),IFERROR(RIGHT(VLOOKUP(X24,TraitCosts,1,FALSE),1),0))+MAX(IFERROR(RIGHT(VLOOKUP(Q24,TraitCosts,1,FALSE),1),0),IFERROR(RIGHT(VLOOKUP(U24,TraitCosts,1,FALSE),1),0),IFERROR(RIGHT(VLOOKUP(Y24,TraitCosts,1,FALSE),1),0))+MAX(IFERROR(RIGHT(VLOOKUP(R24,TraitCosts,1,FALSE),1),0),IFERROR(RIGHT(VLOOKUP(V24,TraitCosts,1,FALSE),1),0),IFERROR(RIGHT(VLOOKUP(Z24,TraitCosts,1,FALSE),1),0))+MAX(IFERROR(RIGHT(VLOOKUP(S24,TraitCosts,1,FALSE),1),0),IFERROR(RIGHT(VLOOKUP(W24,TraitCosts,1,FALSE),1),0),IFERROR(RIGHT(VLOOKUP(AA24,TraitCosts,1,FALSE),1),0)))*(IFERROR(VLOOKUP(D23,AwayMissionsFull,14,FALSE),""))+IFERROR(VLOOKUP(D23,AwayMissionsFull,13,FALSE),""),"")</f>
        <v/>
      </c>
      <c r="N25" s="554" t="s">
        <v>2159</v>
      </c>
      <c r="O25" s="555" t="str">
        <f>IFERROR((MAX(IFERROR(RIGHT(VLOOKUP(P24,TraitCosts,1,FALSE),1),0),IFERROR(RIGHT(VLOOKUP(T24,TraitCosts,1,FALSE),1),0),IFERROR(RIGHT(VLOOKUP(X24,TraitCosts,1,FALSE),1),0),IFERROR(RIGHT(VLOOKUP(P25,TraitCosts,1,FALSE),1),0),IFERROR(RIGHT(VLOOKUP(T25,TraitCosts,1,FALSE),1),0),IFERROR(RIGHT(VLOOKUP(X25,TraitCosts,1,FALSE),1),0))+MAX(IFERROR(RIGHT(VLOOKUP(Q24,TraitCosts,1,FALSE),1),0),IFERROR(RIGHT(VLOOKUP(U24,TraitCosts,1,FALSE),1),0),IFERROR(RIGHT(VLOOKUP(Y24,TraitCosts,1,FALSE),1),0),IFERROR(RIGHT(VLOOKUP(Q25,TraitCosts,1,FALSE),1),0),IFERROR(RIGHT(VLOOKUP(U25,TraitCosts,1,FALSE),1),0),IFERROR(RIGHT(VLOOKUP(Y25,TraitCosts,1,FALSE),1),0))+MAX(IFERROR(RIGHT(VLOOKUP(R24,TraitCosts,1,FALSE),1),0),IFERROR(RIGHT(VLOOKUP(V24,TraitCosts,1,FALSE),1),0),IFERROR(RIGHT(VLOOKUP(Z24,TraitCosts,1,FALSE),1),0),IFERROR(RIGHT(VLOOKUP(R25,TraitCosts,1,FALSE),1),0),IFERROR(RIGHT(VLOOKUP(V25,TraitCosts,1,FALSE),1),0),IFERROR(RIGHT(VLOOKUP(Z25,TraitCosts,1,FALSE),1),0))+MAX(IFERROR(RIGHT(VLOOKUP(S24,TraitCosts,1,FALSE),1),0),IFERROR(RIGHT(VLOOKUP(W24,TraitCosts,1,FALSE),1),0),IFERROR(RIGHT(VLOOKUP(AA24,TraitCosts,1,FALSE),1),0),IFERROR(RIGHT(VLOOKUP(S25,TraitCosts,1,FALSE),1),0),IFERROR(RIGHT(VLOOKUP(W25,TraitCosts,1,FALSE),1),0),IFERROR(RIGHT(VLOOKUP(AA25,TraitCosts,1,FALSE),1),0)))*(IFERROR(VLOOKUP(D23,AwayMissionsFull,14,FALSE),""))+IFERROR(VLOOKUP(D23,AwayMissionsFull,13,FALSE),""),"")</f>
        <v/>
      </c>
      <c r="P25" s="569" t="str">
        <f>Migration!Y32&amp;""</f>
        <v/>
      </c>
      <c r="Q25" s="569" t="str">
        <f>Migration!Z32&amp;""</f>
        <v/>
      </c>
      <c r="R25" s="569" t="str">
        <f>Migration!AA32&amp;""</f>
        <v/>
      </c>
      <c r="S25" s="569" t="str">
        <f>Migration!AB32&amp;""</f>
        <v/>
      </c>
      <c r="T25" s="552" t="str">
        <f>Migration!Y33&amp;""</f>
        <v/>
      </c>
      <c r="U25" s="569" t="str">
        <f>Migration!Z33&amp;""</f>
        <v/>
      </c>
      <c r="V25" s="569" t="str">
        <f>Migration!AA33&amp;""</f>
        <v/>
      </c>
      <c r="W25" s="569" t="str">
        <f>Migration!AB33&amp;""</f>
        <v/>
      </c>
      <c r="X25" s="552" t="str">
        <f>Migration!Y34&amp;""</f>
        <v/>
      </c>
      <c r="Y25" s="569" t="str">
        <f>Migration!Z34&amp;""</f>
        <v/>
      </c>
      <c r="Z25" s="569" t="str">
        <f>Migration!AA34&amp;""</f>
        <v/>
      </c>
      <c r="AA25" s="569" t="str">
        <f>Migration!AB34&amp;""</f>
        <v/>
      </c>
      <c r="AB25" s="161"/>
      <c r="AC25" s="448"/>
      <c r="AD25" s="382"/>
      <c r="AF25" s="295"/>
    </row>
    <row r="26" spans="1:32" ht="15.75" customHeight="1" x14ac:dyDescent="0.25">
      <c r="A26" s="173"/>
      <c r="B26" s="498"/>
      <c r="C26" s="709">
        <v>8</v>
      </c>
      <c r="D26" s="703" t="str">
        <f>Migration!X11&amp;""</f>
        <v/>
      </c>
      <c r="E26" s="704"/>
      <c r="F26" s="704"/>
      <c r="G26" s="704"/>
      <c r="H26" s="700" t="str">
        <f>IFERROR(VLOOKUP(D26,AwayMissionsFull,4,FALSE)&amp;"","")</f>
        <v/>
      </c>
      <c r="I26" s="700"/>
      <c r="J26" s="700" t="str">
        <f>IFERROR(VLOOKUP(D26,AwayMissionsFull,5,FALSE)&amp;"","")</f>
        <v/>
      </c>
      <c r="K26" s="700"/>
      <c r="L26" s="700" t="str">
        <f>IFERROR(VLOOKUP(D26,AwayMissionsFull,6,FALSE)&amp;"","")</f>
        <v/>
      </c>
      <c r="M26" s="700"/>
      <c r="N26" s="710" t="str">
        <f>IFERROR(VLOOKUP(D26,AwayMissionsFull,7,FALSE)&amp;"","")</f>
        <v/>
      </c>
      <c r="O26" s="710"/>
      <c r="P26" s="716" t="str">
        <f>Migration!X35&amp;""</f>
        <v/>
      </c>
      <c r="Q26" s="716"/>
      <c r="R26" s="716"/>
      <c r="S26" s="716"/>
      <c r="T26" s="716" t="str">
        <f>Migration!X36&amp;""</f>
        <v/>
      </c>
      <c r="U26" s="716"/>
      <c r="V26" s="716"/>
      <c r="W26" s="716"/>
      <c r="X26" s="716" t="str">
        <f>Migration!X37&amp;""</f>
        <v/>
      </c>
      <c r="Y26" s="716"/>
      <c r="Z26" s="716"/>
      <c r="AA26" s="716"/>
      <c r="AB26" s="161"/>
      <c r="AC26" s="570"/>
      <c r="AD26" s="571"/>
      <c r="AF26" s="295"/>
    </row>
    <row r="27" spans="1:32" ht="15.75" customHeight="1" x14ac:dyDescent="0.25">
      <c r="A27" s="176"/>
      <c r="B27" s="499"/>
      <c r="C27" s="709"/>
      <c r="D27" s="711" t="str">
        <f>IFERROR(IF(VLOOKUP(D26,AwayMissionsFull,8,FALSE)&amp;"" &lt;&gt;"",VLOOKUP(D26,AwayMissionsFull,8,FALSE)&amp; " (T"&amp;(SUMPRODUCT(--(TraitNames=VLOOKUP(D26,AwayMissionsFull,8,FALSE))*COLUMN(TraitNames))/COUNTIF(TraitNames,VLOOKUP(D26,AwayMissionsFull,8,FALSE))-1)/3&amp;")",""),"")</f>
        <v/>
      </c>
      <c r="E27" s="711"/>
      <c r="F27" s="712" t="str">
        <f>IFERROR(IF(VLOOKUP(D26,AwayMissionsFull,9,FALSE)&amp;"" &lt;&gt;"",VLOOKUP(D26,AwayMissionsFull,9,FALSE)&amp; " (T"&amp;(SUMPRODUCT(--(TraitNames=VLOOKUP(D26,AwayMissionsFull,9,FALSE))*COLUMN(TraitNames))/COUNTIF(TraitNames,VLOOKUP(D26,AwayMissionsFull,9,FALSE))-1)/3&amp;")",""),"")</f>
        <v/>
      </c>
      <c r="G27" s="712"/>
      <c r="H27" s="710" t="str">
        <f>IFERROR(IF(VLOOKUP(D26,AwayMissionsFull,10,FALSE)&amp;"" &lt;&gt;"",VLOOKUP(D26,AwayMissionsFull,10,FALSE)&amp; " (T"&amp;(SUMPRODUCT(--(TraitNames=VLOOKUP(D26,AwayMissionsFull,10,FALSE))*COLUMN(TraitNames))/COUNTIF(TraitNames,VLOOKUP(D26,AwayMissionsFull,10,FALSE))-1)/3&amp;")",""),"")</f>
        <v/>
      </c>
      <c r="I27" s="710"/>
      <c r="J27" s="700" t="str">
        <f>IFERROR(IF(VLOOKUP(D26,AwayMissionsFull,11,FALSE)&amp;"" &lt;&gt;"",VLOOKUP(D26,AwayMissionsFull,11,FALSE)&amp; " (T"&amp;(SUMPRODUCT(--(TraitNames=VLOOKUP(D26,AwayMissionsFull,11,FALSE))*COLUMN(TraitNames))/COUNTIF(TraitNames,VLOOKUP(D26,AwayMissionsFull,11,FALSE))-1)/3&amp;")",""),"")</f>
        <v/>
      </c>
      <c r="K27" s="700"/>
      <c r="L27" s="565" t="s">
        <v>2163</v>
      </c>
      <c r="M27" s="566">
        <f>IF(ISNUMBER(SEARCH("T1",D27))=TRUE,8000,IF(ISNUMBER(SEARCH("T2",D27))=TRUE,37500,IF(ISNUMBER(SEARCH("T3",D27))=TRUE,323500,0)))+IF(ISNUMBER(SEARCH("T1",F27))=TRUE,8000,IF(ISNUMBER(SEARCH("T2",F27))=TRUE,37500,IF(ISNUMBER(SEARCH("T3",F27))=TRUE,323500,0)))+IF(ISNUMBER(SEARCH("T1",H27))=TRUE,8000,IF(ISNUMBER(SEARCH("T2",H27))=TRUE,37500,IF(ISNUMBER(SEARCH("T3",H27))=TRUE,323500,0)))+IF(ISNUMBER(SEARCH("T1",J27))=TRUE,8000,IF(ISNUMBER(SEARCH("T2",J27))=TRUE,37500,IF(ISNUMBER(SEARCH("T3",J27))=TRUE,323500,0)))</f>
        <v>0</v>
      </c>
      <c r="N27" s="567" t="s">
        <v>2164</v>
      </c>
      <c r="O27" s="568">
        <f>(MAX(IFERROR(VLOOKUP(P28,TraitCosts,4,FALSE),0),IFERROR(VLOOKUP(Q28,TraitCosts,4,FALSE),0),IFERROR(VLOOKUP(R28,TraitCosts,4,FALSE),0),IFERROR(VLOOKUP(S28,TraitCosts,4,FALSE),0))-MAX(IF(P28&lt;&gt;"",IFERROR(VLOOKUP(P27,TraitCosts,4,FALSE),0),0),IF(Q28&lt;&gt;"",IFERROR(VLOOKUP(Q27,TraitCosts,4,FALSE),0),0),IF(R28&lt;&gt;"",IFERROR(VLOOKUP(R27,TraitCosts,4,FALSE),0),0),IF(S28&lt;&gt;"",IFERROR(VLOOKUP(S27,TraitCosts,4,FALSE),0),0)))+(MAX(IFERROR(VLOOKUP(T28,TraitCosts,4,FALSE),0),IFERROR(VLOOKUP(U28,TraitCosts,4,FALSE),0),IFERROR(VLOOKUP(V28,TraitCosts,4,FALSE),0),IFERROR(VLOOKUP(W28,TraitCosts,4,FALSE),0))-MAX(IF(T28&lt;&gt;"",IFERROR(VLOOKUP(T27,TraitCosts,4,FALSE),0),0),IF(U28&lt;&gt;"",IFERROR(VLOOKUP(U27,TraitCosts,4,FALSE),0),0),IF(V28&lt;&gt;"",IFERROR(VLOOKUP(V27,TraitCosts,4,FALSE),0),0),IF(W28&lt;&gt;"",IFERROR(VLOOKUP(W27,TraitCosts,4,FALSE),0),0)))+(MAX(IFERROR(VLOOKUP(X28,TraitCosts,4,FALSE),0),IFERROR(VLOOKUP(Y28,TraitCosts,4,FALSE),0),IFERROR(VLOOKUP(Z28,TraitCosts,4,FALSE),0),IFERROR(VLOOKUP(AA28,TraitCosts,4,FALSE),0))-MAX(IF(X28&lt;&gt;"",IFERROR(VLOOKUP(X27,TraitCosts,4,FALSE),0),0),IF(Y28&lt;&gt;"",IFERROR(VLOOKUP(Y27,TraitCosts,4,FALSE),0),0),IF(Z28&lt;&gt;"",IFERROR(VLOOKUP(Z27,TraitCosts,4,FALSE),0),0),IF(AA28&lt;&gt;"",IFERROR(VLOOKUP(AA27,TraitCosts,4,FALSE),0),0)))</f>
        <v>0</v>
      </c>
      <c r="P27" s="542" t="str">
        <f>IFERROR(IF(D27&lt;&gt;"",IF(VLOOKUP(P26,TraitFull,3,FALSE)=LEFT(D27,LEN(D27)-5),"T1/"&amp;VLOOKUP(P26,TraitFull,5,FALSE),IF(VLOOKUP(P26,TraitFull,6,FALSE)=LEFT(D27,LEN(D27)-5),"T2/"&amp;VLOOKUP(P26,TraitFull,8,FALSE),IF(VLOOKUP(P26,TraitFull,9,FALSE)=LEFT(D27,LEN(D27)-5),"T3/"&amp;VLOOKUP(P26,TraitFull,11,FALSE),""))),""),"")</f>
        <v/>
      </c>
      <c r="Q27" s="543" t="str">
        <f>IFERROR(IF(F27&lt;&gt;"",IF(VLOOKUP(P26,TraitFull,3,FALSE)=LEFT(F27,LEN(F27)-5),"T1/"&amp;VLOOKUP(P26,TraitFull,5,FALSE),IF(VLOOKUP(P26,TraitFull,6,FALSE)=LEFT(F27,LEN(F27)-5),"T2/"&amp;VLOOKUP(P26,TraitFull,8,FALSE),IF(VLOOKUP(P26,TraitFull,9,FALSE)=LEFT(F27,LEN(F27)-5),"T3/"&amp;VLOOKUP(P26,TraitFull,11,FALSE),""))),""),"")</f>
        <v/>
      </c>
      <c r="R27" s="544" t="str">
        <f>IFERROR(IF(H27&lt;&gt;"",IF(VLOOKUP(P26,TraitFull,3,FALSE)=LEFT(H27,LEN(H27)-5),"T1/"&amp;VLOOKUP(P26,TraitFull,5,FALSE),IF(VLOOKUP(P26,TraitFull,6,FALSE)=LEFT(H27,LEN(H27)-5),"T2/"&amp;VLOOKUP(P26,TraitFull,8,FALSE),IF(VLOOKUP(P26,TraitFull,9,FALSE)=LEFT(H27,LEN(H27)-5),"T3/"&amp;VLOOKUP(P26,TraitFull,11,FALSE),""))),""),"")</f>
        <v/>
      </c>
      <c r="S27" s="545" t="str">
        <f>IFERROR(IF(J27&lt;&gt;"",IF(VLOOKUP(P26,TraitFull,3,FALSE)=LEFT(J27,LEN(J27)-5),"T1/"&amp;VLOOKUP(P26,TraitFull,5,FALSE),IF(VLOOKUP(P26,TraitFull,6,FALSE)=LEFT(J27,LEN(J27)-5),"T2/"&amp;VLOOKUP(P26,TraitFull,8,FALSE),IF(VLOOKUP(P26,TraitFull,9,FALSE)=LEFT(J27,LEN(J27)-5),"T3/"&amp;VLOOKUP(P26,TraitFull,11,FALSE),""))),""),"")</f>
        <v/>
      </c>
      <c r="T27" s="546" t="str">
        <f>IFERROR(IF(D27&lt;&gt;"",IF(VLOOKUP(T26,TraitFull,3,FALSE)=LEFT(D27,LEN(D27)-5),"T1/"&amp;VLOOKUP(T26,TraitFull,5,FALSE),IF(VLOOKUP(T26,TraitFull,6,FALSE)=LEFT(D27,LEN(D27)-5),"T2/"&amp;VLOOKUP(T26,TraitFull,8,FALSE),IF(VLOOKUP(T26,TraitFull,9,FALSE)=LEFT(D27,LEN(D27)-5),"T3/"&amp;VLOOKUP(T26,TraitFull,11,FALSE),""))),""),"")</f>
        <v/>
      </c>
      <c r="U27" s="547" t="str">
        <f>IFERROR(IF(F27&lt;&gt;"",IF(VLOOKUP(T26,TraitFull,3,FALSE)=LEFT(F27,LEN(F27)-5),"T1/"&amp;VLOOKUP(T26,TraitFull,5,FALSE),IF(VLOOKUP(T26,TraitFull,6,FALSE)=LEFT(F27,LEN(F27)-5),"T2/"&amp;VLOOKUP(T26,TraitFull,8,FALSE),IF(VLOOKUP(T26,TraitFull,9,FALSE)=LEFT(F27,LEN(F27)-5),"T3/"&amp;VLOOKUP(T26,TraitFull,11,FALSE),""))),""),"")</f>
        <v/>
      </c>
      <c r="V27" s="548" t="str">
        <f>IFERROR(IF(H27&lt;&gt;"",IF(VLOOKUP(T26,TraitFull,3,FALSE)=LEFT(H27,LEN(H27)-5),"T1/"&amp;VLOOKUP(T26,TraitFull,5,FALSE),IF(VLOOKUP(T26,TraitFull,6,FALSE)=LEFT(H27,LEN(H27)-5),"T2/"&amp;VLOOKUP(T26,TraitFull,8,FALSE),IF(VLOOKUP(T26,TraitFull,9,FALSE)=LEFT(H27,LEN(H27)-5),"T3/"&amp;VLOOKUP(T26,TraitFull,11,FALSE),""))),""),"")</f>
        <v/>
      </c>
      <c r="W27" s="549" t="str">
        <f>IFERROR(IF(J27&lt;&gt;"",IF(VLOOKUP(T26,TraitFull,3,FALSE)=LEFT(J27,LEN(J27)-5),"T1/"&amp;VLOOKUP(T26,TraitFull,5,FALSE),IF(VLOOKUP(T26,TraitFull,6,FALSE)=LEFT(J27,LEN(J27)-5),"T2/"&amp;VLOOKUP(T26,TraitFull,8,FALSE),IF(VLOOKUP(T26,TraitFull,9,FALSE)=LEFT(J27,LEN(J27)-5),"T3/"&amp;VLOOKUP(T26,TraitFull,11,FALSE),""))),""),"")</f>
        <v/>
      </c>
      <c r="X27" s="546" t="str">
        <f>IFERROR(IF(D27&lt;&gt;"",IF(VLOOKUP(X26,TraitFull,3,FALSE)=LEFT(D27,LEN(D27)-5),"T1/"&amp;VLOOKUP(X26,TraitFull,5,FALSE),IF(VLOOKUP(X26,TraitFull,6,FALSE)=LEFT(D27,LEN(D27)-5),"T2/"&amp;VLOOKUP(X26,TraitFull,8,FALSE),IF(VLOOKUP(X26,TraitFull,9,FALSE)=LEFT(D27,LEN(D27)-5),"T3/"&amp;VLOOKUP(X26,TraitFull,11,FALSE),""))),""),"")</f>
        <v/>
      </c>
      <c r="Y27" s="547" t="str">
        <f>IFERROR(IF(F27&lt;&gt;"",IF(VLOOKUP(X26,TraitFull,3,FALSE)=LEFT(F27,LEN(F27)-5),"T1/"&amp;VLOOKUP(X26,TraitFull,5,FALSE),IF(VLOOKUP(X26,TraitFull,6,FALSE)=LEFT(F27,LEN(F27)-5),"T2/"&amp;VLOOKUP(X26,TraitFull,8,FALSE),IF(VLOOKUP(X26,TraitFull,9,FALSE)=LEFT(F27,LEN(F27)-5),"T3/"&amp;VLOOKUP(X26,TraitFull,11,FALSE),""))),""),"")</f>
        <v/>
      </c>
      <c r="Z27" s="548" t="str">
        <f>IFERROR(IF(H27&lt;&gt;"",IF(VLOOKUP(X26,TraitFull,3,FALSE)=LEFT(H27,LEN(H27)-5),"T1/"&amp;VLOOKUP(X26,TraitFull,5,FALSE),IF(VLOOKUP(X26,TraitFull,6,FALSE)=LEFT(H27,LEN(H27)-5),"T2/"&amp;VLOOKUP(X26,TraitFull,8,FALSE),IF(VLOOKUP(X26,TraitFull,9,FALSE)=LEFT(H27,LEN(H27)-5),"T3/"&amp;VLOOKUP(X26,TraitFull,11,FALSE),""))),""),"")</f>
        <v/>
      </c>
      <c r="AA27" s="549" t="str">
        <f>IFERROR(IF(J27&lt;&gt;"",IF(VLOOKUP(X26,TraitFull,3,FALSE)=LEFT(J27,LEN(J27)-5),"T1/"&amp;VLOOKUP(X26,TraitFull,5,FALSE),IF(VLOOKUP(X26,TraitFull,6,FALSE)=LEFT(J27,LEN(J27)-5),"T2/"&amp;VLOOKUP(X26,TraitFull,8,FALSE),IF(VLOOKUP(X26,TraitFull,9,FALSE)=LEFT(J27,LEN(J27)-5),"T3/"&amp;VLOOKUP(X26,TraitFull,11,FALSE),""))),""),"")</f>
        <v/>
      </c>
      <c r="AB27" s="161"/>
      <c r="AC27" s="572"/>
      <c r="AD27" s="573"/>
      <c r="AF27" s="295"/>
    </row>
    <row r="28" spans="1:32" ht="15.75" customHeight="1" x14ac:dyDescent="0.25">
      <c r="A28" s="176"/>
      <c r="B28" s="499"/>
      <c r="C28" s="709"/>
      <c r="D28" s="557" t="s">
        <v>2158</v>
      </c>
      <c r="E28" s="557" t="str">
        <f>IFERROR("Min:"&amp;VLOOKUP(D26,AwayMissionsFull,13,FALSE)*100&amp;"%","")</f>
        <v/>
      </c>
      <c r="F28" s="702" t="str">
        <f>IFERROR("Inc. Per Point:"&amp;VLOOKUP(D26,AwayMissionsFull,14,FALSE)*100&amp;"%","")</f>
        <v/>
      </c>
      <c r="G28" s="702"/>
      <c r="H28" s="702" t="str">
        <f>IFERROR("Total Points:"&amp;VLOOKUP(D26,AwayMissionsFull,15,FALSE)&amp;"","")</f>
        <v/>
      </c>
      <c r="I28" s="702"/>
      <c r="J28" s="557" t="str">
        <f>IFERROR("Max:"&amp;VLOOKUP(D26,AwayMissionsFull,16,FALSE)*100&amp;"%","")</f>
        <v/>
      </c>
      <c r="K28" s="562"/>
      <c r="L28" s="563" t="s">
        <v>2160</v>
      </c>
      <c r="M28" s="564" t="str">
        <f>IFERROR((MAX(IFERROR(RIGHT(VLOOKUP(P27,TraitCosts,1,FALSE),1),0),IFERROR(RIGHT(VLOOKUP(T27,TraitCosts,1,FALSE),1),0),IFERROR(RIGHT(VLOOKUP(X27,TraitCosts,1,FALSE),1),0))+MAX(IFERROR(RIGHT(VLOOKUP(Q27,TraitCosts,1,FALSE),1),0),IFERROR(RIGHT(VLOOKUP(U27,TraitCosts,1,FALSE),1),0),IFERROR(RIGHT(VLOOKUP(Y27,TraitCosts,1,FALSE),1),0))+MAX(IFERROR(RIGHT(VLOOKUP(R27,TraitCosts,1,FALSE),1),0),IFERROR(RIGHT(VLOOKUP(V27,TraitCosts,1,FALSE),1),0),IFERROR(RIGHT(VLOOKUP(Z27,TraitCosts,1,FALSE),1),0))+MAX(IFERROR(RIGHT(VLOOKUP(S27,TraitCosts,1,FALSE),1),0),IFERROR(RIGHT(VLOOKUP(W27,TraitCosts,1,FALSE),1),0),IFERROR(RIGHT(VLOOKUP(AA27,TraitCosts,1,FALSE),1),0)))*(IFERROR(VLOOKUP(D26,AwayMissionsFull,14,FALSE),""))+IFERROR(VLOOKUP(D26,AwayMissionsFull,13,FALSE),""),"")</f>
        <v/>
      </c>
      <c r="N28" s="563" t="s">
        <v>2159</v>
      </c>
      <c r="O28" s="564" t="str">
        <f>IFERROR((MAX(IFERROR(RIGHT(VLOOKUP(P27,TraitCosts,1,FALSE),1),0),IFERROR(RIGHT(VLOOKUP(T27,TraitCosts,1,FALSE),1),0),IFERROR(RIGHT(VLOOKUP(X27,TraitCosts,1,FALSE),1),0),IFERROR(RIGHT(VLOOKUP(P28,TraitCosts,1,FALSE),1),0),IFERROR(RIGHT(VLOOKUP(T28,TraitCosts,1,FALSE),1),0),IFERROR(RIGHT(VLOOKUP(X28,TraitCosts,1,FALSE),1),0))+MAX(IFERROR(RIGHT(VLOOKUP(Q27,TraitCosts,1,FALSE),1),0),IFERROR(RIGHT(VLOOKUP(U27,TraitCosts,1,FALSE),1),0),IFERROR(RIGHT(VLOOKUP(Y27,TraitCosts,1,FALSE),1),0),IFERROR(RIGHT(VLOOKUP(Q28,TraitCosts,1,FALSE),1),0),IFERROR(RIGHT(VLOOKUP(U28,TraitCosts,1,FALSE),1),0),IFERROR(RIGHT(VLOOKUP(Y28,TraitCosts,1,FALSE),1),0))+MAX(IFERROR(RIGHT(VLOOKUP(R27,TraitCosts,1,FALSE),1),0),IFERROR(RIGHT(VLOOKUP(V27,TraitCosts,1,FALSE),1),0),IFERROR(RIGHT(VLOOKUP(Z27,TraitCosts,1,FALSE),1),0),IFERROR(RIGHT(VLOOKUP(R28,TraitCosts,1,FALSE),1),0),IFERROR(RIGHT(VLOOKUP(V28,TraitCosts,1,FALSE),1),0),IFERROR(RIGHT(VLOOKUP(Z28,TraitCosts,1,FALSE),1),0))+MAX(IFERROR(RIGHT(VLOOKUP(S27,TraitCosts,1,FALSE),1),0),IFERROR(RIGHT(VLOOKUP(W27,TraitCosts,1,FALSE),1),0),IFERROR(RIGHT(VLOOKUP(AA27,TraitCosts,1,FALSE),1),0),IFERROR(RIGHT(VLOOKUP(S28,TraitCosts,1,FALSE),1),0),IFERROR(RIGHT(VLOOKUP(W28,TraitCosts,1,FALSE),1),0),IFERROR(RIGHT(VLOOKUP(AA28,TraitCosts,1,FALSE),1),0)))*(IFERROR(VLOOKUP(D26,AwayMissionsFull,14,FALSE),""))+IFERROR(VLOOKUP(D26,AwayMissionsFull,13,FALSE),""),"")</f>
        <v/>
      </c>
      <c r="P28" s="556" t="str">
        <f>Migration!Y35&amp;""</f>
        <v/>
      </c>
      <c r="Q28" s="556" t="str">
        <f>Migration!Z35&amp;""</f>
        <v/>
      </c>
      <c r="R28" s="556" t="str">
        <f>Migration!AA35&amp;""</f>
        <v/>
      </c>
      <c r="S28" s="556" t="str">
        <f>Migration!AB35&amp;""</f>
        <v/>
      </c>
      <c r="T28" s="557" t="str">
        <f>Migration!Y36&amp;""</f>
        <v/>
      </c>
      <c r="U28" s="556" t="str">
        <f>Migration!Z36&amp;""</f>
        <v/>
      </c>
      <c r="V28" s="556" t="str">
        <f>Migration!AA36&amp;""</f>
        <v/>
      </c>
      <c r="W28" s="556" t="str">
        <f>Migration!AB36&amp;""</f>
        <v/>
      </c>
      <c r="X28" s="557" t="str">
        <f>Migration!Y37&amp;""</f>
        <v/>
      </c>
      <c r="Y28" s="556" t="str">
        <f>Migration!Z37&amp;""</f>
        <v/>
      </c>
      <c r="Z28" s="556" t="str">
        <f>Migration!AA37&amp;""</f>
        <v/>
      </c>
      <c r="AA28" s="556" t="str">
        <f>Migration!AB37&amp;""</f>
        <v/>
      </c>
      <c r="AB28" s="161"/>
      <c r="AC28" s="572"/>
      <c r="AD28" s="573"/>
      <c r="AF28" s="295"/>
    </row>
    <row r="29" spans="1:32" ht="15.75" customHeight="1" x14ac:dyDescent="0.25">
      <c r="A29" s="176"/>
      <c r="B29" s="499"/>
      <c r="C29" s="709">
        <v>9</v>
      </c>
      <c r="D29" s="703" t="str">
        <f>Migration!X12&amp;""</f>
        <v/>
      </c>
      <c r="E29" s="704"/>
      <c r="F29" s="704"/>
      <c r="G29" s="704"/>
      <c r="H29" s="699" t="str">
        <f>IFERROR(VLOOKUP(D29,AwayMissionsFull,4,FALSE)&amp;"","")</f>
        <v/>
      </c>
      <c r="I29" s="699"/>
      <c r="J29" s="699" t="str">
        <f>IFERROR(VLOOKUP(D29,AwayMissionsFull,5,FALSE)&amp;"","")</f>
        <v/>
      </c>
      <c r="K29" s="699"/>
      <c r="L29" s="699" t="str">
        <f>IFERROR(VLOOKUP(D29,AwayMissionsFull,6,FALSE)&amp;"","")</f>
        <v/>
      </c>
      <c r="M29" s="699"/>
      <c r="N29" s="708" t="str">
        <f>IFERROR(VLOOKUP(D29,AwayMissionsFull,7,FALSE)&amp;"","")</f>
        <v/>
      </c>
      <c r="O29" s="708"/>
      <c r="P29" s="717" t="str">
        <f>Migration!X38&amp;""</f>
        <v/>
      </c>
      <c r="Q29" s="717"/>
      <c r="R29" s="717"/>
      <c r="S29" s="717"/>
      <c r="T29" s="717" t="str">
        <f>Migration!X39&amp;""</f>
        <v/>
      </c>
      <c r="U29" s="717"/>
      <c r="V29" s="717"/>
      <c r="W29" s="717"/>
      <c r="X29" s="717" t="str">
        <f>Migration!X40&amp;""</f>
        <v/>
      </c>
      <c r="Y29" s="717"/>
      <c r="Z29" s="717"/>
      <c r="AA29" s="717"/>
      <c r="AB29" s="161"/>
      <c r="AC29" s="572"/>
      <c r="AD29" s="573"/>
      <c r="AF29" s="295"/>
    </row>
    <row r="30" spans="1:32" ht="15.75" customHeight="1" x14ac:dyDescent="0.25">
      <c r="A30" s="176"/>
      <c r="B30" s="499"/>
      <c r="C30" s="709"/>
      <c r="D30" s="713" t="str">
        <f>IFERROR(IF(VLOOKUP(D29,AwayMissionsFull,8,FALSE)&amp;"" &lt;&gt;"",VLOOKUP(D29,AwayMissionsFull,8,FALSE)&amp; " (T"&amp;(SUMPRODUCT(--(TraitNames=VLOOKUP(D29,AwayMissionsFull,8,FALSE))*COLUMN(TraitNames))/COUNTIF(TraitNames,VLOOKUP(D29,AwayMissionsFull,8,FALSE))-1)/3&amp;")",""),"")</f>
        <v/>
      </c>
      <c r="E30" s="713"/>
      <c r="F30" s="714" t="str">
        <f>IFERROR(IF(VLOOKUP(D29,AwayMissionsFull,9,FALSE)&amp;"" &lt;&gt;"",VLOOKUP(D29,AwayMissionsFull,9,FALSE)&amp; " (T"&amp;(SUMPRODUCT(--(TraitNames=VLOOKUP(D29,AwayMissionsFull,9,FALSE))*COLUMN(TraitNames))/COUNTIF(TraitNames,VLOOKUP(D29,AwayMissionsFull,9,FALSE))-1)/3&amp;")",""),"")</f>
        <v/>
      </c>
      <c r="G30" s="714"/>
      <c r="H30" s="708" t="str">
        <f>IFERROR(IF(VLOOKUP(D29,AwayMissionsFull,10,FALSE)&amp;"" &lt;&gt;"",VLOOKUP(D29,AwayMissionsFull,10,FALSE)&amp; " (T"&amp;(SUMPRODUCT(--(TraitNames=VLOOKUP(D29,AwayMissionsFull,10,FALSE))*COLUMN(TraitNames))/COUNTIF(TraitNames,VLOOKUP(D29,AwayMissionsFull,10,FALSE))-1)/3&amp;")",""),"")</f>
        <v/>
      </c>
      <c r="I30" s="708"/>
      <c r="J30" s="699" t="str">
        <f>IFERROR(IF(VLOOKUP(D29,AwayMissionsFull,11,FALSE)&amp;"" &lt;&gt;"",VLOOKUP(D29,AwayMissionsFull,11,FALSE)&amp; " (T"&amp;(SUMPRODUCT(--(TraitNames=VLOOKUP(D29,AwayMissionsFull,11,FALSE))*COLUMN(TraitNames))/COUNTIF(TraitNames,VLOOKUP(D29,AwayMissionsFull,11,FALSE))-1)/3&amp;")",""),"")</f>
        <v/>
      </c>
      <c r="K30" s="699"/>
      <c r="L30" s="558" t="s">
        <v>2163</v>
      </c>
      <c r="M30" s="559">
        <f>IF(ISNUMBER(SEARCH("T1",D30))=TRUE,8000,IF(ISNUMBER(SEARCH("T2",D30))=TRUE,37500,IF(ISNUMBER(SEARCH("T3",D30))=TRUE,323500,0)))+IF(ISNUMBER(SEARCH("T1",F30))=TRUE,8000,IF(ISNUMBER(SEARCH("T2",F30))=TRUE,37500,IF(ISNUMBER(SEARCH("T3",F30))=TRUE,323500,0)))+IF(ISNUMBER(SEARCH("T1",H30))=TRUE,8000,IF(ISNUMBER(SEARCH("T2",H30))=TRUE,37500,IF(ISNUMBER(SEARCH("T3",H30))=TRUE,323500,0)))+IF(ISNUMBER(SEARCH("T1",J30))=TRUE,8000,IF(ISNUMBER(SEARCH("T2",J30))=TRUE,37500,IF(ISNUMBER(SEARCH("T3",J30))=TRUE,323500,0)))</f>
        <v>0</v>
      </c>
      <c r="N30" s="560" t="s">
        <v>2164</v>
      </c>
      <c r="O30" s="561">
        <f>(MAX(IFERROR(VLOOKUP(P31,TraitCosts,4,FALSE),0),IFERROR(VLOOKUP(Q31,TraitCosts,4,FALSE),0),IFERROR(VLOOKUP(R31,TraitCosts,4,FALSE),0),IFERROR(VLOOKUP(S31,TraitCosts,4,FALSE),0))-MAX(IF(P31&lt;&gt;"",IFERROR(VLOOKUP(P30,TraitCosts,4,FALSE),0),0),IF(Q31&lt;&gt;"",IFERROR(VLOOKUP(Q30,TraitCosts,4,FALSE),0),0),IF(R31&lt;&gt;"",IFERROR(VLOOKUP(R30,TraitCosts,4,FALSE),0),0),IF(S31&lt;&gt;"",IFERROR(VLOOKUP(S30,TraitCosts,4,FALSE),0),0)))+(MAX(IFERROR(VLOOKUP(T31,TraitCosts,4,FALSE),0),IFERROR(VLOOKUP(U31,TraitCosts,4,FALSE),0),IFERROR(VLOOKUP(V31,TraitCosts,4,FALSE),0),IFERROR(VLOOKUP(W31,TraitCosts,4,FALSE),0))-MAX(IF(T31&lt;&gt;"",IFERROR(VLOOKUP(T30,TraitCosts,4,FALSE),0),0),IF(U31&lt;&gt;"",IFERROR(VLOOKUP(U30,TraitCosts,4,FALSE),0),0),IF(V31&lt;&gt;"",IFERROR(VLOOKUP(V30,TraitCosts,4,FALSE),0),0),IF(W31&lt;&gt;"",IFERROR(VLOOKUP(W30,TraitCosts,4,FALSE),0),0)))+(MAX(IFERROR(VLOOKUP(X31,TraitCosts,4,FALSE),0),IFERROR(VLOOKUP(Y31,TraitCosts,4,FALSE),0),IFERROR(VLOOKUP(Z31,TraitCosts,4,FALSE),0),IFERROR(VLOOKUP(AA31,TraitCosts,4,FALSE),0))-MAX(IF(X31&lt;&gt;"",IFERROR(VLOOKUP(X30,TraitCosts,4,FALSE),0),0),IF(Y31&lt;&gt;"",IFERROR(VLOOKUP(Y30,TraitCosts,4,FALSE),0),0),IF(Z31&lt;&gt;"",IFERROR(VLOOKUP(Z30,TraitCosts,4,FALSE),0),0),IF(AA31&lt;&gt;"",IFERROR(VLOOKUP(AA30,TraitCosts,4,FALSE),0),0)))</f>
        <v>0</v>
      </c>
      <c r="P30" s="534" t="str">
        <f>IFERROR(IF(D30&lt;&gt;"",IF(VLOOKUP(P29,TraitFull,3,FALSE)=LEFT(D30,LEN(D30)-5),"T1/"&amp;VLOOKUP(P29,TraitFull,5,FALSE),IF(VLOOKUP(P29,TraitFull,6,FALSE)=LEFT(D30,LEN(D30)-5),"T2/"&amp;VLOOKUP(P29,TraitFull,8,FALSE),IF(VLOOKUP(P29,TraitFull,9,FALSE)=LEFT(D30,LEN(D30)-5),"T3/"&amp;VLOOKUP(P29,TraitFull,11,FALSE),""))),""),"")</f>
        <v/>
      </c>
      <c r="Q30" s="535" t="str">
        <f>IFERROR(IF(F30&lt;&gt;"",IF(VLOOKUP(P29,TraitFull,3,FALSE)=LEFT(F30,LEN(F30)-5),"T1/"&amp;VLOOKUP(P29,TraitFull,5,FALSE),IF(VLOOKUP(P29,TraitFull,6,FALSE)=LEFT(F30,LEN(F30)-5),"T2/"&amp;VLOOKUP(P29,TraitFull,8,FALSE),IF(VLOOKUP(P29,TraitFull,9,FALSE)=LEFT(F30,LEN(F30)-5),"T3/"&amp;VLOOKUP(P29,TraitFull,11,FALSE),""))),""),"")</f>
        <v/>
      </c>
      <c r="R30" s="536" t="str">
        <f>IFERROR(IF(H30&lt;&gt;"",IF(VLOOKUP(P29,TraitFull,3,FALSE)=LEFT(H30,LEN(H30)-5),"T1/"&amp;VLOOKUP(P29,TraitFull,5,FALSE),IF(VLOOKUP(P29,TraitFull,6,FALSE)=LEFT(H30,LEN(H30)-5),"T2/"&amp;VLOOKUP(P29,TraitFull,8,FALSE),IF(VLOOKUP(P29,TraitFull,9,FALSE)=LEFT(H30,LEN(H30)-5),"T3/"&amp;VLOOKUP(P29,TraitFull,11,FALSE),""))),""),"")</f>
        <v/>
      </c>
      <c r="S30" s="537" t="str">
        <f>IFERROR(IF(J30&lt;&gt;"",IF(VLOOKUP(P29,TraitFull,3,FALSE)=LEFT(J30,LEN(J30)-5),"T1/"&amp;VLOOKUP(P29,TraitFull,5,FALSE),IF(VLOOKUP(P29,TraitFull,6,FALSE)=LEFT(J30,LEN(J30)-5),"T2/"&amp;VLOOKUP(P29,TraitFull,8,FALSE),IF(VLOOKUP(P29,TraitFull,9,FALSE)=LEFT(J30,LEN(J30)-5),"T3/"&amp;VLOOKUP(P29,TraitFull,11,FALSE),""))),""),"")</f>
        <v/>
      </c>
      <c r="T30" s="538" t="str">
        <f>IFERROR(IF(D30&lt;&gt;"",IF(VLOOKUP(T29,TraitFull,3,FALSE)=LEFT(D30,LEN(D30)-5),"T1/"&amp;VLOOKUP(T29,TraitFull,5,FALSE),IF(VLOOKUP(T29,TraitFull,6,FALSE)=LEFT(D30,LEN(D30)-5),"T2/"&amp;VLOOKUP(T29,TraitFull,8,FALSE),IF(VLOOKUP(T29,TraitFull,9,FALSE)=LEFT(D30,LEN(D30)-5),"T3/"&amp;VLOOKUP(T29,TraitFull,11,FALSE),""))),""),"")</f>
        <v/>
      </c>
      <c r="U30" s="539" t="str">
        <f>IFERROR(IF(F30&lt;&gt;"",IF(VLOOKUP(T29,TraitFull,3,FALSE)=LEFT(F30,LEN(F30)-5),"T1/"&amp;VLOOKUP(T29,TraitFull,5,FALSE),IF(VLOOKUP(T29,TraitFull,6,FALSE)=LEFT(F30,LEN(F30)-5),"T2/"&amp;VLOOKUP(T29,TraitFull,8,FALSE),IF(VLOOKUP(T29,TraitFull,9,FALSE)=LEFT(F30,LEN(F30)-5),"T3/"&amp;VLOOKUP(T29,TraitFull,11,FALSE),""))),""),"")</f>
        <v/>
      </c>
      <c r="V30" s="540" t="str">
        <f>IFERROR(IF(H30&lt;&gt;"",IF(VLOOKUP(T29,TraitFull,3,FALSE)=LEFT(H30,LEN(H30)-5),"T1/"&amp;VLOOKUP(T29,TraitFull,5,FALSE),IF(VLOOKUP(T29,TraitFull,6,FALSE)=LEFT(H30,LEN(H30)-5),"T2/"&amp;VLOOKUP(T29,TraitFull,8,FALSE),IF(VLOOKUP(T29,TraitFull,9,FALSE)=LEFT(H30,LEN(H30)-5),"T3/"&amp;VLOOKUP(T29,TraitFull,11,FALSE),""))),""),"")</f>
        <v/>
      </c>
      <c r="W30" s="541" t="str">
        <f>IFERROR(IF(J30&lt;&gt;"",IF(VLOOKUP(T29,TraitFull,3,FALSE)=LEFT(J30,LEN(J30)-5),"T1/"&amp;VLOOKUP(T29,TraitFull,5,FALSE),IF(VLOOKUP(T29,TraitFull,6,FALSE)=LEFT(J30,LEN(J30)-5),"T2/"&amp;VLOOKUP(T29,TraitFull,8,FALSE),IF(VLOOKUP(T29,TraitFull,9,FALSE)=LEFT(J30,LEN(J30)-5),"T3/"&amp;VLOOKUP(T29,TraitFull,11,FALSE),""))),""),"")</f>
        <v/>
      </c>
      <c r="X30" s="538" t="str">
        <f>IFERROR(IF(D30&lt;&gt;"",IF(VLOOKUP(X29,TraitFull,3,FALSE)=LEFT(D30,LEN(D30)-5),"T1/"&amp;VLOOKUP(X29,TraitFull,5,FALSE),IF(VLOOKUP(X29,TraitFull,6,FALSE)=LEFT(D30,LEN(D30)-5),"T2/"&amp;VLOOKUP(X29,TraitFull,8,FALSE),IF(VLOOKUP(X29,TraitFull,9,FALSE)=LEFT(D30,LEN(D30)-5),"T3/"&amp;VLOOKUP(X29,TraitFull,11,FALSE),""))),""),"")</f>
        <v/>
      </c>
      <c r="Y30" s="539" t="str">
        <f>IFERROR(IF(F30&lt;&gt;"",IF(VLOOKUP(X29,TraitFull,3,FALSE)=LEFT(F30,LEN(F30)-5),"T1/"&amp;VLOOKUP(X29,TraitFull,5,FALSE),IF(VLOOKUP(X29,TraitFull,6,FALSE)=LEFT(F30,LEN(F30)-5),"T2/"&amp;VLOOKUP(X29,TraitFull,8,FALSE),IF(VLOOKUP(X29,TraitFull,9,FALSE)=LEFT(F30,LEN(F30)-5),"T3/"&amp;VLOOKUP(X29,TraitFull,11,FALSE),""))),""),"")</f>
        <v/>
      </c>
      <c r="Z30" s="540" t="str">
        <f>IFERROR(IF(H30&lt;&gt;"",IF(VLOOKUP(X29,TraitFull,3,FALSE)=LEFT(H30,LEN(H30)-5),"T1/"&amp;VLOOKUP(X29,TraitFull,5,FALSE),IF(VLOOKUP(X29,TraitFull,6,FALSE)=LEFT(H30,LEN(H30)-5),"T2/"&amp;VLOOKUP(X29,TraitFull,8,FALSE),IF(VLOOKUP(X29,TraitFull,9,FALSE)=LEFT(H30,LEN(H30)-5),"T3/"&amp;VLOOKUP(X29,TraitFull,11,FALSE),""))),""),"")</f>
        <v/>
      </c>
      <c r="AA30" s="541" t="str">
        <f>IFERROR(IF(J30&lt;&gt;"",IF(VLOOKUP(X29,TraitFull,3,FALSE)=LEFT(J30,LEN(J30)-5),"T1/"&amp;VLOOKUP(X29,TraitFull,5,FALSE),IF(VLOOKUP(X29,TraitFull,6,FALSE)=LEFT(J30,LEN(J30)-5),"T2/"&amp;VLOOKUP(X29,TraitFull,8,FALSE),IF(VLOOKUP(X29,TraitFull,9,FALSE)=LEFT(J30,LEN(J30)-5),"T3/"&amp;VLOOKUP(X29,TraitFull,11,FALSE),""))),""),"")</f>
        <v/>
      </c>
      <c r="AB30" s="161"/>
      <c r="AC30" s="572"/>
      <c r="AD30" s="573"/>
      <c r="AF30" s="295"/>
    </row>
    <row r="31" spans="1:32" ht="15.75" customHeight="1" x14ac:dyDescent="0.25">
      <c r="A31" s="176"/>
      <c r="B31" s="499"/>
      <c r="C31" s="709"/>
      <c r="D31" s="552" t="s">
        <v>2158</v>
      </c>
      <c r="E31" s="552" t="str">
        <f>IFERROR("Min:"&amp;VLOOKUP(D29,AwayMissionsFull,13,FALSE)*100&amp;"%","")</f>
        <v/>
      </c>
      <c r="F31" s="701" t="str">
        <f>IFERROR("Inc. Per Point:"&amp;VLOOKUP(D29,AwayMissionsFull,14,FALSE)*100&amp;"%","")</f>
        <v/>
      </c>
      <c r="G31" s="701"/>
      <c r="H31" s="701" t="str">
        <f>IFERROR("Total Points:"&amp;VLOOKUP(D29,AwayMissionsFull,15,FALSE)&amp;"","")</f>
        <v/>
      </c>
      <c r="I31" s="701"/>
      <c r="J31" s="552" t="str">
        <f>IFERROR("Max:"&amp;VLOOKUP(D29,AwayMissionsFull,16,FALSE)*100&amp;"%","")</f>
        <v/>
      </c>
      <c r="K31" s="553"/>
      <c r="L31" s="554" t="s">
        <v>2160</v>
      </c>
      <c r="M31" s="555" t="str">
        <f>IFERROR((MAX(IFERROR(RIGHT(VLOOKUP(P30,TraitCosts,1,FALSE),1),0),IFERROR(RIGHT(VLOOKUP(T30,TraitCosts,1,FALSE),1),0),IFERROR(RIGHT(VLOOKUP(X30,TraitCosts,1,FALSE),1),0))+MAX(IFERROR(RIGHT(VLOOKUP(Q30,TraitCosts,1,FALSE),1),0),IFERROR(RIGHT(VLOOKUP(U30,TraitCosts,1,FALSE),1),0),IFERROR(RIGHT(VLOOKUP(Y30,TraitCosts,1,FALSE),1),0))+MAX(IFERROR(RIGHT(VLOOKUP(R30,TraitCosts,1,FALSE),1),0),IFERROR(RIGHT(VLOOKUP(V30,TraitCosts,1,FALSE),1),0),IFERROR(RIGHT(VLOOKUP(Z30,TraitCosts,1,FALSE),1),0))+MAX(IFERROR(RIGHT(VLOOKUP(S30,TraitCosts,1,FALSE),1),0),IFERROR(RIGHT(VLOOKUP(W30,TraitCosts,1,FALSE),1),0),IFERROR(RIGHT(VLOOKUP(AA30,TraitCosts,1,FALSE),1),0)))*(IFERROR(VLOOKUP(D29,AwayMissionsFull,14,FALSE),""))+IFERROR(VLOOKUP(D29,AwayMissionsFull,13,FALSE),""),"")</f>
        <v/>
      </c>
      <c r="N31" s="554" t="s">
        <v>2159</v>
      </c>
      <c r="O31" s="555" t="str">
        <f>IFERROR((MAX(IFERROR(RIGHT(VLOOKUP(P30,TraitCosts,1,FALSE),1),0),IFERROR(RIGHT(VLOOKUP(T30,TraitCosts,1,FALSE),1),0),IFERROR(RIGHT(VLOOKUP(X30,TraitCosts,1,FALSE),1),0),IFERROR(RIGHT(VLOOKUP(P31,TraitCosts,1,FALSE),1),0),IFERROR(RIGHT(VLOOKUP(T31,TraitCosts,1,FALSE),1),0),IFERROR(RIGHT(VLOOKUP(X31,TraitCosts,1,FALSE),1),0))+MAX(IFERROR(RIGHT(VLOOKUP(Q30,TraitCosts,1,FALSE),1),0),IFERROR(RIGHT(VLOOKUP(U30,TraitCosts,1,FALSE),1),0),IFERROR(RIGHT(VLOOKUP(Y30,TraitCosts,1,FALSE),1),0),IFERROR(RIGHT(VLOOKUP(Q31,TraitCosts,1,FALSE),1),0),IFERROR(RIGHT(VLOOKUP(U31,TraitCosts,1,FALSE),1),0),IFERROR(RIGHT(VLOOKUP(Y31,TraitCosts,1,FALSE),1),0))+MAX(IFERROR(RIGHT(VLOOKUP(R30,TraitCosts,1,FALSE),1),0),IFERROR(RIGHT(VLOOKUP(V30,TraitCosts,1,FALSE),1),0),IFERROR(RIGHT(VLOOKUP(Z30,TraitCosts,1,FALSE),1),0),IFERROR(RIGHT(VLOOKUP(R31,TraitCosts,1,FALSE),1),0),IFERROR(RIGHT(VLOOKUP(V31,TraitCosts,1,FALSE),1),0),IFERROR(RIGHT(VLOOKUP(Z31,TraitCosts,1,FALSE),1),0))+MAX(IFERROR(RIGHT(VLOOKUP(S30,TraitCosts,1,FALSE),1),0),IFERROR(RIGHT(VLOOKUP(W30,TraitCosts,1,FALSE),1),0),IFERROR(RIGHT(VLOOKUP(AA30,TraitCosts,1,FALSE),1),0),IFERROR(RIGHT(VLOOKUP(S31,TraitCosts,1,FALSE),1),0),IFERROR(RIGHT(VLOOKUP(W31,TraitCosts,1,FALSE),1),0),IFERROR(RIGHT(VLOOKUP(AA31,TraitCosts,1,FALSE),1),0)))*(IFERROR(VLOOKUP(D29,AwayMissionsFull,14,FALSE),""))+IFERROR(VLOOKUP(D29,AwayMissionsFull,13,FALSE),""),"")</f>
        <v/>
      </c>
      <c r="P31" s="569" t="str">
        <f>Migration!Y38&amp;""</f>
        <v/>
      </c>
      <c r="Q31" s="569" t="str">
        <f>Migration!Z38&amp;""</f>
        <v/>
      </c>
      <c r="R31" s="569" t="str">
        <f>Migration!AA38&amp;""</f>
        <v/>
      </c>
      <c r="S31" s="569" t="str">
        <f>Migration!AB38&amp;""</f>
        <v/>
      </c>
      <c r="T31" s="552" t="str">
        <f>Migration!Y39&amp;""</f>
        <v/>
      </c>
      <c r="U31" s="569" t="str">
        <f>Migration!Z39&amp;""</f>
        <v/>
      </c>
      <c r="V31" s="569" t="str">
        <f>Migration!AA39&amp;""</f>
        <v/>
      </c>
      <c r="W31" s="569" t="str">
        <f>Migration!AB39&amp;""</f>
        <v/>
      </c>
      <c r="X31" s="552" t="str">
        <f>Migration!Y40&amp;""</f>
        <v/>
      </c>
      <c r="Y31" s="569" t="str">
        <f>Migration!Z40&amp;""</f>
        <v/>
      </c>
      <c r="Z31" s="569" t="str">
        <f>Migration!AA40&amp;""</f>
        <v/>
      </c>
      <c r="AA31" s="569" t="str">
        <f>Migration!AB40&amp;""</f>
        <v/>
      </c>
      <c r="AB31" s="161"/>
      <c r="AC31" s="572"/>
      <c r="AD31" s="573"/>
      <c r="AF31" s="295"/>
    </row>
    <row r="32" spans="1:32" ht="15.75" customHeight="1" thickBot="1" x14ac:dyDescent="0.3">
      <c r="A32" s="176"/>
      <c r="B32" s="499"/>
      <c r="C32" s="709">
        <v>10</v>
      </c>
      <c r="D32" s="703" t="str">
        <f>Migration!X13&amp;""</f>
        <v/>
      </c>
      <c r="E32" s="704"/>
      <c r="F32" s="704"/>
      <c r="G32" s="704"/>
      <c r="H32" s="700" t="str">
        <f>IFERROR(VLOOKUP(D32,AwayMissionsFull,4,FALSE)&amp;"","")</f>
        <v/>
      </c>
      <c r="I32" s="700"/>
      <c r="J32" s="700" t="str">
        <f>IFERROR(VLOOKUP(D32,AwayMissionsFull,5,FALSE)&amp;"","")</f>
        <v/>
      </c>
      <c r="K32" s="700"/>
      <c r="L32" s="700" t="str">
        <f>IFERROR(VLOOKUP(D32,AwayMissionsFull,6,FALSE)&amp;"","")</f>
        <v/>
      </c>
      <c r="M32" s="700"/>
      <c r="N32" s="710" t="str">
        <f>IFERROR(VLOOKUP(D32,AwayMissionsFull,7,FALSE)&amp;"","")</f>
        <v/>
      </c>
      <c r="O32" s="710"/>
      <c r="P32" s="716" t="str">
        <f>Migration!X41&amp;""</f>
        <v/>
      </c>
      <c r="Q32" s="716"/>
      <c r="R32" s="716"/>
      <c r="S32" s="716"/>
      <c r="T32" s="716" t="str">
        <f>Migration!X42&amp;""</f>
        <v/>
      </c>
      <c r="U32" s="716"/>
      <c r="V32" s="716"/>
      <c r="W32" s="716"/>
      <c r="X32" s="716" t="str">
        <f>Migration!X43&amp;""</f>
        <v/>
      </c>
      <c r="Y32" s="716"/>
      <c r="Z32" s="716"/>
      <c r="AA32" s="716"/>
      <c r="AB32" s="161"/>
      <c r="AC32" s="574"/>
      <c r="AD32" s="575"/>
      <c r="AF32" s="295"/>
    </row>
    <row r="33" spans="1:32" ht="17.25" customHeight="1" thickBot="1" x14ac:dyDescent="0.3">
      <c r="A33" s="185"/>
      <c r="B33" s="379"/>
      <c r="C33" s="709"/>
      <c r="D33" s="711" t="str">
        <f>IFERROR(IF(VLOOKUP(D32,AwayMissionsFull,8,FALSE)&amp;"" &lt;&gt;"",VLOOKUP(D32,AwayMissionsFull,8,FALSE)&amp; " (T"&amp;(SUMPRODUCT(--(TraitNames=VLOOKUP(D32,AwayMissionsFull,8,FALSE))*COLUMN(TraitNames))/COUNTIF(TraitNames,VLOOKUP(D32,AwayMissionsFull,8,FALSE))-1)/3&amp;")",""),"")</f>
        <v/>
      </c>
      <c r="E33" s="711"/>
      <c r="F33" s="712" t="str">
        <f>IFERROR(IF(VLOOKUP(D32,AwayMissionsFull,9,FALSE)&amp;"" &lt;&gt;"",VLOOKUP(D32,AwayMissionsFull,9,FALSE)&amp; " (T"&amp;(SUMPRODUCT(--(TraitNames=VLOOKUP(D32,AwayMissionsFull,9,FALSE))*COLUMN(TraitNames))/COUNTIF(TraitNames,VLOOKUP(D32,AwayMissionsFull,9,FALSE))-1)/3&amp;")",""),"")</f>
        <v/>
      </c>
      <c r="G33" s="712"/>
      <c r="H33" s="710" t="str">
        <f>IFERROR(IF(VLOOKUP(D32,AwayMissionsFull,10,FALSE)&amp;"" &lt;&gt;"",VLOOKUP(D32,AwayMissionsFull,10,FALSE)&amp; " (T"&amp;(SUMPRODUCT(--(TraitNames=VLOOKUP(D32,AwayMissionsFull,10,FALSE))*COLUMN(TraitNames))/COUNTIF(TraitNames,VLOOKUP(D32,AwayMissionsFull,10,FALSE))-1)/3&amp;")",""),"")</f>
        <v/>
      </c>
      <c r="I33" s="710"/>
      <c r="J33" s="700" t="str">
        <f>IFERROR(IF(VLOOKUP(D32,AwayMissionsFull,11,FALSE)&amp;"" &lt;&gt;"",VLOOKUP(D32,AwayMissionsFull,11,FALSE)&amp; " (T"&amp;(SUMPRODUCT(--(TraitNames=VLOOKUP(D32,AwayMissionsFull,11,FALSE))*COLUMN(TraitNames))/COUNTIF(TraitNames,VLOOKUP(D32,AwayMissionsFull,11,FALSE))-1)/3&amp;")",""),"")</f>
        <v/>
      </c>
      <c r="K33" s="700"/>
      <c r="L33" s="565" t="s">
        <v>2163</v>
      </c>
      <c r="M33" s="566">
        <f>IF(ISNUMBER(SEARCH("T1",D33))=TRUE,8000,IF(ISNUMBER(SEARCH("T2",D33))=TRUE,37500,IF(ISNUMBER(SEARCH("T3",D33))=TRUE,323500,0)))+IF(ISNUMBER(SEARCH("T1",F33))=TRUE,8000,IF(ISNUMBER(SEARCH("T2",F33))=TRUE,37500,IF(ISNUMBER(SEARCH("T3",F33))=TRUE,323500,0)))+IF(ISNUMBER(SEARCH("T1",H33))=TRUE,8000,IF(ISNUMBER(SEARCH("T2",H33))=TRUE,37500,IF(ISNUMBER(SEARCH("T3",H33))=TRUE,323500,0)))+IF(ISNUMBER(SEARCH("T1",J33))=TRUE,8000,IF(ISNUMBER(SEARCH("T2",J33))=TRUE,37500,IF(ISNUMBER(SEARCH("T3",J33))=TRUE,323500,0)))</f>
        <v>0</v>
      </c>
      <c r="N33" s="567" t="s">
        <v>2164</v>
      </c>
      <c r="O33" s="568">
        <f>(MAX(IFERROR(VLOOKUP(P34,TraitCosts,4,FALSE),0),IFERROR(VLOOKUP(Q34,TraitCosts,4,FALSE),0),IFERROR(VLOOKUP(R34,TraitCosts,4,FALSE),0),IFERROR(VLOOKUP(S34,TraitCosts,4,FALSE),0))-MAX(IF(P34&lt;&gt;"",IFERROR(VLOOKUP(P33,TraitCosts,4,FALSE),0),0),IF(Q34&lt;&gt;"",IFERROR(VLOOKUP(Q33,TraitCosts,4,FALSE),0),0),IF(R34&lt;&gt;"",IFERROR(VLOOKUP(R33,TraitCosts,4,FALSE),0),0),IF(S34&lt;&gt;"",IFERROR(VLOOKUP(S33,TraitCosts,4,FALSE),0),0)))+(MAX(IFERROR(VLOOKUP(T34,TraitCosts,4,FALSE),0),IFERROR(VLOOKUP(U34,TraitCosts,4,FALSE),0),IFERROR(VLOOKUP(V34,TraitCosts,4,FALSE),0),IFERROR(VLOOKUP(W34,TraitCosts,4,FALSE),0))-MAX(IF(T34&lt;&gt;"",IFERROR(VLOOKUP(T33,TraitCosts,4,FALSE),0),0),IF(U34&lt;&gt;"",IFERROR(VLOOKUP(U33,TraitCosts,4,FALSE),0),0),IF(V34&lt;&gt;"",IFERROR(VLOOKUP(V33,TraitCosts,4,FALSE),0),0),IF(W34&lt;&gt;"",IFERROR(VLOOKUP(W33,TraitCosts,4,FALSE),0),0)))+(MAX(IFERROR(VLOOKUP(X34,TraitCosts,4,FALSE),0),IFERROR(VLOOKUP(Y34,TraitCosts,4,FALSE),0),IFERROR(VLOOKUP(Z34,TraitCosts,4,FALSE),0),IFERROR(VLOOKUP(AA34,TraitCosts,4,FALSE),0))-MAX(IF(X34&lt;&gt;"",IFERROR(VLOOKUP(X33,TraitCosts,4,FALSE),0),0),IF(Y34&lt;&gt;"",IFERROR(VLOOKUP(Y33,TraitCosts,4,FALSE),0),0),IF(Z34&lt;&gt;"",IFERROR(VLOOKUP(Z33,TraitCosts,4,FALSE),0),0),IF(AA34&lt;&gt;"",IFERROR(VLOOKUP(AA33,TraitCosts,4,FALSE),0),0)))</f>
        <v>0</v>
      </c>
      <c r="P33" s="542" t="str">
        <f>IFERROR(IF(D33&lt;&gt;"",IF(VLOOKUP(P32,TraitFull,3,FALSE)=LEFT(D33,LEN(D33)-5),"T1/"&amp;VLOOKUP(P32,TraitFull,5,FALSE),IF(VLOOKUP(P32,TraitFull,6,FALSE)=LEFT(D33,LEN(D33)-5),"T2/"&amp;VLOOKUP(P32,TraitFull,8,FALSE),IF(VLOOKUP(P32,TraitFull,9,FALSE)=LEFT(D33,LEN(D33)-5),"T3/"&amp;VLOOKUP(P32,TraitFull,11,FALSE),""))),""),"")</f>
        <v/>
      </c>
      <c r="Q33" s="543" t="str">
        <f>IFERROR(IF(F33&lt;&gt;"",IF(VLOOKUP(P32,TraitFull,3,FALSE)=LEFT(F33,LEN(F33)-5),"T1/"&amp;VLOOKUP(P32,TraitFull,5,FALSE),IF(VLOOKUP(P32,TraitFull,6,FALSE)=LEFT(F33,LEN(F33)-5),"T2/"&amp;VLOOKUP(P32,TraitFull,8,FALSE),IF(VLOOKUP(P32,TraitFull,9,FALSE)=LEFT(F33,LEN(F33)-5),"T3/"&amp;VLOOKUP(P32,TraitFull,11,FALSE),""))),""),"")</f>
        <v/>
      </c>
      <c r="R33" s="544" t="str">
        <f>IFERROR(IF(H33&lt;&gt;"",IF(VLOOKUP(P32,TraitFull,3,FALSE)=LEFT(H33,LEN(H33)-5),"T1/"&amp;VLOOKUP(P32,TraitFull,5,FALSE),IF(VLOOKUP(P32,TraitFull,6,FALSE)=LEFT(H33,LEN(H33)-5),"T2/"&amp;VLOOKUP(P32,TraitFull,8,FALSE),IF(VLOOKUP(P32,TraitFull,9,FALSE)=LEFT(H33,LEN(H33)-5),"T3/"&amp;VLOOKUP(P32,TraitFull,11,FALSE),""))),""),"")</f>
        <v/>
      </c>
      <c r="S33" s="545" t="str">
        <f>IFERROR(IF(J33&lt;&gt;"",IF(VLOOKUP(P32,TraitFull,3,FALSE)=LEFT(J33,LEN(J33)-5),"T1/"&amp;VLOOKUP(P32,TraitFull,5,FALSE),IF(VLOOKUP(P32,TraitFull,6,FALSE)=LEFT(J33,LEN(J33)-5),"T2/"&amp;VLOOKUP(P32,TraitFull,8,FALSE),IF(VLOOKUP(P32,TraitFull,9,FALSE)=LEFT(J33,LEN(J33)-5),"T3/"&amp;VLOOKUP(P32,TraitFull,11,FALSE),""))),""),"")</f>
        <v/>
      </c>
      <c r="T33" s="546" t="str">
        <f>IFERROR(IF(D33&lt;&gt;"",IF(VLOOKUP(T32,TraitFull,3,FALSE)=LEFT(D33,LEN(D33)-5),"T1/"&amp;VLOOKUP(T32,TraitFull,5,FALSE),IF(VLOOKUP(T32,TraitFull,6,FALSE)=LEFT(D33,LEN(D33)-5),"T2/"&amp;VLOOKUP(T32,TraitFull,8,FALSE),IF(VLOOKUP(T32,TraitFull,9,FALSE)=LEFT(D33,LEN(D33)-5),"T3/"&amp;VLOOKUP(T32,TraitFull,11,FALSE),""))),""),"")</f>
        <v/>
      </c>
      <c r="U33" s="547" t="str">
        <f>IFERROR(IF(F33&lt;&gt;"",IF(VLOOKUP(T32,TraitFull,3,FALSE)=LEFT(F33,LEN(F33)-5),"T1/"&amp;VLOOKUP(T32,TraitFull,5,FALSE),IF(VLOOKUP(T32,TraitFull,6,FALSE)=LEFT(F33,LEN(F33)-5),"T2/"&amp;VLOOKUP(T32,TraitFull,8,FALSE),IF(VLOOKUP(T32,TraitFull,9,FALSE)=LEFT(F33,LEN(F33)-5),"T3/"&amp;VLOOKUP(T32,TraitFull,11,FALSE),""))),""),"")</f>
        <v/>
      </c>
      <c r="V33" s="548" t="str">
        <f>IFERROR(IF(H33&lt;&gt;"",IF(VLOOKUP(T32,TraitFull,3,FALSE)=LEFT(H33,LEN(H33)-5),"T1/"&amp;VLOOKUP(T32,TraitFull,5,FALSE),IF(VLOOKUP(T32,TraitFull,6,FALSE)=LEFT(H33,LEN(H33)-5),"T2/"&amp;VLOOKUP(T32,TraitFull,8,FALSE),IF(VLOOKUP(T32,TraitFull,9,FALSE)=LEFT(H33,LEN(H33)-5),"T3/"&amp;VLOOKUP(T32,TraitFull,11,FALSE),""))),""),"")</f>
        <v/>
      </c>
      <c r="W33" s="549" t="str">
        <f>IFERROR(IF(J33&lt;&gt;"",IF(VLOOKUP(T32,TraitFull,3,FALSE)=LEFT(J33,LEN(J33)-5),"T1/"&amp;VLOOKUP(T32,TraitFull,5,FALSE),IF(VLOOKUP(T32,TraitFull,6,FALSE)=LEFT(J33,LEN(J33)-5),"T2/"&amp;VLOOKUP(T32,TraitFull,8,FALSE),IF(VLOOKUP(T32,TraitFull,9,FALSE)=LEFT(J33,LEN(J33)-5),"T3/"&amp;VLOOKUP(T32,TraitFull,11,FALSE),""))),""),"")</f>
        <v/>
      </c>
      <c r="X33" s="546" t="str">
        <f>IFERROR(IF(D33&lt;&gt;"",IF(VLOOKUP(X32,TraitFull,3,FALSE)=LEFT(D33,LEN(D33)-5),"T1/"&amp;VLOOKUP(X32,TraitFull,5,FALSE),IF(VLOOKUP(X32,TraitFull,6,FALSE)=LEFT(D33,LEN(D33)-5),"T2/"&amp;VLOOKUP(X32,TraitFull,8,FALSE),IF(VLOOKUP(X32,TraitFull,9,FALSE)=LEFT(D33,LEN(D33)-5),"T3/"&amp;VLOOKUP(X32,TraitFull,11,FALSE),""))),""),"")</f>
        <v/>
      </c>
      <c r="Y33" s="547" t="str">
        <f>IFERROR(IF(F33&lt;&gt;"",IF(VLOOKUP(X32,TraitFull,3,FALSE)=LEFT(F33,LEN(F33)-5),"T1/"&amp;VLOOKUP(X32,TraitFull,5,FALSE),IF(VLOOKUP(X32,TraitFull,6,FALSE)=LEFT(F33,LEN(F33)-5),"T2/"&amp;VLOOKUP(X32,TraitFull,8,FALSE),IF(VLOOKUP(X32,TraitFull,9,FALSE)=LEFT(F33,LEN(F33)-5),"T3/"&amp;VLOOKUP(X32,TraitFull,11,FALSE),""))),""),"")</f>
        <v/>
      </c>
      <c r="Z33" s="548" t="str">
        <f>IFERROR(IF(H33&lt;&gt;"",IF(VLOOKUP(X32,TraitFull,3,FALSE)=LEFT(H33,LEN(H33)-5),"T1/"&amp;VLOOKUP(X32,TraitFull,5,FALSE),IF(VLOOKUP(X32,TraitFull,6,FALSE)=LEFT(H33,LEN(H33)-5),"T2/"&amp;VLOOKUP(X32,TraitFull,8,FALSE),IF(VLOOKUP(X32,TraitFull,9,FALSE)=LEFT(H33,LEN(H33)-5),"T3/"&amp;VLOOKUP(X32,TraitFull,11,FALSE),""))),""),"")</f>
        <v/>
      </c>
      <c r="AA33" s="549" t="str">
        <f>IFERROR(IF(J33&lt;&gt;"",IF(VLOOKUP(X32,TraitFull,3,FALSE)=LEFT(J33,LEN(J33)-5),"T1/"&amp;VLOOKUP(X32,TraitFull,5,FALSE),IF(VLOOKUP(X32,TraitFull,6,FALSE)=LEFT(J33,LEN(J33)-5),"T2/"&amp;VLOOKUP(X32,TraitFull,8,FALSE),IF(VLOOKUP(X32,TraitFull,9,FALSE)=LEFT(J33,LEN(J33)-5),"T3/"&amp;VLOOKUP(X32,TraitFull,11,FALSE),""))),""),"")</f>
        <v/>
      </c>
      <c r="AB33" s="161"/>
      <c r="AF33" s="295"/>
    </row>
    <row r="34" spans="1:32" ht="16.5" customHeight="1" x14ac:dyDescent="0.25">
      <c r="C34" s="709"/>
      <c r="D34" s="557" t="s">
        <v>2158</v>
      </c>
      <c r="E34" s="557" t="str">
        <f>IFERROR("Min:"&amp;VLOOKUP(D32,AwayMissionsFull,13,FALSE)*100&amp;"%","")</f>
        <v/>
      </c>
      <c r="F34" s="702" t="str">
        <f>IFERROR("Inc. Per Point:"&amp;VLOOKUP(D32,AwayMissionsFull,14,FALSE)*100&amp;"%","")</f>
        <v/>
      </c>
      <c r="G34" s="702"/>
      <c r="H34" s="702" t="str">
        <f>IFERROR("Total Points:"&amp;VLOOKUP(D32,AwayMissionsFull,15,FALSE)&amp;"","")</f>
        <v/>
      </c>
      <c r="I34" s="702"/>
      <c r="J34" s="557" t="str">
        <f>IFERROR("Max:"&amp;VLOOKUP(D32,AwayMissionsFull,16,FALSE)*100&amp;"%","")</f>
        <v/>
      </c>
      <c r="K34" s="562"/>
      <c r="L34" s="563" t="s">
        <v>2160</v>
      </c>
      <c r="M34" s="564" t="str">
        <f>IFERROR((MAX(IFERROR(RIGHT(VLOOKUP(P33,TraitCosts,1,FALSE),1),0),IFERROR(RIGHT(VLOOKUP(T33,TraitCosts,1,FALSE),1),0),IFERROR(RIGHT(VLOOKUP(X33,TraitCosts,1,FALSE),1),0))+MAX(IFERROR(RIGHT(VLOOKUP(Q33,TraitCosts,1,FALSE),1),0),IFERROR(RIGHT(VLOOKUP(U33,TraitCosts,1,FALSE),1),0),IFERROR(RIGHT(VLOOKUP(Y33,TraitCosts,1,FALSE),1),0))+MAX(IFERROR(RIGHT(VLOOKUP(R33,TraitCosts,1,FALSE),1),0),IFERROR(RIGHT(VLOOKUP(V33,TraitCosts,1,FALSE),1),0),IFERROR(RIGHT(VLOOKUP(Z33,TraitCosts,1,FALSE),1),0))+MAX(IFERROR(RIGHT(VLOOKUP(S33,TraitCosts,1,FALSE),1),0),IFERROR(RIGHT(VLOOKUP(W33,TraitCosts,1,FALSE),1),0),IFERROR(RIGHT(VLOOKUP(AA33,TraitCosts,1,FALSE),1),0)))*(IFERROR(VLOOKUP(D32,AwayMissionsFull,14,FALSE),""))+IFERROR(VLOOKUP(D32,AwayMissionsFull,13,FALSE),""),"")</f>
        <v/>
      </c>
      <c r="N34" s="563" t="s">
        <v>2159</v>
      </c>
      <c r="O34" s="564" t="str">
        <f>IFERROR((MAX(IFERROR(RIGHT(VLOOKUP(P33,TraitCosts,1,FALSE),1),0),IFERROR(RIGHT(VLOOKUP(T33,TraitCosts,1,FALSE),1),0),IFERROR(RIGHT(VLOOKUP(X33,TraitCosts,1,FALSE),1),0),IFERROR(RIGHT(VLOOKUP(P34,TraitCosts,1,FALSE),1),0),IFERROR(RIGHT(VLOOKUP(T34,TraitCosts,1,FALSE),1),0),IFERROR(RIGHT(VLOOKUP(X34,TraitCosts,1,FALSE),1),0))+MAX(IFERROR(RIGHT(VLOOKUP(Q33,TraitCosts,1,FALSE),1),0),IFERROR(RIGHT(VLOOKUP(U33,TraitCosts,1,FALSE),1),0),IFERROR(RIGHT(VLOOKUP(Y33,TraitCosts,1,FALSE),1),0),IFERROR(RIGHT(VLOOKUP(Q34,TraitCosts,1,FALSE),1),0),IFERROR(RIGHT(VLOOKUP(U34,TraitCosts,1,FALSE),1),0),IFERROR(RIGHT(VLOOKUP(Y34,TraitCosts,1,FALSE),1),0))+MAX(IFERROR(RIGHT(VLOOKUP(R33,TraitCosts,1,FALSE),1),0),IFERROR(RIGHT(VLOOKUP(V33,TraitCosts,1,FALSE),1),0),IFERROR(RIGHT(VLOOKUP(Z33,TraitCosts,1,FALSE),1),0),IFERROR(RIGHT(VLOOKUP(R34,TraitCosts,1,FALSE),1),0),IFERROR(RIGHT(VLOOKUP(V34,TraitCosts,1,FALSE),1),0),IFERROR(RIGHT(VLOOKUP(Z34,TraitCosts,1,FALSE),1),0))+MAX(IFERROR(RIGHT(VLOOKUP(S33,TraitCosts,1,FALSE),1),0),IFERROR(RIGHT(VLOOKUP(W33,TraitCosts,1,FALSE),1),0),IFERROR(RIGHT(VLOOKUP(AA33,TraitCosts,1,FALSE),1),0),IFERROR(RIGHT(VLOOKUP(S34,TraitCosts,1,FALSE),1),0),IFERROR(RIGHT(VLOOKUP(W34,TraitCosts,1,FALSE),1),0),IFERROR(RIGHT(VLOOKUP(AA34,TraitCosts,1,FALSE),1),0)))*(IFERROR(VLOOKUP(D32,AwayMissionsFull,14,FALSE),""))+IFERROR(VLOOKUP(D32,AwayMissionsFull,13,FALSE),""),"")</f>
        <v/>
      </c>
      <c r="P34" s="556" t="str">
        <f>Migration!Y41&amp;""</f>
        <v/>
      </c>
      <c r="Q34" s="556" t="str">
        <f>Migration!Z41&amp;""</f>
        <v/>
      </c>
      <c r="R34" s="556" t="str">
        <f>Migration!AA41&amp;""</f>
        <v/>
      </c>
      <c r="S34" s="556" t="str">
        <f>Migration!AB41&amp;""</f>
        <v/>
      </c>
      <c r="T34" s="557" t="str">
        <f>Migration!Y42&amp;""</f>
        <v/>
      </c>
      <c r="U34" s="556" t="str">
        <f>Migration!Z42&amp;""</f>
        <v/>
      </c>
      <c r="V34" s="556" t="str">
        <f>Migration!AA42&amp;""</f>
        <v/>
      </c>
      <c r="W34" s="556" t="str">
        <f>Migration!AB42&amp;""</f>
        <v/>
      </c>
      <c r="X34" s="557" t="str">
        <f>Migration!Y43&amp;""</f>
        <v/>
      </c>
      <c r="Y34" s="556" t="str">
        <f>Migration!Z43&amp;""</f>
        <v/>
      </c>
      <c r="Z34" s="556" t="str">
        <f>Migration!AA43&amp;""</f>
        <v/>
      </c>
      <c r="AA34" s="556" t="str">
        <f>Migration!AB43&amp;""</f>
        <v/>
      </c>
      <c r="AF34" s="295"/>
    </row>
    <row r="35" spans="1:32" ht="8.25" customHeight="1" x14ac:dyDescent="0.25">
      <c r="AF35" s="295"/>
    </row>
    <row r="36" spans="1:32" s="296" customFormat="1" ht="17.25" customHeight="1" x14ac:dyDescent="0.25">
      <c r="A36" s="288"/>
      <c r="B36" s="288"/>
      <c r="C36" s="288"/>
      <c r="D36" s="521"/>
      <c r="E36" s="522"/>
      <c r="F36" s="523">
        <v>745.68499999999995</v>
      </c>
      <c r="G36" s="516"/>
      <c r="H36" s="517"/>
      <c r="I36" s="517"/>
      <c r="J36" s="517"/>
      <c r="K36" s="517"/>
      <c r="L36" s="518"/>
      <c r="M36" s="518"/>
      <c r="N36" s="519"/>
      <c r="O36" s="520">
        <v>689.11400000000003</v>
      </c>
      <c r="P36" s="513"/>
      <c r="Q36" s="514" t="s">
        <v>141</v>
      </c>
      <c r="R36" s="514"/>
      <c r="S36" s="515"/>
      <c r="T36" s="506"/>
      <c r="U36" s="507"/>
      <c r="V36" s="508"/>
      <c r="W36" s="508"/>
      <c r="X36" s="508"/>
      <c r="Y36" s="508"/>
      <c r="Z36" s="508"/>
      <c r="AA36" s="504"/>
      <c r="AB36" s="309"/>
      <c r="AC36" s="295"/>
      <c r="AD36" s="295"/>
      <c r="AE36" s="295"/>
      <c r="AF36" s="295"/>
    </row>
    <row r="37" spans="1:32" s="296" customFormat="1" ht="6.75" customHeight="1" x14ac:dyDescent="0.25">
      <c r="A37" s="288"/>
      <c r="B37" s="288"/>
      <c r="C37" s="288"/>
      <c r="D37" s="310"/>
      <c r="E37" s="311"/>
      <c r="F37" s="312"/>
      <c r="G37" s="313"/>
      <c r="H37" s="310"/>
      <c r="I37" s="310"/>
      <c r="J37" s="310"/>
      <c r="K37" s="310"/>
      <c r="L37" s="314"/>
      <c r="M37" s="314"/>
      <c r="N37" s="315"/>
      <c r="O37" s="315"/>
      <c r="P37" s="315"/>
      <c r="Q37" s="315"/>
      <c r="R37" s="315"/>
      <c r="S37" s="315"/>
      <c r="T37" s="316"/>
      <c r="U37" s="316"/>
      <c r="V37" s="288"/>
      <c r="W37" s="288"/>
      <c r="X37" s="288"/>
      <c r="Y37" s="288"/>
      <c r="Z37" s="288"/>
      <c r="AA37" s="288"/>
      <c r="AB37" s="309"/>
      <c r="AC37" s="295"/>
      <c r="AD37" s="295"/>
      <c r="AE37" s="295"/>
      <c r="AF37" s="295"/>
    </row>
    <row r="38" spans="1:32" s="182" customFormat="1" ht="15.75" customHeight="1" x14ac:dyDescent="0.25">
      <c r="B38" s="183"/>
      <c r="C38" s="183"/>
      <c r="D38" s="183"/>
      <c r="E38" s="318"/>
      <c r="F38" s="318"/>
      <c r="G38" s="318"/>
      <c r="J38" s="318"/>
      <c r="M38" s="318"/>
      <c r="AF38" s="295"/>
    </row>
    <row r="39" spans="1:32" s="182" customFormat="1" ht="15.75" customHeight="1" x14ac:dyDescent="0.25">
      <c r="B39" s="183"/>
      <c r="C39" s="183"/>
      <c r="D39" s="183"/>
      <c r="E39" s="318"/>
      <c r="F39" s="318"/>
      <c r="G39" s="318"/>
      <c r="J39" s="318"/>
      <c r="M39" s="318"/>
      <c r="AB39" s="154"/>
      <c r="AC39" s="154"/>
      <c r="AD39" s="154"/>
      <c r="AF39" s="295"/>
    </row>
    <row r="40" spans="1:32" x14ac:dyDescent="0.25">
      <c r="AF40" s="295"/>
    </row>
    <row r="41" spans="1:32" x14ac:dyDescent="0.25">
      <c r="AF41" s="295"/>
    </row>
    <row r="42" spans="1:32" x14ac:dyDescent="0.25">
      <c r="AF42" s="295"/>
    </row>
    <row r="43" spans="1:32" x14ac:dyDescent="0.25">
      <c r="AF43" s="295"/>
    </row>
    <row r="44" spans="1:32" x14ac:dyDescent="0.25">
      <c r="AF44" s="295"/>
    </row>
    <row r="45" spans="1:32" x14ac:dyDescent="0.25">
      <c r="AF45" s="295"/>
    </row>
    <row r="46" spans="1:32" x14ac:dyDescent="0.25">
      <c r="AF46" s="295"/>
    </row>
    <row r="47" spans="1:32" x14ac:dyDescent="0.25">
      <c r="AF47" s="295"/>
    </row>
    <row r="48" spans="1:32" x14ac:dyDescent="0.25">
      <c r="AF48" s="295"/>
    </row>
    <row r="49" spans="32:32" x14ac:dyDescent="0.25">
      <c r="AF49" s="295"/>
    </row>
    <row r="50" spans="32:32" x14ac:dyDescent="0.25">
      <c r="AF50" s="295"/>
    </row>
    <row r="51" spans="32:32" x14ac:dyDescent="0.25">
      <c r="AF51" s="295"/>
    </row>
    <row r="52" spans="32:32" x14ac:dyDescent="0.25">
      <c r="AF52" s="295"/>
    </row>
    <row r="53" spans="32:32" x14ac:dyDescent="0.25">
      <c r="AF53" s="295"/>
    </row>
    <row r="54" spans="32:32" x14ac:dyDescent="0.25">
      <c r="AF54" s="295"/>
    </row>
    <row r="92" spans="28:30" ht="16.5" x14ac:dyDescent="0.25">
      <c r="AB92" s="39"/>
      <c r="AC92" s="39"/>
      <c r="AD92" s="39"/>
    </row>
  </sheetData>
  <dataConsolidate/>
  <mergeCells count="150">
    <mergeCell ref="P32:S32"/>
    <mergeCell ref="T32:W32"/>
    <mergeCell ref="X32:AA32"/>
    <mergeCell ref="P23:S23"/>
    <mergeCell ref="T23:W23"/>
    <mergeCell ref="X23:AA23"/>
    <mergeCell ref="P26:S26"/>
    <mergeCell ref="T26:W26"/>
    <mergeCell ref="X26:AA26"/>
    <mergeCell ref="P29:S29"/>
    <mergeCell ref="T29:W29"/>
    <mergeCell ref="X29:AA29"/>
    <mergeCell ref="X11:AA11"/>
    <mergeCell ref="P14:S14"/>
    <mergeCell ref="T14:W14"/>
    <mergeCell ref="X14:AA14"/>
    <mergeCell ref="P17:S17"/>
    <mergeCell ref="T17:W17"/>
    <mergeCell ref="X17:AA17"/>
    <mergeCell ref="P20:S20"/>
    <mergeCell ref="T20:W20"/>
    <mergeCell ref="X20:AA20"/>
    <mergeCell ref="P11:S11"/>
    <mergeCell ref="T11:W11"/>
    <mergeCell ref="D6:E6"/>
    <mergeCell ref="D9:E9"/>
    <mergeCell ref="F6:G6"/>
    <mergeCell ref="H6:I6"/>
    <mergeCell ref="J6:K6"/>
    <mergeCell ref="F9:G9"/>
    <mergeCell ref="P5:S5"/>
    <mergeCell ref="T5:W5"/>
    <mergeCell ref="X5:AA5"/>
    <mergeCell ref="P8:S8"/>
    <mergeCell ref="T8:W8"/>
    <mergeCell ref="X8:AA8"/>
    <mergeCell ref="N5:O5"/>
    <mergeCell ref="L8:M8"/>
    <mergeCell ref="N8:O8"/>
    <mergeCell ref="L5:M5"/>
    <mergeCell ref="D24:E24"/>
    <mergeCell ref="F24:G24"/>
    <mergeCell ref="H24:I24"/>
    <mergeCell ref="J24:K24"/>
    <mergeCell ref="F28:G28"/>
    <mergeCell ref="H28:I28"/>
    <mergeCell ref="D18:E18"/>
    <mergeCell ref="F18:G18"/>
    <mergeCell ref="H9:I9"/>
    <mergeCell ref="J9:K9"/>
    <mergeCell ref="D12:E12"/>
    <mergeCell ref="F12:G12"/>
    <mergeCell ref="H12:I12"/>
    <mergeCell ref="J12:K12"/>
    <mergeCell ref="D21:E21"/>
    <mergeCell ref="F21:G21"/>
    <mergeCell ref="H21:I21"/>
    <mergeCell ref="J21:K21"/>
    <mergeCell ref="D15:E15"/>
    <mergeCell ref="F15:G15"/>
    <mergeCell ref="H15:I15"/>
    <mergeCell ref="J15:K15"/>
    <mergeCell ref="H20:I20"/>
    <mergeCell ref="J20:K20"/>
    <mergeCell ref="D33:E33"/>
    <mergeCell ref="F33:G33"/>
    <mergeCell ref="H33:I33"/>
    <mergeCell ref="J33:K33"/>
    <mergeCell ref="D27:E27"/>
    <mergeCell ref="F27:G27"/>
    <mergeCell ref="H27:I27"/>
    <mergeCell ref="J27:K27"/>
    <mergeCell ref="D30:E30"/>
    <mergeCell ref="F30:G30"/>
    <mergeCell ref="H30:I30"/>
    <mergeCell ref="J30:K30"/>
    <mergeCell ref="N11:O11"/>
    <mergeCell ref="L14:M14"/>
    <mergeCell ref="N14:O14"/>
    <mergeCell ref="N23:O23"/>
    <mergeCell ref="L26:M26"/>
    <mergeCell ref="N26:O26"/>
    <mergeCell ref="N29:O29"/>
    <mergeCell ref="L32:M32"/>
    <mergeCell ref="N32:O32"/>
    <mergeCell ref="N17:O17"/>
    <mergeCell ref="L20:M20"/>
    <mergeCell ref="N20:O20"/>
    <mergeCell ref="L11:M11"/>
    <mergeCell ref="L17:M17"/>
    <mergeCell ref="L23:M23"/>
    <mergeCell ref="L29:M29"/>
    <mergeCell ref="C5:C7"/>
    <mergeCell ref="F7:G7"/>
    <mergeCell ref="H7:I7"/>
    <mergeCell ref="C8:C10"/>
    <mergeCell ref="C32:C34"/>
    <mergeCell ref="C29:C31"/>
    <mergeCell ref="C26:C28"/>
    <mergeCell ref="C23:C25"/>
    <mergeCell ref="C20:C22"/>
    <mergeCell ref="C17:C19"/>
    <mergeCell ref="C14:C16"/>
    <mergeCell ref="C11:C13"/>
    <mergeCell ref="F13:G13"/>
    <mergeCell ref="H13:I13"/>
    <mergeCell ref="F10:G10"/>
    <mergeCell ref="H10:I10"/>
    <mergeCell ref="F16:G16"/>
    <mergeCell ref="H16:I16"/>
    <mergeCell ref="F19:G19"/>
    <mergeCell ref="H19:I19"/>
    <mergeCell ref="F22:G22"/>
    <mergeCell ref="H22:I22"/>
    <mergeCell ref="F25:G25"/>
    <mergeCell ref="H25:I25"/>
    <mergeCell ref="F34:G34"/>
    <mergeCell ref="H34:I34"/>
    <mergeCell ref="D5:G5"/>
    <mergeCell ref="H5:I5"/>
    <mergeCell ref="J5:K5"/>
    <mergeCell ref="D8:G8"/>
    <mergeCell ref="D11:G11"/>
    <mergeCell ref="D14:G14"/>
    <mergeCell ref="D17:G17"/>
    <mergeCell ref="D20:G20"/>
    <mergeCell ref="D23:G23"/>
    <mergeCell ref="D26:G26"/>
    <mergeCell ref="D29:G29"/>
    <mergeCell ref="D32:G32"/>
    <mergeCell ref="H8:I8"/>
    <mergeCell ref="J8:K8"/>
    <mergeCell ref="H11:I11"/>
    <mergeCell ref="J11:K11"/>
    <mergeCell ref="H14:I14"/>
    <mergeCell ref="J14:K14"/>
    <mergeCell ref="H17:I17"/>
    <mergeCell ref="J17:K17"/>
    <mergeCell ref="H18:I18"/>
    <mergeCell ref="J18:K18"/>
    <mergeCell ref="H23:I23"/>
    <mergeCell ref="J23:K23"/>
    <mergeCell ref="H26:I26"/>
    <mergeCell ref="J26:K26"/>
    <mergeCell ref="H29:I29"/>
    <mergeCell ref="J29:K29"/>
    <mergeCell ref="H32:I32"/>
    <mergeCell ref="J32:K32"/>
    <mergeCell ref="F31:G31"/>
    <mergeCell ref="H31:I31"/>
  </mergeCells>
  <conditionalFormatting sqref="F6">
    <cfRule type="expression" dxfId="23" priority="34">
      <formula>F6="0"</formula>
    </cfRule>
  </conditionalFormatting>
  <conditionalFormatting sqref="M4">
    <cfRule type="expression" dxfId="22" priority="40">
      <formula>VLOOKUP(N3,RankLookup,3,FALSE) = 0</formula>
    </cfRule>
    <cfRule type="expression" dxfId="21" priority="41">
      <formula>VLOOKUP(N3,RankLookup,3,FALSE) &gt;= VLOOKUP(J3,PSFull,7,FALSE)</formula>
    </cfRule>
  </conditionalFormatting>
  <conditionalFormatting sqref="F9">
    <cfRule type="expression" dxfId="20" priority="23">
      <formula>F9="0"</formula>
    </cfRule>
  </conditionalFormatting>
  <conditionalFormatting sqref="F12">
    <cfRule type="expression" dxfId="19" priority="12">
      <formula>F12="0"</formula>
    </cfRule>
  </conditionalFormatting>
  <conditionalFormatting sqref="F30">
    <cfRule type="expression" dxfId="18" priority="6">
      <formula>F30="0"</formula>
    </cfRule>
  </conditionalFormatting>
  <conditionalFormatting sqref="F15">
    <cfRule type="expression" dxfId="17" priority="11">
      <formula>F15="0"</formula>
    </cfRule>
  </conditionalFormatting>
  <conditionalFormatting sqref="F18">
    <cfRule type="expression" dxfId="16" priority="10">
      <formula>F18="0"</formula>
    </cfRule>
  </conditionalFormatting>
  <conditionalFormatting sqref="F21">
    <cfRule type="expression" dxfId="15" priority="9">
      <formula>F21="0"</formula>
    </cfRule>
  </conditionalFormatting>
  <conditionalFormatting sqref="F24">
    <cfRule type="expression" dxfId="14" priority="8">
      <formula>F24="0"</formula>
    </cfRule>
  </conditionalFormatting>
  <conditionalFormatting sqref="F27">
    <cfRule type="expression" dxfId="13" priority="7">
      <formula>F27="0"</formula>
    </cfRule>
  </conditionalFormatting>
  <conditionalFormatting sqref="F33">
    <cfRule type="expression" dxfId="12" priority="5">
      <formula>F33="0"</formula>
    </cfRule>
  </conditionalFormatting>
  <conditionalFormatting sqref="P7:AA7 P10:AA10 P13:AA13 P16:AA16 P19:AA19 P22:AA22 P25:AA25 P28:AA28 P31:AA31 P34:AA34">
    <cfRule type="cellIs" dxfId="11" priority="2" operator="equal">
      <formula>P6</formula>
    </cfRule>
  </conditionalFormatting>
  <dataValidations count="12">
    <dataValidation type="list" showInputMessage="1" sqref="D20 D23 D17 D32 D29 D26 D14">
      <formula1>AwayMissionsNames</formula1>
    </dataValidation>
    <dataValidation type="list" allowBlank="1" showInputMessage="1" sqref="D11 D5 D8">
      <formula1>AwayMissionsNames</formula1>
    </dataValidation>
    <dataValidation type="list" allowBlank="1" showInputMessage="1" sqref="P5:AA5">
      <formula1>Planning1List</formula1>
    </dataValidation>
    <dataValidation type="list" allowBlank="1" showInputMessage="1" sqref="P8:AA8">
      <formula1>Planning2List</formula1>
    </dataValidation>
    <dataValidation type="list" allowBlank="1" showInputMessage="1" sqref="P11:AA11">
      <formula1>Planning3List</formula1>
    </dataValidation>
    <dataValidation type="list" allowBlank="1" showInputMessage="1" sqref="P14:AA14">
      <formula1>Planning4List</formula1>
    </dataValidation>
    <dataValidation type="list" allowBlank="1" showInputMessage="1" sqref="P17:AA17">
      <formula1>Planning5List</formula1>
    </dataValidation>
    <dataValidation type="list" allowBlank="1" showInputMessage="1" sqref="P20:AA20">
      <formula1>Planning6List</formula1>
    </dataValidation>
    <dataValidation type="list" allowBlank="1" showInputMessage="1" sqref="P23:AA23">
      <formula1>Planning7List</formula1>
    </dataValidation>
    <dataValidation type="list" allowBlank="1" showInputMessage="1" sqref="P26:AA26">
      <formula1>Planning8List</formula1>
    </dataValidation>
    <dataValidation type="list" allowBlank="1" showInputMessage="1" sqref="P29:AA29">
      <formula1>Planning9List</formula1>
    </dataValidation>
    <dataValidation type="list" allowBlank="1" showInputMessage="1" sqref="P32:AA32">
      <formula1>Planning10List</formula1>
    </dataValidation>
  </dataValidations>
  <pageMargins left="0.7" right="0.7" top="0.75" bottom="0.75" header="0.3" footer="0.3"/>
  <pageSetup paperSize="9" orientation="portrait" horizontalDpi="1200" verticalDpi="1200" r:id="rId1"/>
  <drawing r:id="rId2"/>
  <extLst>
    <ext xmlns:x14="http://schemas.microsoft.com/office/spreadsheetml/2009/9/main" uri="{CCE6A557-97BC-4b89-ADB6-D9C93CAAB3DF}">
      <x14:dataValidations xmlns:xm="http://schemas.microsoft.com/office/excel/2006/main" count="1">
        <x14:dataValidation type="list" allowBlank="1" showInputMessage="1">
          <x14:formula1>
            <xm:f>'AM Lookup'!$AG$2:$AG$18</xm:f>
          </x14:formula1>
          <xm:sqref>P7:AA7 P31:AA31 P10:AA10 P13:AA13 P16:AA16 P19:AA19 P22:AA22 P25:AA25 P28:AA28 P34:AA34</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9CCFF"/>
    <pageSetUpPr autoPageBreaks="0"/>
  </sheetPr>
  <dimension ref="B1:N52"/>
  <sheetViews>
    <sheetView workbookViewId="0">
      <selection activeCell="G2" sqref="G2:K2"/>
    </sheetView>
  </sheetViews>
  <sheetFormatPr defaultRowHeight="16.5" x14ac:dyDescent="0.25"/>
  <cols>
    <col min="1" max="1" width="2.42578125" style="24" customWidth="1"/>
    <col min="2" max="87" width="7.28515625" style="24" customWidth="1"/>
    <col min="88" max="88" width="0.7109375" style="24" customWidth="1"/>
    <col min="89" max="16384" width="9.140625" style="24"/>
  </cols>
  <sheetData>
    <row r="1" spans="2:14" x14ac:dyDescent="0.25">
      <c r="N1" s="41"/>
    </row>
    <row r="2" spans="2:14" ht="18" x14ac:dyDescent="0.25">
      <c r="B2" s="24" t="s">
        <v>153</v>
      </c>
      <c r="G2" s="718" t="s">
        <v>2387</v>
      </c>
      <c r="H2" s="718"/>
      <c r="I2" s="718"/>
      <c r="J2" s="718"/>
      <c r="K2" s="718"/>
    </row>
    <row r="3" spans="2:14" x14ac:dyDescent="0.25">
      <c r="B3" s="24" t="s">
        <v>143</v>
      </c>
    </row>
    <row r="5" spans="2:14" ht="21" x14ac:dyDescent="0.3">
      <c r="B5" s="23" t="s">
        <v>233</v>
      </c>
    </row>
    <row r="6" spans="2:14" x14ac:dyDescent="0.25">
      <c r="B6" s="24" t="s">
        <v>234</v>
      </c>
    </row>
    <row r="7" spans="2:14" x14ac:dyDescent="0.25">
      <c r="B7" s="24" t="s">
        <v>325</v>
      </c>
    </row>
    <row r="8" spans="2:14" x14ac:dyDescent="0.25">
      <c r="B8" s="24" t="s">
        <v>323</v>
      </c>
    </row>
    <row r="9" spans="2:14" x14ac:dyDescent="0.25">
      <c r="B9" s="24" t="s">
        <v>1559</v>
      </c>
    </row>
    <row r="10" spans="2:14" x14ac:dyDescent="0.25">
      <c r="B10" s="24" t="s">
        <v>2153</v>
      </c>
    </row>
    <row r="11" spans="2:14" x14ac:dyDescent="0.25">
      <c r="B11" s="24" t="s">
        <v>931</v>
      </c>
    </row>
    <row r="13" spans="2:14" ht="21" x14ac:dyDescent="0.3">
      <c r="B13" s="23" t="s">
        <v>215</v>
      </c>
    </row>
    <row r="14" spans="2:14" x14ac:dyDescent="0.25">
      <c r="B14" s="24" t="s">
        <v>320</v>
      </c>
    </row>
    <row r="15" spans="2:14" ht="18" x14ac:dyDescent="0.25">
      <c r="B15" s="94" t="s">
        <v>660</v>
      </c>
    </row>
    <row r="16" spans="2:14" x14ac:dyDescent="0.25">
      <c r="B16" s="24" t="s">
        <v>321</v>
      </c>
    </row>
    <row r="17" spans="2:2" x14ac:dyDescent="0.25">
      <c r="B17" s="24" t="s">
        <v>872</v>
      </c>
    </row>
    <row r="18" spans="2:2" x14ac:dyDescent="0.25">
      <c r="B18" s="24" t="s">
        <v>661</v>
      </c>
    </row>
    <row r="19" spans="2:2" ht="18" x14ac:dyDescent="0.25">
      <c r="B19" s="94" t="s">
        <v>665</v>
      </c>
    </row>
    <row r="20" spans="2:2" x14ac:dyDescent="0.25">
      <c r="B20" s="24" t="s">
        <v>662</v>
      </c>
    </row>
    <row r="21" spans="2:2" x14ac:dyDescent="0.25">
      <c r="B21" s="24" t="s">
        <v>663</v>
      </c>
    </row>
    <row r="22" spans="2:2" x14ac:dyDescent="0.25">
      <c r="B22" s="24" t="s">
        <v>664</v>
      </c>
    </row>
    <row r="23" spans="2:2" x14ac:dyDescent="0.25">
      <c r="B23" s="24" t="s">
        <v>322</v>
      </c>
    </row>
    <row r="25" spans="2:2" ht="21" x14ac:dyDescent="0.3">
      <c r="B25" s="23" t="s">
        <v>127</v>
      </c>
    </row>
    <row r="26" spans="2:2" x14ac:dyDescent="0.25">
      <c r="B26" s="24" t="s">
        <v>124</v>
      </c>
    </row>
    <row r="27" spans="2:2" x14ac:dyDescent="0.25">
      <c r="B27" s="24" t="s">
        <v>123</v>
      </c>
    </row>
    <row r="28" spans="2:2" x14ac:dyDescent="0.25">
      <c r="B28" s="24" t="s">
        <v>126</v>
      </c>
    </row>
    <row r="29" spans="2:2" x14ac:dyDescent="0.25">
      <c r="B29" s="24" t="s">
        <v>125</v>
      </c>
    </row>
    <row r="30" spans="2:2" x14ac:dyDescent="0.25">
      <c r="B30" s="24" t="s">
        <v>128</v>
      </c>
    </row>
    <row r="31" spans="2:2" x14ac:dyDescent="0.25">
      <c r="B31" s="24" t="s">
        <v>648</v>
      </c>
    </row>
    <row r="33" spans="2:2" ht="21" x14ac:dyDescent="0.3">
      <c r="B33" s="23" t="s">
        <v>129</v>
      </c>
    </row>
    <row r="34" spans="2:2" x14ac:dyDescent="0.25">
      <c r="B34" s="24" t="s">
        <v>134</v>
      </c>
    </row>
    <row r="35" spans="2:2" x14ac:dyDescent="0.25">
      <c r="B35" s="24" t="s">
        <v>136</v>
      </c>
    </row>
    <row r="36" spans="2:2" x14ac:dyDescent="0.25">
      <c r="B36" s="24" t="s">
        <v>135</v>
      </c>
    </row>
    <row r="37" spans="2:2" x14ac:dyDescent="0.25">
      <c r="B37" s="24" t="s">
        <v>1967</v>
      </c>
    </row>
    <row r="39" spans="2:2" ht="21" x14ac:dyDescent="0.3">
      <c r="B39" s="23" t="s">
        <v>244</v>
      </c>
    </row>
    <row r="40" spans="2:2" x14ac:dyDescent="0.25">
      <c r="B40" s="24" t="s">
        <v>246</v>
      </c>
    </row>
    <row r="41" spans="2:2" x14ac:dyDescent="0.25">
      <c r="B41" s="24" t="s">
        <v>235</v>
      </c>
    </row>
    <row r="42" spans="2:2" x14ac:dyDescent="0.25">
      <c r="B42" s="24" t="s">
        <v>236</v>
      </c>
    </row>
    <row r="43" spans="2:2" x14ac:dyDescent="0.25">
      <c r="B43" s="24" t="s">
        <v>237</v>
      </c>
    </row>
    <row r="44" spans="2:2" x14ac:dyDescent="0.25">
      <c r="B44" s="24" t="s">
        <v>1968</v>
      </c>
    </row>
    <row r="45" spans="2:2" x14ac:dyDescent="0.25">
      <c r="B45" s="24" t="s">
        <v>238</v>
      </c>
    </row>
    <row r="47" spans="2:2" x14ac:dyDescent="0.25">
      <c r="B47" s="24" t="s">
        <v>245</v>
      </c>
    </row>
    <row r="48" spans="2:2" x14ac:dyDescent="0.25">
      <c r="B48" s="24" t="s">
        <v>239</v>
      </c>
    </row>
    <row r="49" spans="2:2" x14ac:dyDescent="0.25">
      <c r="B49" s="24" t="s">
        <v>240</v>
      </c>
    </row>
    <row r="50" spans="2:2" x14ac:dyDescent="0.25">
      <c r="B50" s="24" t="s">
        <v>241</v>
      </c>
    </row>
    <row r="51" spans="2:2" x14ac:dyDescent="0.25">
      <c r="B51" s="24" t="s">
        <v>242</v>
      </c>
    </row>
    <row r="52" spans="2:2" x14ac:dyDescent="0.25">
      <c r="B52" s="24" t="s">
        <v>243</v>
      </c>
    </row>
  </sheetData>
  <mergeCells count="1">
    <mergeCell ref="G2:K2"/>
  </mergeCells>
  <hyperlinks>
    <hyperlink ref="G2" r:id="rId1" display="Official Roster Discord Server"/>
    <hyperlink ref="G2:K2" r:id="rId2" display="Official Tool  Discord Server"/>
  </hyperlinks>
  <pageMargins left="0.7" right="0.7" top="0.75" bottom="0.75" header="0.3" footer="0.3"/>
  <pageSetup paperSize="9"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9CCFF"/>
    <pageSetUpPr autoPageBreaks="0"/>
  </sheetPr>
  <dimension ref="B1:AH161"/>
  <sheetViews>
    <sheetView workbookViewId="0">
      <selection activeCell="X4" sqref="X4"/>
    </sheetView>
  </sheetViews>
  <sheetFormatPr defaultRowHeight="16.5" x14ac:dyDescent="0.25"/>
  <cols>
    <col min="1" max="1" width="3.7109375" style="58" customWidth="1"/>
    <col min="2" max="2" width="6.42578125" style="66" customWidth="1"/>
    <col min="3" max="3" width="18.28515625" style="58" bestFit="1" customWidth="1"/>
    <col min="4" max="8" width="7.28515625" style="58" customWidth="1"/>
    <col min="9" max="9" width="3.7109375" style="58" customWidth="1"/>
    <col min="10" max="10" width="6.42578125" style="66" customWidth="1"/>
    <col min="11" max="11" width="18.28515625" style="58" bestFit="1" customWidth="1"/>
    <col min="12" max="16" width="7.28515625" style="58" customWidth="1"/>
    <col min="17" max="17" width="3.7109375" style="58" customWidth="1"/>
    <col min="18" max="18" width="30.28515625" style="58" bestFit="1" customWidth="1"/>
    <col min="19" max="19" width="7.28515625" style="58" customWidth="1"/>
    <col min="20" max="20" width="3.7109375" style="58" customWidth="1"/>
    <col min="21" max="21" width="30.28515625" style="58" bestFit="1" customWidth="1"/>
    <col min="22" max="22" width="7.28515625" style="58" customWidth="1"/>
    <col min="23" max="23" width="3.7109375" style="59" customWidth="1"/>
    <col min="24" max="24" width="41.85546875" style="58" customWidth="1"/>
    <col min="25" max="28" width="5.28515625" style="58" customWidth="1"/>
    <col min="29" max="29" width="3.7109375" style="58" customWidth="1"/>
    <col min="30" max="30" width="50" style="58" bestFit="1" customWidth="1"/>
    <col min="31" max="34" width="5.28515625" style="58" customWidth="1"/>
    <col min="35" max="35" width="23.85546875" style="58" bestFit="1" customWidth="1"/>
    <col min="36" max="85" width="7.28515625" style="58" customWidth="1"/>
    <col min="86" max="86" width="0.7109375" style="58" customWidth="1"/>
    <col min="87" max="16384" width="9.140625" style="58"/>
  </cols>
  <sheetData>
    <row r="1" spans="2:34" s="334" customFormat="1" ht="31.5" customHeight="1" x14ac:dyDescent="0.3">
      <c r="B1" s="719" t="s">
        <v>1347</v>
      </c>
      <c r="C1" s="719"/>
      <c r="D1" s="719"/>
      <c r="E1" s="719"/>
      <c r="F1" s="719"/>
      <c r="G1" s="719"/>
      <c r="H1" s="719"/>
      <c r="I1" s="333"/>
      <c r="J1" s="723" t="s">
        <v>1348</v>
      </c>
      <c r="K1" s="723"/>
      <c r="L1" s="723"/>
      <c r="M1" s="723"/>
      <c r="N1" s="723"/>
      <c r="O1" s="723"/>
      <c r="P1" s="723"/>
      <c r="R1" s="719" t="s">
        <v>1351</v>
      </c>
      <c r="S1" s="719"/>
      <c r="T1" s="335"/>
      <c r="U1" s="719" t="s">
        <v>1352</v>
      </c>
      <c r="V1" s="719"/>
      <c r="W1" s="337"/>
      <c r="X1" s="719" t="s">
        <v>2106</v>
      </c>
      <c r="Y1" s="719"/>
      <c r="Z1" s="719"/>
      <c r="AA1" s="719"/>
      <c r="AB1" s="719"/>
      <c r="AC1" s="335"/>
      <c r="AD1" s="719" t="s">
        <v>2108</v>
      </c>
      <c r="AE1" s="719"/>
      <c r="AF1" s="719"/>
      <c r="AG1" s="719"/>
      <c r="AH1" s="719"/>
    </row>
    <row r="2" spans="2:34" ht="27.75" customHeight="1" x14ac:dyDescent="0.25">
      <c r="B2" s="720" t="s">
        <v>328</v>
      </c>
      <c r="C2" s="720"/>
      <c r="D2" s="720"/>
      <c r="E2" s="720"/>
      <c r="F2" s="720"/>
      <c r="G2" s="720"/>
      <c r="H2" s="720"/>
      <c r="J2" s="720" t="s">
        <v>326</v>
      </c>
      <c r="K2" s="720"/>
      <c r="L2" s="720"/>
      <c r="M2" s="720"/>
      <c r="N2" s="720"/>
      <c r="O2" s="720"/>
      <c r="P2" s="720"/>
      <c r="R2" s="720" t="s">
        <v>1353</v>
      </c>
      <c r="S2" s="720"/>
      <c r="T2" s="332"/>
      <c r="U2" s="720" t="s">
        <v>326</v>
      </c>
      <c r="V2" s="720"/>
      <c r="W2" s="338"/>
      <c r="X2" s="720" t="s">
        <v>2105</v>
      </c>
      <c r="Y2" s="720"/>
      <c r="Z2" s="720"/>
      <c r="AA2" s="720"/>
      <c r="AB2" s="720"/>
      <c r="AC2" s="488"/>
      <c r="AD2" s="720" t="s">
        <v>326</v>
      </c>
      <c r="AE2" s="720"/>
      <c r="AF2" s="720"/>
      <c r="AG2" s="720"/>
      <c r="AH2" s="720"/>
    </row>
    <row r="3" spans="2:34" x14ac:dyDescent="0.25">
      <c r="B3" s="64" t="s">
        <v>327</v>
      </c>
      <c r="C3" s="59" t="s">
        <v>3</v>
      </c>
      <c r="D3" s="60" t="s">
        <v>214</v>
      </c>
      <c r="E3" s="60" t="s">
        <v>324</v>
      </c>
      <c r="F3" s="722" t="s">
        <v>1531</v>
      </c>
      <c r="G3" s="722"/>
      <c r="H3" s="722"/>
      <c r="J3" s="64" t="s">
        <v>327</v>
      </c>
      <c r="K3" s="59" t="s">
        <v>3</v>
      </c>
      <c r="L3" s="60" t="s">
        <v>214</v>
      </c>
      <c r="M3" s="60" t="s">
        <v>324</v>
      </c>
      <c r="N3" s="722" t="s">
        <v>1531</v>
      </c>
      <c r="O3" s="722"/>
      <c r="P3" s="722"/>
      <c r="R3" s="58" t="s">
        <v>957</v>
      </c>
      <c r="S3" s="331" t="s">
        <v>214</v>
      </c>
      <c r="U3" s="58" t="s">
        <v>957</v>
      </c>
      <c r="V3" s="331" t="s">
        <v>214</v>
      </c>
      <c r="W3" s="60"/>
      <c r="X3" s="721" t="s">
        <v>2107</v>
      </c>
      <c r="Y3" s="721"/>
      <c r="Z3" s="721"/>
      <c r="AA3" s="721"/>
      <c r="AB3" s="721"/>
      <c r="AD3" s="721" t="s">
        <v>2107</v>
      </c>
      <c r="AE3" s="721"/>
      <c r="AF3" s="721"/>
      <c r="AG3" s="721"/>
      <c r="AH3" s="721"/>
    </row>
    <row r="4" spans="2:34" x14ac:dyDescent="0.25">
      <c r="B4" s="65" t="s">
        <v>218</v>
      </c>
      <c r="C4" s="61" t="s">
        <v>47</v>
      </c>
      <c r="D4" s="62">
        <v>0</v>
      </c>
      <c r="E4" s="62">
        <v>0</v>
      </c>
      <c r="F4" s="375">
        <v>0</v>
      </c>
      <c r="G4" s="375">
        <v>0</v>
      </c>
      <c r="H4" s="375">
        <v>0</v>
      </c>
      <c r="J4" s="91" t="str">
        <f>Roster!B22</f>
        <v>U</v>
      </c>
      <c r="K4" s="92" t="str">
        <f>Roster!C22</f>
        <v>0718</v>
      </c>
      <c r="L4" s="93">
        <f ca="1">Roster!D22</f>
        <v>0</v>
      </c>
      <c r="M4" s="93">
        <f ca="1">Roster!E22</f>
        <v>0</v>
      </c>
      <c r="N4" s="381">
        <f t="shared" ref="N4" ca="1" si="0">VLOOKUP(K4,TraitFull,5,FALSE)</f>
        <v>0</v>
      </c>
      <c r="O4" s="93">
        <f t="shared" ref="O4" ca="1" si="1">VLOOKUP(K4,TraitFull,8,FALSE)</f>
        <v>0</v>
      </c>
      <c r="P4" s="93">
        <f t="shared" ref="P4" ca="1" si="2">VLOOKUP(K4,TraitFull,11,FALSE)</f>
        <v>0</v>
      </c>
      <c r="R4" s="147" t="s">
        <v>132</v>
      </c>
      <c r="S4" s="336">
        <v>0</v>
      </c>
      <c r="U4" s="147" t="s">
        <v>132</v>
      </c>
      <c r="V4" s="336">
        <f>Roster!E7</f>
        <v>0</v>
      </c>
      <c r="W4" s="339"/>
      <c r="X4" s="528"/>
      <c r="Y4" s="528"/>
      <c r="Z4" s="528"/>
      <c r="AA4" s="528"/>
      <c r="AB4" s="528"/>
      <c r="AD4" s="528" t="str">
        <f>'ATA Planning'!D5&amp;""</f>
        <v/>
      </c>
      <c r="AE4" s="528"/>
      <c r="AF4" s="528"/>
      <c r="AG4" s="528"/>
      <c r="AH4" s="528"/>
    </row>
    <row r="5" spans="2:34" x14ac:dyDescent="0.25">
      <c r="B5" s="65" t="s">
        <v>220</v>
      </c>
      <c r="C5" s="61" t="s">
        <v>1630</v>
      </c>
      <c r="D5" s="62">
        <v>0</v>
      </c>
      <c r="E5" s="62">
        <v>0</v>
      </c>
      <c r="F5" s="375">
        <v>0</v>
      </c>
      <c r="G5" s="375">
        <v>0</v>
      </c>
      <c r="H5" s="375">
        <v>0</v>
      </c>
      <c r="J5" s="91" t="str">
        <f>Roster!B23</f>
        <v>R</v>
      </c>
      <c r="K5" s="92" t="str">
        <f>Roster!C23</f>
        <v>Ahvix</v>
      </c>
      <c r="L5" s="93">
        <f ca="1">Roster!D23</f>
        <v>0</v>
      </c>
      <c r="M5" s="93">
        <f ca="1">Roster!E23</f>
        <v>0</v>
      </c>
      <c r="N5" s="381">
        <f t="shared" ref="N5:N68" ca="1" si="3">VLOOKUP(K5,TraitFull,5,FALSE)</f>
        <v>0</v>
      </c>
      <c r="O5" s="93">
        <f t="shared" ref="O5:O68" ca="1" si="4">VLOOKUP(K5,TraitFull,8,FALSE)</f>
        <v>0</v>
      </c>
      <c r="P5" s="93">
        <f t="shared" ref="P5:P68" ca="1" si="5">VLOOKUP(K5,TraitFull,11,FALSE)</f>
        <v>0</v>
      </c>
      <c r="R5" s="147" t="s">
        <v>0</v>
      </c>
      <c r="S5" s="336">
        <v>0</v>
      </c>
      <c r="U5" s="147" t="s">
        <v>0</v>
      </c>
      <c r="V5" s="336">
        <f>Roster!E8</f>
        <v>0</v>
      </c>
      <c r="W5" s="339"/>
      <c r="X5" s="528"/>
      <c r="Y5" s="528"/>
      <c r="Z5" s="528"/>
      <c r="AA5" s="528"/>
      <c r="AB5" s="528"/>
      <c r="AD5" s="528" t="str">
        <f>'ATA Planning'!D8&amp;""</f>
        <v/>
      </c>
      <c r="AE5" s="528"/>
      <c r="AF5" s="528"/>
      <c r="AG5" s="528"/>
      <c r="AH5" s="528"/>
    </row>
    <row r="6" spans="2:34" x14ac:dyDescent="0.25">
      <c r="B6" s="65" t="s">
        <v>222</v>
      </c>
      <c r="C6" s="61" t="s">
        <v>1647</v>
      </c>
      <c r="D6" s="62">
        <v>0</v>
      </c>
      <c r="E6" s="62">
        <v>0</v>
      </c>
      <c r="F6" s="375">
        <v>0</v>
      </c>
      <c r="G6" s="375">
        <v>0</v>
      </c>
      <c r="H6" s="375">
        <v>0</v>
      </c>
      <c r="J6" s="91" t="str">
        <f>Roster!B24</f>
        <v>U</v>
      </c>
      <c r="K6" s="92" t="str">
        <f>Roster!C24</f>
        <v>Airiam</v>
      </c>
      <c r="L6" s="93">
        <f ca="1">Roster!D24</f>
        <v>0</v>
      </c>
      <c r="M6" s="93">
        <f ca="1">Roster!E24</f>
        <v>0</v>
      </c>
      <c r="N6" s="381">
        <f t="shared" ca="1" si="3"/>
        <v>0</v>
      </c>
      <c r="O6" s="93">
        <f t="shared" ca="1" si="4"/>
        <v>0</v>
      </c>
      <c r="P6" s="93">
        <f t="shared" ca="1" si="5"/>
        <v>0</v>
      </c>
      <c r="R6" s="147" t="s">
        <v>1</v>
      </c>
      <c r="S6" s="336">
        <v>0</v>
      </c>
      <c r="U6" s="147" t="s">
        <v>1</v>
      </c>
      <c r="V6" s="336">
        <f>Roster!E10</f>
        <v>0</v>
      </c>
      <c r="W6" s="339"/>
      <c r="X6" s="528"/>
      <c r="Y6" s="528"/>
      <c r="Z6" s="528"/>
      <c r="AA6" s="528"/>
      <c r="AB6" s="528"/>
      <c r="AD6" s="528" t="str">
        <f>'ATA Planning'!D11&amp;""</f>
        <v/>
      </c>
      <c r="AE6" s="528"/>
      <c r="AF6" s="528"/>
      <c r="AG6" s="528"/>
      <c r="AH6" s="528"/>
    </row>
    <row r="7" spans="2:34" x14ac:dyDescent="0.25">
      <c r="B7" s="65" t="s">
        <v>222</v>
      </c>
      <c r="C7" s="61" t="s">
        <v>1640</v>
      </c>
      <c r="D7" s="62">
        <v>0</v>
      </c>
      <c r="E7" s="62">
        <v>0</v>
      </c>
      <c r="F7" s="375">
        <v>0</v>
      </c>
      <c r="G7" s="375">
        <v>0</v>
      </c>
      <c r="H7" s="375">
        <v>0</v>
      </c>
      <c r="J7" s="91" t="str">
        <f>Roster!B25</f>
        <v>U</v>
      </c>
      <c r="K7" s="92" t="str">
        <f>Roster!C25</f>
        <v>Arix</v>
      </c>
      <c r="L7" s="93">
        <f ca="1">Roster!D25</f>
        <v>0</v>
      </c>
      <c r="M7" s="93">
        <f ca="1">Roster!E25</f>
        <v>0</v>
      </c>
      <c r="N7" s="381">
        <f t="shared" ca="1" si="3"/>
        <v>0</v>
      </c>
      <c r="O7" s="93">
        <f t="shared" ca="1" si="4"/>
        <v>0</v>
      </c>
      <c r="P7" s="93">
        <f t="shared" ca="1" si="5"/>
        <v>0</v>
      </c>
      <c r="R7" s="147" t="s">
        <v>114</v>
      </c>
      <c r="S7" s="336">
        <v>0</v>
      </c>
      <c r="U7" s="147" t="s">
        <v>114</v>
      </c>
      <c r="V7" s="336">
        <f>Roster!E11</f>
        <v>0</v>
      </c>
      <c r="W7" s="339"/>
      <c r="X7" s="528"/>
      <c r="Y7" s="528"/>
      <c r="Z7" s="528"/>
      <c r="AA7" s="528"/>
      <c r="AB7" s="528"/>
      <c r="AD7" s="528" t="str">
        <f>'ATA Planning'!D14&amp;""</f>
        <v/>
      </c>
      <c r="AE7" s="528"/>
      <c r="AF7" s="528"/>
      <c r="AG7" s="528"/>
      <c r="AH7" s="528"/>
    </row>
    <row r="8" spans="2:34" x14ac:dyDescent="0.25">
      <c r="B8" s="65" t="s">
        <v>222</v>
      </c>
      <c r="C8" s="61" t="s">
        <v>1642</v>
      </c>
      <c r="D8" s="62">
        <v>0</v>
      </c>
      <c r="E8" s="62">
        <v>0</v>
      </c>
      <c r="F8" s="375">
        <v>0</v>
      </c>
      <c r="G8" s="375">
        <v>0</v>
      </c>
      <c r="H8" s="375">
        <v>0</v>
      </c>
      <c r="J8" s="91" t="str">
        <f>Roster!B26</f>
        <v>U</v>
      </c>
      <c r="K8" s="92" t="str">
        <f>Roster!C26</f>
        <v>Arkady</v>
      </c>
      <c r="L8" s="93">
        <f ca="1">Roster!D26</f>
        <v>0</v>
      </c>
      <c r="M8" s="93">
        <f ca="1">Roster!E26</f>
        <v>0</v>
      </c>
      <c r="N8" s="381">
        <f t="shared" ca="1" si="3"/>
        <v>0</v>
      </c>
      <c r="O8" s="93">
        <f t="shared" ca="1" si="4"/>
        <v>0</v>
      </c>
      <c r="P8" s="93">
        <f t="shared" ca="1" si="5"/>
        <v>0</v>
      </c>
      <c r="R8" s="147" t="s">
        <v>115</v>
      </c>
      <c r="S8" s="336">
        <v>0</v>
      </c>
      <c r="U8" s="147" t="s">
        <v>115</v>
      </c>
      <c r="V8" s="336">
        <f>Roster!E12</f>
        <v>0</v>
      </c>
      <c r="W8" s="339"/>
      <c r="X8" s="528"/>
      <c r="Y8" s="528"/>
      <c r="Z8" s="528"/>
      <c r="AA8" s="528"/>
      <c r="AB8" s="528"/>
      <c r="AD8" s="528" t="str">
        <f>'ATA Planning'!D17&amp;""</f>
        <v/>
      </c>
      <c r="AE8" s="528"/>
      <c r="AF8" s="528"/>
      <c r="AG8" s="528"/>
      <c r="AH8" s="528"/>
    </row>
    <row r="9" spans="2:34" x14ac:dyDescent="0.25">
      <c r="B9" s="65" t="s">
        <v>220</v>
      </c>
      <c r="C9" s="61" t="s">
        <v>1643</v>
      </c>
      <c r="D9" s="62">
        <v>0</v>
      </c>
      <c r="E9" s="62">
        <v>0</v>
      </c>
      <c r="F9" s="375">
        <v>0</v>
      </c>
      <c r="G9" s="375">
        <v>0</v>
      </c>
      <c r="H9" s="375">
        <v>0</v>
      </c>
      <c r="J9" s="91" t="str">
        <f>Roster!B27</f>
        <v>R</v>
      </c>
      <c r="K9" s="92" t="str">
        <f>Roster!C27</f>
        <v>Arrock</v>
      </c>
      <c r="L9" s="93">
        <f ca="1">Roster!D27</f>
        <v>0</v>
      </c>
      <c r="M9" s="93">
        <f ca="1">Roster!E27</f>
        <v>0</v>
      </c>
      <c r="N9" s="381">
        <f t="shared" ca="1" si="3"/>
        <v>0</v>
      </c>
      <c r="O9" s="93">
        <f t="shared" ca="1" si="4"/>
        <v>0</v>
      </c>
      <c r="P9" s="93">
        <f t="shared" ca="1" si="5"/>
        <v>0</v>
      </c>
      <c r="R9" s="147" t="s">
        <v>2</v>
      </c>
      <c r="S9" s="336">
        <v>0</v>
      </c>
      <c r="U9" s="147" t="s">
        <v>2</v>
      </c>
      <c r="V9" s="336">
        <f>Roster!E13</f>
        <v>0</v>
      </c>
      <c r="W9" s="339"/>
      <c r="X9" s="528"/>
      <c r="Y9" s="528"/>
      <c r="Z9" s="528"/>
      <c r="AA9" s="528"/>
      <c r="AB9" s="528"/>
      <c r="AD9" s="528" t="str">
        <f>'ATA Planning'!D20&amp;""</f>
        <v/>
      </c>
      <c r="AE9" s="528"/>
      <c r="AF9" s="528"/>
      <c r="AG9" s="528"/>
      <c r="AH9" s="528"/>
    </row>
    <row r="10" spans="2:34" x14ac:dyDescent="0.25">
      <c r="B10" s="65" t="s">
        <v>218</v>
      </c>
      <c r="C10" s="61" t="s">
        <v>1644</v>
      </c>
      <c r="D10" s="62">
        <v>0</v>
      </c>
      <c r="E10" s="62">
        <v>0</v>
      </c>
      <c r="F10" s="375">
        <v>0</v>
      </c>
      <c r="G10" s="375">
        <v>0</v>
      </c>
      <c r="H10" s="375">
        <v>0</v>
      </c>
      <c r="J10" s="91" t="str">
        <f>Roster!B28</f>
        <v>R</v>
      </c>
      <c r="K10" s="92" t="str">
        <f>Roster!C28</f>
        <v>Azetbur</v>
      </c>
      <c r="L10" s="93">
        <f ca="1">Roster!D28</f>
        <v>0</v>
      </c>
      <c r="M10" s="93">
        <f ca="1">Roster!E28</f>
        <v>0</v>
      </c>
      <c r="N10" s="381">
        <f t="shared" ca="1" si="3"/>
        <v>0</v>
      </c>
      <c r="O10" s="93">
        <f t="shared" ca="1" si="4"/>
        <v>0</v>
      </c>
      <c r="P10" s="93">
        <f t="shared" ca="1" si="5"/>
        <v>0</v>
      </c>
      <c r="R10" s="147" t="s">
        <v>774</v>
      </c>
      <c r="S10" s="336">
        <v>0</v>
      </c>
      <c r="U10" s="147" t="s">
        <v>774</v>
      </c>
      <c r="V10" s="336">
        <f>Roster!E14</f>
        <v>0</v>
      </c>
      <c r="W10" s="339"/>
      <c r="X10" s="528"/>
      <c r="Y10" s="528"/>
      <c r="Z10" s="528"/>
      <c r="AA10" s="528"/>
      <c r="AB10" s="528"/>
      <c r="AD10" s="528" t="str">
        <f>'ATA Planning'!D23&amp;""</f>
        <v/>
      </c>
      <c r="AE10" s="528"/>
      <c r="AF10" s="528"/>
      <c r="AG10" s="528"/>
      <c r="AH10" s="528"/>
    </row>
    <row r="11" spans="2:34" x14ac:dyDescent="0.25">
      <c r="B11" s="65" t="s">
        <v>218</v>
      </c>
      <c r="C11" s="61" t="s">
        <v>1645</v>
      </c>
      <c r="D11" s="62">
        <v>0</v>
      </c>
      <c r="E11" s="62">
        <v>0</v>
      </c>
      <c r="F11" s="375">
        <v>0</v>
      </c>
      <c r="G11" s="375">
        <v>0</v>
      </c>
      <c r="H11" s="375">
        <v>0</v>
      </c>
      <c r="J11" s="91" t="str">
        <f>Roster!B29</f>
        <v>U</v>
      </c>
      <c r="K11" s="92" t="str">
        <f>Roster!C29</f>
        <v>Badgey</v>
      </c>
      <c r="L11" s="93">
        <f ca="1">Roster!D29</f>
        <v>0</v>
      </c>
      <c r="M11" s="93">
        <f ca="1">Roster!E29</f>
        <v>0</v>
      </c>
      <c r="N11" s="381">
        <f t="shared" ca="1" si="3"/>
        <v>0</v>
      </c>
      <c r="O11" s="93">
        <f t="shared" ca="1" si="4"/>
        <v>0</v>
      </c>
      <c r="P11" s="93">
        <f t="shared" ca="1" si="5"/>
        <v>0</v>
      </c>
      <c r="R11" s="147" t="s">
        <v>775</v>
      </c>
      <c r="S11" s="336">
        <v>0</v>
      </c>
      <c r="U11" s="147" t="s">
        <v>775</v>
      </c>
      <c r="V11" s="336">
        <f>Roster!E15</f>
        <v>0</v>
      </c>
      <c r="W11" s="339"/>
      <c r="X11" s="528"/>
      <c r="Y11" s="528"/>
      <c r="Z11" s="528"/>
      <c r="AA11" s="528"/>
      <c r="AB11" s="528"/>
      <c r="AD11" s="528" t="str">
        <f>'ATA Planning'!D26&amp;""</f>
        <v/>
      </c>
      <c r="AE11" s="528"/>
      <c r="AF11" s="528"/>
      <c r="AG11" s="528"/>
      <c r="AH11" s="528"/>
    </row>
    <row r="12" spans="2:34" x14ac:dyDescent="0.25">
      <c r="B12" s="65" t="s">
        <v>220</v>
      </c>
      <c r="C12" s="61" t="s">
        <v>102</v>
      </c>
      <c r="D12" s="62">
        <v>0</v>
      </c>
      <c r="E12" s="62">
        <v>0</v>
      </c>
      <c r="F12" s="375">
        <v>0</v>
      </c>
      <c r="G12" s="375">
        <v>0</v>
      </c>
      <c r="H12" s="375">
        <v>0</v>
      </c>
      <c r="J12" s="91" t="str">
        <f>Roster!B30</f>
        <v>R</v>
      </c>
      <c r="K12" s="92" t="str">
        <f>Roster!C30</f>
        <v>Ba'el</v>
      </c>
      <c r="L12" s="93">
        <f ca="1">Roster!D30</f>
        <v>0</v>
      </c>
      <c r="M12" s="93">
        <f ca="1">Roster!E30</f>
        <v>0</v>
      </c>
      <c r="N12" s="381">
        <f t="shared" ca="1" si="3"/>
        <v>0</v>
      </c>
      <c r="O12" s="93">
        <f t="shared" ca="1" si="4"/>
        <v>0</v>
      </c>
      <c r="P12" s="93">
        <f t="shared" ca="1" si="5"/>
        <v>0</v>
      </c>
      <c r="R12" s="147" t="s">
        <v>1698</v>
      </c>
      <c r="S12" s="336">
        <v>0</v>
      </c>
      <c r="U12" s="147" t="s">
        <v>1698</v>
      </c>
      <c r="V12" s="336">
        <f>Roster!H12</f>
        <v>0</v>
      </c>
      <c r="W12" s="339"/>
      <c r="X12" s="528"/>
      <c r="Y12" s="528"/>
      <c r="Z12" s="528"/>
      <c r="AA12" s="528"/>
      <c r="AB12" s="528"/>
      <c r="AD12" s="528" t="str">
        <f>'ATA Planning'!D29&amp;""</f>
        <v/>
      </c>
      <c r="AE12" s="528"/>
      <c r="AF12" s="528"/>
      <c r="AG12" s="528"/>
      <c r="AH12" s="528"/>
    </row>
    <row r="13" spans="2:34" x14ac:dyDescent="0.25">
      <c r="B13" s="65" t="s">
        <v>218</v>
      </c>
      <c r="C13" s="61" t="s">
        <v>84</v>
      </c>
      <c r="D13" s="62">
        <v>0</v>
      </c>
      <c r="E13" s="62">
        <v>0</v>
      </c>
      <c r="F13" s="375">
        <v>0</v>
      </c>
      <c r="G13" s="375">
        <v>0</v>
      </c>
      <c r="H13" s="375">
        <v>0</v>
      </c>
      <c r="J13" s="91" t="str">
        <f>Roster!B31</f>
        <v>R</v>
      </c>
      <c r="K13" s="92" t="str">
        <f>Roster!C31</f>
        <v>Barot</v>
      </c>
      <c r="L13" s="93">
        <f ca="1">Roster!D31</f>
        <v>0</v>
      </c>
      <c r="M13" s="93">
        <f ca="1">Roster!E31</f>
        <v>0</v>
      </c>
      <c r="N13" s="381">
        <f t="shared" ca="1" si="3"/>
        <v>0</v>
      </c>
      <c r="O13" s="93">
        <f t="shared" ca="1" si="4"/>
        <v>0</v>
      </c>
      <c r="P13" s="93">
        <f t="shared" ca="1" si="5"/>
        <v>0</v>
      </c>
      <c r="R13" s="147" t="s">
        <v>777</v>
      </c>
      <c r="S13" s="336">
        <v>0</v>
      </c>
      <c r="U13" s="147" t="s">
        <v>777</v>
      </c>
      <c r="V13" s="336">
        <f>Roster!H13</f>
        <v>0</v>
      </c>
      <c r="X13" s="528"/>
      <c r="Y13" s="528"/>
      <c r="Z13" s="528"/>
      <c r="AA13" s="528"/>
      <c r="AB13" s="528"/>
      <c r="AD13" s="528" t="str">
        <f>'ATA Planning'!D32&amp;""</f>
        <v/>
      </c>
      <c r="AE13" s="528"/>
      <c r="AF13" s="528"/>
      <c r="AG13" s="528"/>
      <c r="AH13" s="528"/>
    </row>
    <row r="14" spans="2:34" x14ac:dyDescent="0.25">
      <c r="B14" s="65" t="s">
        <v>218</v>
      </c>
      <c r="C14" s="61" t="s">
        <v>31</v>
      </c>
      <c r="D14" s="62">
        <v>0</v>
      </c>
      <c r="E14" s="62">
        <v>0</v>
      </c>
      <c r="F14" s="375">
        <v>0</v>
      </c>
      <c r="G14" s="375">
        <v>0</v>
      </c>
      <c r="H14" s="375">
        <v>0</v>
      </c>
      <c r="J14" s="91" t="str">
        <f>Roster!B32</f>
        <v>E</v>
      </c>
      <c r="K14" s="92" t="str">
        <f>Roster!C32</f>
        <v>Beckett Mariner</v>
      </c>
      <c r="L14" s="93">
        <f ca="1">Roster!D32</f>
        <v>0</v>
      </c>
      <c r="M14" s="93">
        <f ca="1">Roster!E32</f>
        <v>0</v>
      </c>
      <c r="N14" s="381">
        <f t="shared" ca="1" si="3"/>
        <v>0</v>
      </c>
      <c r="O14" s="93">
        <f t="shared" ca="1" si="4"/>
        <v>0</v>
      </c>
      <c r="P14" s="93">
        <f t="shared" ca="1" si="5"/>
        <v>0</v>
      </c>
      <c r="R14" s="147" t="s">
        <v>776</v>
      </c>
      <c r="S14" s="336">
        <v>0</v>
      </c>
      <c r="U14" s="147" t="s">
        <v>776</v>
      </c>
      <c r="V14" s="336">
        <f>Roster!H14</f>
        <v>0</v>
      </c>
      <c r="X14" s="528"/>
      <c r="Y14" s="528"/>
      <c r="Z14" s="528"/>
      <c r="AA14" s="528"/>
      <c r="AB14" s="528"/>
      <c r="AD14" s="528" t="str">
        <f>'ATA Planning'!P5&amp;""</f>
        <v/>
      </c>
      <c r="AE14" s="528" t="str">
        <f>'ATA Planning'!P7&amp;""</f>
        <v/>
      </c>
      <c r="AF14" s="528" t="str">
        <f>'ATA Planning'!Q7&amp;""</f>
        <v/>
      </c>
      <c r="AG14" s="528" t="str">
        <f>'ATA Planning'!R7&amp;""</f>
        <v/>
      </c>
      <c r="AH14" s="528" t="str">
        <f>'ATA Planning'!S7&amp;""</f>
        <v/>
      </c>
    </row>
    <row r="15" spans="2:34" x14ac:dyDescent="0.25">
      <c r="B15" s="65" t="s">
        <v>218</v>
      </c>
      <c r="C15" s="61" t="s">
        <v>29</v>
      </c>
      <c r="D15" s="62">
        <v>0</v>
      </c>
      <c r="E15" s="62">
        <v>0</v>
      </c>
      <c r="F15" s="375">
        <v>0</v>
      </c>
      <c r="G15" s="375">
        <v>0</v>
      </c>
      <c r="H15" s="375">
        <v>0</v>
      </c>
      <c r="J15" s="91" t="str">
        <f>Roster!B33</f>
        <v>R</v>
      </c>
      <c r="K15" s="92" t="str">
        <f>Roster!C33</f>
        <v>B'Etor</v>
      </c>
      <c r="L15" s="93">
        <f ca="1">Roster!D33</f>
        <v>0</v>
      </c>
      <c r="M15" s="93">
        <f ca="1">Roster!E33</f>
        <v>0</v>
      </c>
      <c r="N15" s="381">
        <f t="shared" ca="1" si="3"/>
        <v>0</v>
      </c>
      <c r="O15" s="93">
        <f t="shared" ca="1" si="4"/>
        <v>0</v>
      </c>
      <c r="P15" s="93">
        <f t="shared" ca="1" si="5"/>
        <v>0</v>
      </c>
      <c r="R15" s="147" t="s">
        <v>778</v>
      </c>
      <c r="S15" s="336">
        <v>0</v>
      </c>
      <c r="U15" s="147" t="s">
        <v>778</v>
      </c>
      <c r="V15" s="336">
        <f>Roster!H15</f>
        <v>0</v>
      </c>
      <c r="X15" s="528"/>
      <c r="Y15" s="528"/>
      <c r="Z15" s="528"/>
      <c r="AA15" s="528"/>
      <c r="AB15" s="528"/>
      <c r="AD15" s="528" t="str">
        <f>'ATA Planning'!T5&amp;""</f>
        <v/>
      </c>
      <c r="AE15" s="528" t="str">
        <f>'ATA Planning'!T7&amp;""</f>
        <v/>
      </c>
      <c r="AF15" s="528" t="str">
        <f>'ATA Planning'!U7&amp;""</f>
        <v/>
      </c>
      <c r="AG15" s="528" t="str">
        <f>'ATA Planning'!V7&amp;""</f>
        <v/>
      </c>
      <c r="AH15" s="528" t="str">
        <f>'ATA Planning'!W7&amp;""</f>
        <v/>
      </c>
    </row>
    <row r="16" spans="2:34" ht="16.5" customHeight="1" x14ac:dyDescent="0.25">
      <c r="B16" s="65" t="s">
        <v>220</v>
      </c>
      <c r="C16" s="61" t="s">
        <v>22</v>
      </c>
      <c r="D16" s="62">
        <v>0</v>
      </c>
      <c r="E16" s="62">
        <v>0</v>
      </c>
      <c r="F16" s="375">
        <v>0</v>
      </c>
      <c r="G16" s="375">
        <v>0</v>
      </c>
      <c r="H16" s="375">
        <v>0</v>
      </c>
      <c r="J16" s="91" t="str">
        <f>Roster!B34</f>
        <v>R</v>
      </c>
      <c r="K16" s="92" t="str">
        <f>Roster!C34</f>
        <v>Beverly Crusher</v>
      </c>
      <c r="L16" s="93">
        <f ca="1">Roster!D34</f>
        <v>0</v>
      </c>
      <c r="M16" s="93">
        <f ca="1">Roster!E34</f>
        <v>0</v>
      </c>
      <c r="N16" s="381">
        <f t="shared" ca="1" si="3"/>
        <v>0</v>
      </c>
      <c r="O16" s="93">
        <f t="shared" ca="1" si="4"/>
        <v>0</v>
      </c>
      <c r="P16" s="93">
        <f t="shared" ca="1" si="5"/>
        <v>0</v>
      </c>
      <c r="R16" s="147" t="s">
        <v>1699</v>
      </c>
      <c r="S16" s="438">
        <v>0</v>
      </c>
      <c r="T16" s="59"/>
      <c r="U16" s="147" t="s">
        <v>1699</v>
      </c>
      <c r="V16" s="438">
        <f>Roster!E9</f>
        <v>0</v>
      </c>
      <c r="X16" s="528"/>
      <c r="Y16" s="528"/>
      <c r="Z16" s="528"/>
      <c r="AA16" s="528"/>
      <c r="AB16" s="528"/>
      <c r="AD16" s="528" t="str">
        <f>'ATA Planning'!X5&amp;""</f>
        <v/>
      </c>
      <c r="AE16" s="528" t="str">
        <f>'ATA Planning'!X7&amp;""</f>
        <v/>
      </c>
      <c r="AF16" s="528" t="str">
        <f>'ATA Planning'!Y7&amp;""</f>
        <v/>
      </c>
      <c r="AG16" s="528" t="str">
        <f>'ATA Planning'!Z7&amp;""</f>
        <v/>
      </c>
      <c r="AH16" s="528" t="str">
        <f>'ATA Planning'!AA7&amp;""</f>
        <v/>
      </c>
    </row>
    <row r="17" spans="2:34" ht="16.5" customHeight="1" x14ac:dyDescent="0.25">
      <c r="B17" s="65" t="s">
        <v>220</v>
      </c>
      <c r="C17" s="61" t="s">
        <v>43</v>
      </c>
      <c r="D17" s="62">
        <v>0</v>
      </c>
      <c r="E17" s="62">
        <v>0</v>
      </c>
      <c r="F17" s="375">
        <v>0</v>
      </c>
      <c r="G17" s="375">
        <v>0</v>
      </c>
      <c r="H17" s="375">
        <v>0</v>
      </c>
      <c r="J17" s="91" t="str">
        <f>Roster!B35</f>
        <v>R</v>
      </c>
      <c r="K17" s="92" t="str">
        <f>Roster!C35</f>
        <v>Bones</v>
      </c>
      <c r="L17" s="93">
        <f ca="1">Roster!D35</f>
        <v>0</v>
      </c>
      <c r="M17" s="93">
        <f ca="1">Roster!E35</f>
        <v>0</v>
      </c>
      <c r="N17" s="381">
        <f t="shared" ca="1" si="3"/>
        <v>0</v>
      </c>
      <c r="O17" s="93">
        <f t="shared" ca="1" si="4"/>
        <v>0</v>
      </c>
      <c r="P17" s="93">
        <f t="shared" ca="1" si="5"/>
        <v>0</v>
      </c>
      <c r="R17" s="470" t="s">
        <v>1869</v>
      </c>
      <c r="S17" s="470">
        <v>0</v>
      </c>
      <c r="T17" s="335"/>
      <c r="U17" s="470" t="s">
        <v>1869</v>
      </c>
      <c r="V17" s="470">
        <f>OpsLevel</f>
        <v>0</v>
      </c>
      <c r="X17" s="528"/>
      <c r="Y17" s="528"/>
      <c r="Z17" s="528"/>
      <c r="AA17" s="528"/>
      <c r="AB17" s="528"/>
      <c r="AD17" s="528" t="str">
        <f>'ATA Planning'!P8&amp;""</f>
        <v/>
      </c>
      <c r="AE17" s="528" t="str">
        <f>'ATA Planning'!P10&amp;""</f>
        <v/>
      </c>
      <c r="AF17" s="528" t="str">
        <f>'ATA Planning'!Q10&amp;""</f>
        <v/>
      </c>
      <c r="AG17" s="528" t="str">
        <f>'ATA Planning'!R10&amp;""</f>
        <v/>
      </c>
      <c r="AH17" s="528" t="str">
        <f>'ATA Planning'!S10&amp;""</f>
        <v/>
      </c>
    </row>
    <row r="18" spans="2:34" ht="16.5" customHeight="1" x14ac:dyDescent="0.25">
      <c r="B18" s="65" t="s">
        <v>220</v>
      </c>
      <c r="C18" s="61" t="s">
        <v>44</v>
      </c>
      <c r="D18" s="62">
        <v>0</v>
      </c>
      <c r="E18" s="62">
        <v>0</v>
      </c>
      <c r="F18" s="375">
        <v>0</v>
      </c>
      <c r="G18" s="375">
        <v>0</v>
      </c>
      <c r="H18" s="375">
        <v>0</v>
      </c>
      <c r="J18" s="91" t="str">
        <f>Roster!B36</f>
        <v>R</v>
      </c>
      <c r="K18" s="92" t="str">
        <f>Roster!C36</f>
        <v>Brad Boimler</v>
      </c>
      <c r="L18" s="93">
        <f ca="1">Roster!D36</f>
        <v>0</v>
      </c>
      <c r="M18" s="93">
        <f ca="1">Roster!E36</f>
        <v>0</v>
      </c>
      <c r="N18" s="381">
        <f t="shared" ca="1" si="3"/>
        <v>0</v>
      </c>
      <c r="O18" s="93">
        <f t="shared" ca="1" si="4"/>
        <v>0</v>
      </c>
      <c r="P18" s="93">
        <f t="shared" ca="1" si="5"/>
        <v>0</v>
      </c>
      <c r="R18" s="147" t="s">
        <v>1769</v>
      </c>
      <c r="S18" s="147">
        <v>0</v>
      </c>
      <c r="T18" s="332"/>
      <c r="U18" s="147" t="s">
        <v>1769</v>
      </c>
      <c r="V18" s="147">
        <f>OrionLevel</f>
        <v>0</v>
      </c>
      <c r="X18" s="528"/>
      <c r="Y18" s="528"/>
      <c r="Z18" s="528"/>
      <c r="AA18" s="528"/>
      <c r="AB18" s="528"/>
      <c r="AD18" s="528" t="str">
        <f>'ATA Planning'!T8&amp;""</f>
        <v/>
      </c>
      <c r="AE18" s="528" t="str">
        <f>'ATA Planning'!T10&amp;""</f>
        <v/>
      </c>
      <c r="AF18" s="528" t="str">
        <f>'ATA Planning'!U10&amp;""</f>
        <v/>
      </c>
      <c r="AG18" s="528" t="str">
        <f>'ATA Planning'!V10&amp;""</f>
        <v/>
      </c>
      <c r="AH18" s="528" t="str">
        <f>'ATA Planning'!W10&amp;""</f>
        <v/>
      </c>
    </row>
    <row r="19" spans="2:34" x14ac:dyDescent="0.25">
      <c r="B19" s="65" t="s">
        <v>223</v>
      </c>
      <c r="C19" s="61" t="s">
        <v>13</v>
      </c>
      <c r="D19" s="62">
        <v>0</v>
      </c>
      <c r="E19" s="62">
        <v>0</v>
      </c>
      <c r="F19" s="375">
        <v>0</v>
      </c>
      <c r="G19" s="375">
        <v>0</v>
      </c>
      <c r="H19" s="375">
        <v>0</v>
      </c>
      <c r="J19" s="91" t="str">
        <f>Roster!B37</f>
        <v>C</v>
      </c>
      <c r="K19" s="92" t="str">
        <f>Roster!C37</f>
        <v>Cadet Kirk</v>
      </c>
      <c r="L19" s="93">
        <f ca="1">Roster!D37</f>
        <v>0</v>
      </c>
      <c r="M19" s="93">
        <f ca="1">Roster!E37</f>
        <v>0</v>
      </c>
      <c r="N19" s="381">
        <f t="shared" ca="1" si="3"/>
        <v>0</v>
      </c>
      <c r="O19" s="93">
        <f t="shared" ca="1" si="4"/>
        <v>0</v>
      </c>
      <c r="P19" s="93">
        <f t="shared" ca="1" si="5"/>
        <v>0</v>
      </c>
      <c r="X19" s="528"/>
      <c r="Y19" s="528"/>
      <c r="Z19" s="528"/>
      <c r="AA19" s="528"/>
      <c r="AB19" s="528"/>
      <c r="AD19" s="528" t="str">
        <f>'ATA Planning'!X8&amp;""</f>
        <v/>
      </c>
      <c r="AE19" s="528" t="str">
        <f>'ATA Planning'!X10&amp;""</f>
        <v/>
      </c>
      <c r="AF19" s="528" t="str">
        <f>'ATA Planning'!Y10&amp;""</f>
        <v/>
      </c>
      <c r="AG19" s="528" t="str">
        <f>'ATA Planning'!Z10&amp;""</f>
        <v/>
      </c>
      <c r="AH19" s="528" t="str">
        <f>'ATA Planning'!AA10&amp;""</f>
        <v/>
      </c>
    </row>
    <row r="20" spans="2:34" ht="21" x14ac:dyDescent="0.25">
      <c r="B20" s="65" t="s">
        <v>223</v>
      </c>
      <c r="C20" s="61" t="s">
        <v>14</v>
      </c>
      <c r="D20" s="62">
        <v>0</v>
      </c>
      <c r="E20" s="62">
        <v>0</v>
      </c>
      <c r="F20" s="375">
        <v>0</v>
      </c>
      <c r="G20" s="375">
        <v>0</v>
      </c>
      <c r="H20" s="375">
        <v>0</v>
      </c>
      <c r="J20" s="91" t="str">
        <f>Roster!B38</f>
        <v>C</v>
      </c>
      <c r="K20" s="92" t="str">
        <f>Roster!C38</f>
        <v>Cadet McCoy</v>
      </c>
      <c r="L20" s="93">
        <f ca="1">Roster!D38</f>
        <v>0</v>
      </c>
      <c r="M20" s="93">
        <f ca="1">Roster!E38</f>
        <v>0</v>
      </c>
      <c r="N20" s="381">
        <f t="shared" ca="1" si="3"/>
        <v>0</v>
      </c>
      <c r="O20" s="93">
        <f t="shared" ca="1" si="4"/>
        <v>0</v>
      </c>
      <c r="P20" s="93">
        <f t="shared" ca="1" si="5"/>
        <v>0</v>
      </c>
      <c r="R20" s="719" t="s">
        <v>1349</v>
      </c>
      <c r="S20" s="719"/>
      <c r="U20" s="719" t="s">
        <v>1350</v>
      </c>
      <c r="V20" s="719"/>
      <c r="X20" s="528"/>
      <c r="Y20" s="528"/>
      <c r="Z20" s="528"/>
      <c r="AA20" s="528"/>
      <c r="AB20" s="528"/>
      <c r="AD20" s="528" t="str">
        <f>'ATA Planning'!P11&amp;""</f>
        <v/>
      </c>
      <c r="AE20" s="528" t="str">
        <f>'ATA Planning'!P13&amp;""</f>
        <v/>
      </c>
      <c r="AF20" s="528" t="str">
        <f>'ATA Planning'!Q13&amp;""</f>
        <v/>
      </c>
      <c r="AG20" s="528" t="str">
        <f>'ATA Planning'!R13&amp;""</f>
        <v/>
      </c>
      <c r="AH20" s="528" t="str">
        <f>'ATA Planning'!S13&amp;""</f>
        <v/>
      </c>
    </row>
    <row r="21" spans="2:34" x14ac:dyDescent="0.25">
      <c r="B21" s="65" t="s">
        <v>223</v>
      </c>
      <c r="C21" s="61" t="s">
        <v>15</v>
      </c>
      <c r="D21" s="62">
        <v>0</v>
      </c>
      <c r="E21" s="62">
        <v>0</v>
      </c>
      <c r="F21" s="375">
        <v>0</v>
      </c>
      <c r="G21" s="375">
        <v>0</v>
      </c>
      <c r="H21" s="375">
        <v>0</v>
      </c>
      <c r="J21" s="91" t="str">
        <f>Roster!B39</f>
        <v>C</v>
      </c>
      <c r="K21" s="92" t="str">
        <f>Roster!C39</f>
        <v>Cadet Scotty</v>
      </c>
      <c r="L21" s="93">
        <f ca="1">Roster!D39</f>
        <v>0</v>
      </c>
      <c r="M21" s="93">
        <f ca="1">Roster!E39</f>
        <v>0</v>
      </c>
      <c r="N21" s="381">
        <f t="shared" ca="1" si="3"/>
        <v>0</v>
      </c>
      <c r="O21" s="93">
        <f t="shared" ca="1" si="4"/>
        <v>0</v>
      </c>
      <c r="P21" s="93">
        <f t="shared" ca="1" si="5"/>
        <v>0</v>
      </c>
      <c r="R21" s="720" t="s">
        <v>1867</v>
      </c>
      <c r="S21" s="720"/>
      <c r="U21" s="720" t="s">
        <v>326</v>
      </c>
      <c r="V21" s="720"/>
      <c r="X21" s="528"/>
      <c r="Y21" s="528"/>
      <c r="Z21" s="528"/>
      <c r="AA21" s="528"/>
      <c r="AB21" s="528"/>
      <c r="AD21" s="528" t="str">
        <f>'ATA Planning'!T11&amp;""</f>
        <v/>
      </c>
      <c r="AE21" s="528" t="str">
        <f>'ATA Planning'!T13&amp;""</f>
        <v/>
      </c>
      <c r="AF21" s="528" t="str">
        <f>'ATA Planning'!U13&amp;""</f>
        <v/>
      </c>
      <c r="AG21" s="528" t="str">
        <f>'ATA Planning'!V13&amp;""</f>
        <v/>
      </c>
      <c r="AH21" s="528" t="str">
        <f>'ATA Planning'!W13&amp;""</f>
        <v/>
      </c>
    </row>
    <row r="22" spans="2:34" x14ac:dyDescent="0.25">
      <c r="B22" s="65" t="s">
        <v>223</v>
      </c>
      <c r="C22" s="61" t="s">
        <v>18</v>
      </c>
      <c r="D22" s="62">
        <v>0</v>
      </c>
      <c r="E22" s="62">
        <v>0</v>
      </c>
      <c r="F22" s="375">
        <v>0</v>
      </c>
      <c r="G22" s="375">
        <v>0</v>
      </c>
      <c r="H22" s="375">
        <v>0</v>
      </c>
      <c r="J22" s="91" t="str">
        <f>Roster!B40</f>
        <v>C</v>
      </c>
      <c r="K22" s="92" t="str">
        <f>Roster!C40</f>
        <v>Cadet Sulu</v>
      </c>
      <c r="L22" s="93">
        <f ca="1">Roster!D40</f>
        <v>0</v>
      </c>
      <c r="M22" s="93">
        <f ca="1">Roster!E40</f>
        <v>0</v>
      </c>
      <c r="N22" s="381">
        <f t="shared" ca="1" si="3"/>
        <v>0</v>
      </c>
      <c r="O22" s="93">
        <f t="shared" ca="1" si="4"/>
        <v>0</v>
      </c>
      <c r="P22" s="93">
        <f t="shared" ca="1" si="5"/>
        <v>0</v>
      </c>
      <c r="R22" s="720"/>
      <c r="S22" s="720"/>
      <c r="U22" s="720"/>
      <c r="V22" s="720"/>
      <c r="X22" s="528"/>
      <c r="Y22" s="528"/>
      <c r="Z22" s="528"/>
      <c r="AA22" s="528"/>
      <c r="AB22" s="528"/>
      <c r="AD22" s="528" t="str">
        <f>'ATA Planning'!X11&amp;""</f>
        <v/>
      </c>
      <c r="AE22" s="528" t="str">
        <f>'ATA Planning'!X13&amp;""</f>
        <v/>
      </c>
      <c r="AF22" s="528" t="str">
        <f>'ATA Planning'!Y13&amp;""</f>
        <v/>
      </c>
      <c r="AG22" s="528" t="str">
        <f>'ATA Planning'!Z13&amp;""</f>
        <v/>
      </c>
      <c r="AH22" s="528" t="str">
        <f>'ATA Planning'!AA13&amp;""</f>
        <v/>
      </c>
    </row>
    <row r="23" spans="2:34" x14ac:dyDescent="0.25">
      <c r="B23" s="65" t="s">
        <v>223</v>
      </c>
      <c r="C23" s="61" t="s">
        <v>17</v>
      </c>
      <c r="D23" s="62">
        <v>0</v>
      </c>
      <c r="E23" s="62">
        <v>0</v>
      </c>
      <c r="F23" s="375">
        <v>0</v>
      </c>
      <c r="G23" s="375">
        <v>0</v>
      </c>
      <c r="H23" s="375">
        <v>0</v>
      </c>
      <c r="J23" s="91" t="str">
        <f>Roster!B41</f>
        <v>C</v>
      </c>
      <c r="K23" s="92" t="str">
        <f>Roster!C41</f>
        <v>Cadet Uhura</v>
      </c>
      <c r="L23" s="93">
        <f ca="1">Roster!D41</f>
        <v>0</v>
      </c>
      <c r="M23" s="93">
        <f ca="1">Roster!E41</f>
        <v>0</v>
      </c>
      <c r="N23" s="381">
        <f t="shared" ca="1" si="3"/>
        <v>0</v>
      </c>
      <c r="O23" s="93">
        <f t="shared" ca="1" si="4"/>
        <v>0</v>
      </c>
      <c r="P23" s="93">
        <f t="shared" ca="1" si="5"/>
        <v>0</v>
      </c>
      <c r="R23" s="58" t="s">
        <v>957</v>
      </c>
      <c r="S23" s="331" t="s">
        <v>214</v>
      </c>
      <c r="U23" s="58" t="s">
        <v>957</v>
      </c>
      <c r="V23" s="331" t="s">
        <v>214</v>
      </c>
      <c r="X23" s="528"/>
      <c r="Y23" s="528"/>
      <c r="Z23" s="528"/>
      <c r="AA23" s="528"/>
      <c r="AB23" s="528"/>
      <c r="AD23" s="528" t="str">
        <f>'ATA Planning'!P14&amp;""</f>
        <v/>
      </c>
      <c r="AE23" s="528" t="str">
        <f>'ATA Planning'!P16&amp;""</f>
        <v/>
      </c>
      <c r="AF23" s="528" t="str">
        <f>'ATA Planning'!Q16&amp;""</f>
        <v/>
      </c>
      <c r="AG23" s="528" t="str">
        <f>'ATA Planning'!R16&amp;""</f>
        <v/>
      </c>
      <c r="AH23" s="528" t="str">
        <f>'ATA Planning'!S16&amp;""</f>
        <v/>
      </c>
    </row>
    <row r="24" spans="2:34" x14ac:dyDescent="0.25">
      <c r="B24" s="65" t="s">
        <v>220</v>
      </c>
      <c r="C24" s="61" t="s">
        <v>97</v>
      </c>
      <c r="D24" s="62">
        <v>0</v>
      </c>
      <c r="E24" s="62">
        <v>0</v>
      </c>
      <c r="F24" s="375">
        <v>0</v>
      </c>
      <c r="G24" s="375">
        <v>0</v>
      </c>
      <c r="H24" s="375">
        <v>0</v>
      </c>
      <c r="J24" s="91" t="str">
        <f>Roster!B42</f>
        <v>R</v>
      </c>
      <c r="K24" s="92" t="str">
        <f>Roster!C42</f>
        <v>Captain Tilly</v>
      </c>
      <c r="L24" s="93">
        <f ca="1">Roster!D42</f>
        <v>0</v>
      </c>
      <c r="M24" s="93">
        <f ca="1">Roster!E42</f>
        <v>0</v>
      </c>
      <c r="N24" s="381">
        <f t="shared" ca="1" si="3"/>
        <v>0</v>
      </c>
      <c r="O24" s="93">
        <f t="shared" ca="1" si="4"/>
        <v>0</v>
      </c>
      <c r="P24" s="93">
        <f t="shared" ca="1" si="5"/>
        <v>0</v>
      </c>
      <c r="R24" s="147"/>
      <c r="S24" s="147"/>
      <c r="U24" s="147" t="str">
        <f>Ships!B22</f>
        <v>Amalgam</v>
      </c>
      <c r="V24" s="147">
        <f>Ships!E22</f>
        <v>0</v>
      </c>
      <c r="X24" s="528"/>
      <c r="Y24" s="528"/>
      <c r="Z24" s="528"/>
      <c r="AA24" s="528"/>
      <c r="AB24" s="528"/>
      <c r="AD24" s="528" t="str">
        <f>'ATA Planning'!T14&amp;""</f>
        <v/>
      </c>
      <c r="AE24" s="528" t="str">
        <f>'ATA Planning'!T16&amp;""</f>
        <v/>
      </c>
      <c r="AF24" s="528" t="str">
        <f>'ATA Planning'!U16&amp;""</f>
        <v/>
      </c>
      <c r="AG24" s="528" t="str">
        <f>'ATA Planning'!V16&amp;""</f>
        <v/>
      </c>
      <c r="AH24" s="528" t="str">
        <f>'ATA Planning'!W16&amp;""</f>
        <v/>
      </c>
    </row>
    <row r="25" spans="2:34" x14ac:dyDescent="0.25">
      <c r="B25" s="65" t="s">
        <v>222</v>
      </c>
      <c r="C25" s="61" t="s">
        <v>71</v>
      </c>
      <c r="D25" s="62">
        <v>0</v>
      </c>
      <c r="E25" s="62">
        <v>0</v>
      </c>
      <c r="F25" s="375">
        <v>0</v>
      </c>
      <c r="G25" s="375">
        <v>0</v>
      </c>
      <c r="H25" s="375">
        <v>0</v>
      </c>
      <c r="J25" s="91" t="str">
        <f>Roster!B43</f>
        <v>E</v>
      </c>
      <c r="K25" s="92" t="str">
        <f>Roster!C43</f>
        <v>Carol</v>
      </c>
      <c r="L25" s="93">
        <f ca="1">Roster!D43</f>
        <v>0</v>
      </c>
      <c r="M25" s="93">
        <f ca="1">Roster!E43</f>
        <v>0</v>
      </c>
      <c r="N25" s="381">
        <f t="shared" ca="1" si="3"/>
        <v>0</v>
      </c>
      <c r="O25" s="93">
        <f t="shared" ca="1" si="4"/>
        <v>0</v>
      </c>
      <c r="P25" s="93">
        <f t="shared" ca="1" si="5"/>
        <v>0</v>
      </c>
      <c r="R25" s="147"/>
      <c r="S25" s="147"/>
      <c r="U25" s="147" t="str">
        <f>Ships!B23</f>
        <v>Augur</v>
      </c>
      <c r="V25" s="147">
        <f>Ships!E23</f>
        <v>0</v>
      </c>
      <c r="X25" s="528"/>
      <c r="Y25" s="528"/>
      <c r="Z25" s="528"/>
      <c r="AA25" s="528"/>
      <c r="AB25" s="528"/>
      <c r="AD25" s="528" t="str">
        <f>'ATA Planning'!X14&amp;""</f>
        <v/>
      </c>
      <c r="AE25" s="528" t="str">
        <f>'ATA Planning'!X16&amp;""</f>
        <v/>
      </c>
      <c r="AF25" s="528" t="str">
        <f>'ATA Planning'!Y16&amp;""</f>
        <v/>
      </c>
      <c r="AG25" s="528" t="str">
        <f>'ATA Planning'!Z16&amp;""</f>
        <v/>
      </c>
      <c r="AH25" s="528" t="str">
        <f>'ATA Planning'!AA16&amp;""</f>
        <v/>
      </c>
    </row>
    <row r="26" spans="2:34" x14ac:dyDescent="0.25">
      <c r="B26" s="65" t="s">
        <v>220</v>
      </c>
      <c r="C26" s="61" t="s">
        <v>45</v>
      </c>
      <c r="D26" s="62">
        <v>0</v>
      </c>
      <c r="E26" s="62">
        <v>0</v>
      </c>
      <c r="F26" s="375">
        <v>0</v>
      </c>
      <c r="G26" s="375">
        <v>0</v>
      </c>
      <c r="H26" s="375">
        <v>0</v>
      </c>
      <c r="J26" s="91" t="str">
        <f>Roster!B44</f>
        <v>R</v>
      </c>
      <c r="K26" s="92" t="str">
        <f>Roster!C44</f>
        <v>Cath</v>
      </c>
      <c r="L26" s="93">
        <f ca="1">Roster!D44</f>
        <v>0</v>
      </c>
      <c r="M26" s="93">
        <f ca="1">Roster!E44</f>
        <v>0</v>
      </c>
      <c r="N26" s="381">
        <f t="shared" ca="1" si="3"/>
        <v>0</v>
      </c>
      <c r="O26" s="93">
        <f t="shared" ca="1" si="4"/>
        <v>0</v>
      </c>
      <c r="P26" s="93">
        <f t="shared" ca="1" si="5"/>
        <v>0</v>
      </c>
      <c r="R26" s="147"/>
      <c r="S26" s="147"/>
      <c r="U26" s="147" t="str">
        <f>Ships!B24</f>
        <v>B'Chor</v>
      </c>
      <c r="V26" s="147">
        <f>Ships!E24</f>
        <v>0</v>
      </c>
      <c r="X26" s="528"/>
      <c r="Y26" s="528"/>
      <c r="Z26" s="528"/>
      <c r="AA26" s="528"/>
      <c r="AB26" s="528"/>
      <c r="AD26" s="528" t="str">
        <f>'ATA Planning'!P17&amp;""</f>
        <v/>
      </c>
      <c r="AE26" s="528" t="str">
        <f>'ATA Planning'!P19&amp;""</f>
        <v/>
      </c>
      <c r="AF26" s="528" t="str">
        <f>'ATA Planning'!Q19&amp;""</f>
        <v/>
      </c>
      <c r="AG26" s="528" t="str">
        <f>'ATA Planning'!R19&amp;""</f>
        <v/>
      </c>
      <c r="AH26" s="528" t="str">
        <f>'ATA Planning'!S19&amp;""</f>
        <v/>
      </c>
    </row>
    <row r="27" spans="2:34" x14ac:dyDescent="0.25">
      <c r="B27" s="65" t="s">
        <v>222</v>
      </c>
      <c r="C27" s="61" t="s">
        <v>80</v>
      </c>
      <c r="D27" s="62">
        <v>0</v>
      </c>
      <c r="E27" s="62">
        <v>0</v>
      </c>
      <c r="F27" s="375">
        <v>0</v>
      </c>
      <c r="G27" s="375">
        <v>0</v>
      </c>
      <c r="H27" s="375">
        <v>0</v>
      </c>
      <c r="J27" s="91" t="str">
        <f>Roster!B45</f>
        <v>R</v>
      </c>
      <c r="K27" s="92" t="str">
        <f>Roster!C45</f>
        <v>Chang</v>
      </c>
      <c r="L27" s="93">
        <f ca="1">Roster!D45</f>
        <v>0</v>
      </c>
      <c r="M27" s="93">
        <f ca="1">Roster!E45</f>
        <v>0</v>
      </c>
      <c r="N27" s="381">
        <f t="shared" ca="1" si="3"/>
        <v>0</v>
      </c>
      <c r="O27" s="93">
        <f t="shared" ca="1" si="4"/>
        <v>0</v>
      </c>
      <c r="P27" s="93">
        <f t="shared" ca="1" si="5"/>
        <v>0</v>
      </c>
      <c r="R27" s="147"/>
      <c r="S27" s="147"/>
      <c r="U27" s="147" t="str">
        <f>Ships!B25</f>
        <v>Bortas</v>
      </c>
      <c r="V27" s="147">
        <f>Ships!E25</f>
        <v>0</v>
      </c>
      <c r="X27" s="528"/>
      <c r="Y27" s="528"/>
      <c r="Z27" s="528"/>
      <c r="AA27" s="528"/>
      <c r="AB27" s="528"/>
      <c r="AD27" s="528" t="str">
        <f>'ATA Planning'!T17&amp;""</f>
        <v/>
      </c>
      <c r="AE27" s="528" t="str">
        <f>'ATA Planning'!T19&amp;""</f>
        <v/>
      </c>
      <c r="AF27" s="528" t="str">
        <f>'ATA Planning'!U19&amp;""</f>
        <v/>
      </c>
      <c r="AG27" s="528" t="str">
        <f>'ATA Planning'!V19&amp;""</f>
        <v/>
      </c>
      <c r="AH27" s="528" t="str">
        <f>'ATA Planning'!W19&amp;""</f>
        <v/>
      </c>
    </row>
    <row r="28" spans="2:34" x14ac:dyDescent="0.25">
      <c r="B28" s="65" t="s">
        <v>218</v>
      </c>
      <c r="C28" s="61" t="s">
        <v>20</v>
      </c>
      <c r="D28" s="62">
        <v>0</v>
      </c>
      <c r="E28" s="62">
        <v>0</v>
      </c>
      <c r="F28" s="375">
        <v>0</v>
      </c>
      <c r="G28" s="375">
        <v>0</v>
      </c>
      <c r="H28" s="375">
        <v>0</v>
      </c>
      <c r="J28" s="91" t="str">
        <f>Roster!B46</f>
        <v>E</v>
      </c>
      <c r="K28" s="92" t="str">
        <f>Roster!C46</f>
        <v>Charvanek</v>
      </c>
      <c r="L28" s="93">
        <f ca="1">Roster!D46</f>
        <v>0</v>
      </c>
      <c r="M28" s="93">
        <f ca="1">Roster!E46</f>
        <v>0</v>
      </c>
      <c r="N28" s="381">
        <f t="shared" ca="1" si="3"/>
        <v>0</v>
      </c>
      <c r="O28" s="93">
        <f t="shared" ca="1" si="4"/>
        <v>0</v>
      </c>
      <c r="P28" s="93">
        <f t="shared" ca="1" si="5"/>
        <v>0</v>
      </c>
      <c r="R28" s="147"/>
      <c r="S28" s="147"/>
      <c r="U28" s="147" t="str">
        <f>Ships!B26</f>
        <v>Botany Bay</v>
      </c>
      <c r="V28" s="147">
        <f>Ships!E26</f>
        <v>0</v>
      </c>
      <c r="X28" s="528"/>
      <c r="Y28" s="528"/>
      <c r="Z28" s="528"/>
      <c r="AA28" s="528"/>
      <c r="AB28" s="528"/>
      <c r="AD28" s="528" t="str">
        <f>'ATA Planning'!X17&amp;""</f>
        <v/>
      </c>
      <c r="AE28" s="528" t="str">
        <f>'ATA Planning'!X19&amp;""</f>
        <v/>
      </c>
      <c r="AF28" s="528" t="str">
        <f>'ATA Planning'!Y19&amp;""</f>
        <v/>
      </c>
      <c r="AG28" s="528" t="str">
        <f>'ATA Planning'!Z19&amp;""</f>
        <v/>
      </c>
      <c r="AH28" s="528" t="str">
        <f>'ATA Planning'!AA19&amp;""</f>
        <v/>
      </c>
    </row>
    <row r="29" spans="2:34" x14ac:dyDescent="0.25">
      <c r="B29" s="65" t="s">
        <v>218</v>
      </c>
      <c r="C29" s="61" t="s">
        <v>85</v>
      </c>
      <c r="D29" s="62">
        <v>0</v>
      </c>
      <c r="E29" s="62">
        <v>0</v>
      </c>
      <c r="F29" s="375">
        <v>0</v>
      </c>
      <c r="G29" s="375">
        <v>0</v>
      </c>
      <c r="H29" s="375">
        <v>0</v>
      </c>
      <c r="J29" s="91" t="str">
        <f>Roster!B47</f>
        <v>U</v>
      </c>
      <c r="K29" s="92" t="str">
        <f>Roster!C47</f>
        <v>Chen</v>
      </c>
      <c r="L29" s="93">
        <f ca="1">Roster!D47</f>
        <v>0</v>
      </c>
      <c r="M29" s="93">
        <f ca="1">Roster!E47</f>
        <v>0</v>
      </c>
      <c r="N29" s="381">
        <f t="shared" ca="1" si="3"/>
        <v>0</v>
      </c>
      <c r="O29" s="93">
        <f t="shared" ca="1" si="4"/>
        <v>0</v>
      </c>
      <c r="P29" s="93">
        <f t="shared" ca="1" si="5"/>
        <v>0</v>
      </c>
      <c r="R29" s="147"/>
      <c r="S29" s="147"/>
      <c r="U29" s="147" t="str">
        <f>Ships!B27</f>
        <v>B'rel</v>
      </c>
      <c r="V29" s="147">
        <f>Ships!E27</f>
        <v>0</v>
      </c>
      <c r="X29" s="528"/>
      <c r="Y29" s="528"/>
      <c r="Z29" s="528"/>
      <c r="AA29" s="528"/>
      <c r="AB29" s="528"/>
      <c r="AD29" s="528" t="str">
        <f>'ATA Planning'!P20&amp;""</f>
        <v/>
      </c>
      <c r="AE29" s="528" t="str">
        <f>'ATA Planning'!P22&amp;""</f>
        <v/>
      </c>
      <c r="AF29" s="528" t="str">
        <f>'ATA Planning'!Q22&amp;""</f>
        <v/>
      </c>
      <c r="AG29" s="528" t="str">
        <f>'ATA Planning'!R22&amp;""</f>
        <v/>
      </c>
      <c r="AH29" s="528" t="str">
        <f>'ATA Planning'!S22&amp;""</f>
        <v/>
      </c>
    </row>
    <row r="30" spans="2:34" x14ac:dyDescent="0.25">
      <c r="B30" s="65" t="s">
        <v>223</v>
      </c>
      <c r="C30" s="61" t="s">
        <v>91</v>
      </c>
      <c r="D30" s="62">
        <v>0</v>
      </c>
      <c r="E30" s="62">
        <v>0</v>
      </c>
      <c r="F30" s="375">
        <v>0</v>
      </c>
      <c r="G30" s="375">
        <v>0</v>
      </c>
      <c r="H30" s="375">
        <v>0</v>
      </c>
      <c r="J30" s="91" t="str">
        <f>Roster!B48</f>
        <v>U</v>
      </c>
      <c r="K30" s="92" t="str">
        <f>Roster!C48</f>
        <v>Culber</v>
      </c>
      <c r="L30" s="93">
        <f ca="1">Roster!D48</f>
        <v>0</v>
      </c>
      <c r="M30" s="93">
        <f ca="1">Roster!E48</f>
        <v>0</v>
      </c>
      <c r="N30" s="381">
        <f t="shared" ca="1" si="3"/>
        <v>0</v>
      </c>
      <c r="O30" s="93">
        <f t="shared" ca="1" si="4"/>
        <v>0</v>
      </c>
      <c r="P30" s="93">
        <f t="shared" ca="1" si="5"/>
        <v>0</v>
      </c>
      <c r="R30" s="147"/>
      <c r="S30" s="147"/>
      <c r="U30" s="147" t="str">
        <f>Ships!B28</f>
        <v>Centurion</v>
      </c>
      <c r="V30" s="147">
        <f>Ships!E28</f>
        <v>0</v>
      </c>
      <c r="X30" s="528"/>
      <c r="Y30" s="528"/>
      <c r="Z30" s="528"/>
      <c r="AA30" s="528"/>
      <c r="AB30" s="528"/>
      <c r="AD30" s="528" t="str">
        <f>'ATA Planning'!T20&amp;""</f>
        <v/>
      </c>
      <c r="AE30" s="528" t="str">
        <f>'ATA Planning'!T22&amp;""</f>
        <v/>
      </c>
      <c r="AF30" s="528" t="str">
        <f>'ATA Planning'!U22&amp;""</f>
        <v/>
      </c>
      <c r="AG30" s="528" t="str">
        <f>'ATA Planning'!V22&amp;""</f>
        <v/>
      </c>
      <c r="AH30" s="528" t="str">
        <f>'ATA Planning'!W22&amp;""</f>
        <v/>
      </c>
    </row>
    <row r="31" spans="2:34" x14ac:dyDescent="0.25">
      <c r="B31" s="65" t="s">
        <v>220</v>
      </c>
      <c r="C31" s="61" t="s">
        <v>48</v>
      </c>
      <c r="D31" s="62">
        <v>0</v>
      </c>
      <c r="E31" s="62">
        <v>0</v>
      </c>
      <c r="F31" s="375">
        <v>0</v>
      </c>
      <c r="G31" s="375">
        <v>0</v>
      </c>
      <c r="H31" s="375">
        <v>0</v>
      </c>
      <c r="J31" s="91" t="str">
        <f>Roster!B49</f>
        <v>C</v>
      </c>
      <c r="K31" s="92" t="str">
        <f>Roster!C49</f>
        <v>Darwin</v>
      </c>
      <c r="L31" s="93">
        <f ca="1">Roster!D49</f>
        <v>0</v>
      </c>
      <c r="M31" s="93">
        <f ca="1">Roster!E49</f>
        <v>0</v>
      </c>
      <c r="N31" s="381">
        <f t="shared" ca="1" si="3"/>
        <v>0</v>
      </c>
      <c r="O31" s="93">
        <f t="shared" ca="1" si="4"/>
        <v>0</v>
      </c>
      <c r="P31" s="93">
        <f t="shared" ca="1" si="5"/>
        <v>0</v>
      </c>
      <c r="R31" s="147"/>
      <c r="S31" s="147"/>
      <c r="U31" s="147" t="str">
        <f>Ships!B29</f>
        <v>Corvus</v>
      </c>
      <c r="V31" s="147">
        <f>Ships!E29</f>
        <v>0</v>
      </c>
      <c r="X31" s="528"/>
      <c r="Y31" s="528"/>
      <c r="Z31" s="528"/>
      <c r="AA31" s="528"/>
      <c r="AB31" s="528"/>
      <c r="AD31" s="528" t="str">
        <f>'ATA Planning'!X20&amp;""</f>
        <v/>
      </c>
      <c r="AE31" s="528" t="str">
        <f>'ATA Planning'!X22&amp;""</f>
        <v/>
      </c>
      <c r="AF31" s="528" t="str">
        <f>'ATA Planning'!Y22&amp;""</f>
        <v/>
      </c>
      <c r="AG31" s="528" t="str">
        <f>'ATA Planning'!Z22&amp;""</f>
        <v/>
      </c>
      <c r="AH31" s="528" t="str">
        <f>'ATA Planning'!AA22&amp;""</f>
        <v/>
      </c>
    </row>
    <row r="32" spans="2:34" x14ac:dyDescent="0.25">
      <c r="B32" s="65" t="s">
        <v>218</v>
      </c>
      <c r="C32" s="61" t="s">
        <v>34</v>
      </c>
      <c r="D32" s="62">
        <v>0</v>
      </c>
      <c r="E32" s="62">
        <v>0</v>
      </c>
      <c r="F32" s="375">
        <v>0</v>
      </c>
      <c r="G32" s="375">
        <v>0</v>
      </c>
      <c r="H32" s="375">
        <v>0</v>
      </c>
      <c r="J32" s="91" t="str">
        <f>Roster!B50</f>
        <v>E</v>
      </c>
      <c r="K32" s="92" t="str">
        <f>Roster!C50</f>
        <v>Data</v>
      </c>
      <c r="L32" s="93">
        <f ca="1">Roster!D50</f>
        <v>0</v>
      </c>
      <c r="M32" s="93">
        <f ca="1">Roster!E50</f>
        <v>0</v>
      </c>
      <c r="N32" s="381">
        <f t="shared" ca="1" si="3"/>
        <v>0</v>
      </c>
      <c r="O32" s="93">
        <f t="shared" ca="1" si="4"/>
        <v>0</v>
      </c>
      <c r="P32" s="93">
        <f t="shared" ca="1" si="5"/>
        <v>0</v>
      </c>
      <c r="R32" s="147"/>
      <c r="S32" s="147"/>
      <c r="U32" s="147" t="str">
        <f>Ships!B30</f>
        <v>D3 Class</v>
      </c>
      <c r="V32" s="147">
        <f>Ships!E30</f>
        <v>0</v>
      </c>
      <c r="X32" s="528"/>
      <c r="Y32" s="528"/>
      <c r="Z32" s="528"/>
      <c r="AA32" s="528"/>
      <c r="AB32" s="528"/>
      <c r="AD32" s="528" t="str">
        <f>'ATA Planning'!P23&amp;""</f>
        <v/>
      </c>
      <c r="AE32" s="528" t="str">
        <f>'ATA Planning'!P25&amp;""</f>
        <v/>
      </c>
      <c r="AF32" s="528" t="str">
        <f>'ATA Planning'!Q25&amp;""</f>
        <v/>
      </c>
      <c r="AG32" s="528" t="str">
        <f>'ATA Planning'!R25&amp;""</f>
        <v/>
      </c>
      <c r="AH32" s="528" t="str">
        <f>'ATA Planning'!S25&amp;""</f>
        <v/>
      </c>
    </row>
    <row r="33" spans="2:34" x14ac:dyDescent="0.25">
      <c r="B33" s="65" t="s">
        <v>223</v>
      </c>
      <c r="C33" s="61" t="s">
        <v>19</v>
      </c>
      <c r="D33" s="62">
        <v>0</v>
      </c>
      <c r="E33" s="62">
        <v>0</v>
      </c>
      <c r="F33" s="375">
        <v>0</v>
      </c>
      <c r="G33" s="375">
        <v>0</v>
      </c>
      <c r="H33" s="375">
        <v>0</v>
      </c>
      <c r="J33" s="91" t="str">
        <f>Roster!B51</f>
        <v>E</v>
      </c>
      <c r="K33" s="92" t="str">
        <f>Roster!C51</f>
        <v>Deanna Troi</v>
      </c>
      <c r="L33" s="93">
        <f ca="1">Roster!D51</f>
        <v>0</v>
      </c>
      <c r="M33" s="93">
        <f ca="1">Roster!E51</f>
        <v>0</v>
      </c>
      <c r="N33" s="381">
        <f t="shared" ca="1" si="3"/>
        <v>0</v>
      </c>
      <c r="O33" s="93">
        <f t="shared" ca="1" si="4"/>
        <v>0</v>
      </c>
      <c r="P33" s="93">
        <f t="shared" ca="1" si="5"/>
        <v>0</v>
      </c>
      <c r="R33" s="147"/>
      <c r="S33" s="147"/>
      <c r="U33" s="147" t="str">
        <f>Ships!B31</f>
        <v>D4 Class</v>
      </c>
      <c r="V33" s="147">
        <f>Ships!E31</f>
        <v>0</v>
      </c>
      <c r="X33" s="528"/>
      <c r="Y33" s="528"/>
      <c r="Z33" s="528"/>
      <c r="AA33" s="528"/>
      <c r="AB33" s="528"/>
      <c r="AD33" s="528" t="str">
        <f>'ATA Planning'!T23&amp;""</f>
        <v/>
      </c>
      <c r="AE33" s="528" t="str">
        <f>'ATA Planning'!T25&amp;""</f>
        <v/>
      </c>
      <c r="AF33" s="528" t="str">
        <f>'ATA Planning'!U25&amp;""</f>
        <v/>
      </c>
      <c r="AG33" s="528" t="str">
        <f>'ATA Planning'!V25&amp;""</f>
        <v/>
      </c>
      <c r="AH33" s="528" t="str">
        <f>'ATA Planning'!W25&amp;""</f>
        <v/>
      </c>
    </row>
    <row r="34" spans="2:34" x14ac:dyDescent="0.25">
      <c r="B34" s="90" t="s">
        <v>220</v>
      </c>
      <c r="C34" s="62" t="s">
        <v>254</v>
      </c>
      <c r="D34" s="62">
        <v>0</v>
      </c>
      <c r="E34" s="62">
        <v>0</v>
      </c>
      <c r="F34" s="375">
        <v>0</v>
      </c>
      <c r="G34" s="375">
        <v>0</v>
      </c>
      <c r="H34" s="375">
        <v>0</v>
      </c>
      <c r="J34" s="91" t="str">
        <f>Roster!B52</f>
        <v>R</v>
      </c>
      <c r="K34" s="92" t="str">
        <f>Roster!C52</f>
        <v>Decius</v>
      </c>
      <c r="L34" s="93">
        <f ca="1">Roster!D52</f>
        <v>0</v>
      </c>
      <c r="M34" s="93">
        <f ca="1">Roster!E52</f>
        <v>0</v>
      </c>
      <c r="N34" s="381">
        <f t="shared" ca="1" si="3"/>
        <v>0</v>
      </c>
      <c r="O34" s="93">
        <f t="shared" ca="1" si="4"/>
        <v>0</v>
      </c>
      <c r="P34" s="93">
        <f t="shared" ca="1" si="5"/>
        <v>0</v>
      </c>
      <c r="R34" s="147"/>
      <c r="S34" s="147"/>
      <c r="U34" s="147" t="str">
        <f>Ships!B32</f>
        <v>D'Deridex</v>
      </c>
      <c r="V34" s="147">
        <f>Ships!E32</f>
        <v>0</v>
      </c>
      <c r="X34" s="528"/>
      <c r="Y34" s="528"/>
      <c r="Z34" s="528"/>
      <c r="AA34" s="528"/>
      <c r="AB34" s="528"/>
      <c r="AD34" s="528" t="str">
        <f>'ATA Planning'!X23&amp;""</f>
        <v/>
      </c>
      <c r="AE34" s="528" t="str">
        <f>'ATA Planning'!X25&amp;""</f>
        <v/>
      </c>
      <c r="AF34" s="528" t="str">
        <f>'ATA Planning'!Y25&amp;""</f>
        <v/>
      </c>
      <c r="AG34" s="528" t="str">
        <f>'ATA Planning'!Z25&amp;""</f>
        <v/>
      </c>
      <c r="AH34" s="528" t="str">
        <f>'ATA Planning'!AA25&amp;""</f>
        <v/>
      </c>
    </row>
    <row r="35" spans="2:34" x14ac:dyDescent="0.25">
      <c r="B35" s="65" t="s">
        <v>220</v>
      </c>
      <c r="C35" s="61" t="s">
        <v>96</v>
      </c>
      <c r="D35" s="62">
        <v>0</v>
      </c>
      <c r="E35" s="62">
        <v>0</v>
      </c>
      <c r="F35" s="375">
        <v>0</v>
      </c>
      <c r="G35" s="375">
        <v>0</v>
      </c>
      <c r="H35" s="375">
        <v>0</v>
      </c>
      <c r="J35" s="91" t="str">
        <f>Roster!B53</f>
        <v>U</v>
      </c>
      <c r="K35" s="92" t="str">
        <f>Roster!C53</f>
        <v>D'Jaoki</v>
      </c>
      <c r="L35" s="93">
        <f ca="1">Roster!D53</f>
        <v>0</v>
      </c>
      <c r="M35" s="93">
        <f ca="1">Roster!E53</f>
        <v>0</v>
      </c>
      <c r="N35" s="381">
        <f t="shared" ca="1" si="3"/>
        <v>0</v>
      </c>
      <c r="O35" s="93">
        <f t="shared" ca="1" si="4"/>
        <v>0</v>
      </c>
      <c r="P35" s="93">
        <f t="shared" ca="1" si="5"/>
        <v>0</v>
      </c>
      <c r="R35" s="147"/>
      <c r="S35" s="147"/>
      <c r="U35" s="147" t="str">
        <f>Ships!B33</f>
        <v>D'Vor Feesha</v>
      </c>
      <c r="V35" s="147">
        <f>Ships!E33</f>
        <v>0</v>
      </c>
      <c r="X35" s="528"/>
      <c r="Y35" s="528"/>
      <c r="Z35" s="528"/>
      <c r="AA35" s="528"/>
      <c r="AB35" s="528"/>
      <c r="AD35" s="528" t="str">
        <f>'ATA Planning'!P26&amp;""</f>
        <v/>
      </c>
      <c r="AE35" s="528" t="str">
        <f>'ATA Planning'!P28&amp;""</f>
        <v/>
      </c>
      <c r="AF35" s="528" t="str">
        <f>'ATA Planning'!Q28&amp;""</f>
        <v/>
      </c>
      <c r="AG35" s="528" t="str">
        <f>'ATA Planning'!R28&amp;""</f>
        <v/>
      </c>
      <c r="AH35" s="528" t="str">
        <f>'ATA Planning'!S28&amp;""</f>
        <v/>
      </c>
    </row>
    <row r="36" spans="2:34" x14ac:dyDescent="0.25">
      <c r="B36" s="65" t="s">
        <v>222</v>
      </c>
      <c r="C36" s="61" t="s">
        <v>107</v>
      </c>
      <c r="D36" s="62">
        <v>0</v>
      </c>
      <c r="E36" s="62">
        <v>0</v>
      </c>
      <c r="F36" s="375">
        <v>0</v>
      </c>
      <c r="G36" s="375">
        <v>0</v>
      </c>
      <c r="H36" s="375">
        <v>0</v>
      </c>
      <c r="J36" s="91" t="str">
        <f>Roster!B54</f>
        <v>C</v>
      </c>
      <c r="K36" s="92" t="str">
        <f>Roster!C54</f>
        <v>Domitia</v>
      </c>
      <c r="L36" s="93">
        <f ca="1">Roster!D54</f>
        <v>0</v>
      </c>
      <c r="M36" s="93">
        <f ca="1">Roster!E54</f>
        <v>0</v>
      </c>
      <c r="N36" s="381">
        <f t="shared" ca="1" si="3"/>
        <v>0</v>
      </c>
      <c r="O36" s="93">
        <f t="shared" ca="1" si="4"/>
        <v>0</v>
      </c>
      <c r="P36" s="93">
        <f t="shared" ca="1" si="5"/>
        <v>0</v>
      </c>
      <c r="R36" s="147"/>
      <c r="S36" s="147"/>
      <c r="U36" s="147" t="str">
        <f>Ships!B34</f>
        <v>ECS Fortunate</v>
      </c>
      <c r="V36" s="147">
        <f>Ships!E34</f>
        <v>0</v>
      </c>
      <c r="X36" s="528"/>
      <c r="Y36" s="528"/>
      <c r="Z36" s="528"/>
      <c r="AA36" s="528"/>
      <c r="AB36" s="528"/>
      <c r="AD36" s="528" t="str">
        <f>'ATA Planning'!T26&amp;""</f>
        <v/>
      </c>
      <c r="AE36" s="528" t="str">
        <f>'ATA Planning'!T28&amp;""</f>
        <v/>
      </c>
      <c r="AF36" s="528" t="str">
        <f>'ATA Planning'!U28&amp;""</f>
        <v/>
      </c>
      <c r="AG36" s="528" t="str">
        <f>'ATA Planning'!V28&amp;""</f>
        <v/>
      </c>
      <c r="AH36" s="528" t="str">
        <f>'ATA Planning'!W28&amp;""</f>
        <v/>
      </c>
    </row>
    <row r="37" spans="2:34" x14ac:dyDescent="0.25">
      <c r="B37" s="65" t="s">
        <v>223</v>
      </c>
      <c r="C37" s="61" t="s">
        <v>5</v>
      </c>
      <c r="D37" s="62">
        <v>0</v>
      </c>
      <c r="E37" s="62">
        <v>0</v>
      </c>
      <c r="F37" s="375">
        <v>0</v>
      </c>
      <c r="G37" s="375">
        <v>0</v>
      </c>
      <c r="H37" s="375">
        <v>0</v>
      </c>
      <c r="J37" s="91" t="str">
        <f>Roster!B55</f>
        <v>R</v>
      </c>
      <c r="K37" s="92" t="str">
        <f>Roster!C55</f>
        <v>Dupont</v>
      </c>
      <c r="L37" s="93">
        <f ca="1">Roster!D55</f>
        <v>0</v>
      </c>
      <c r="M37" s="93">
        <f ca="1">Roster!E55</f>
        <v>0</v>
      </c>
      <c r="N37" s="381">
        <f t="shared" ca="1" si="3"/>
        <v>0</v>
      </c>
      <c r="O37" s="93">
        <f t="shared" ca="1" si="4"/>
        <v>0</v>
      </c>
      <c r="P37" s="93">
        <f t="shared" ca="1" si="5"/>
        <v>0</v>
      </c>
      <c r="R37" s="147"/>
      <c r="S37" s="147"/>
      <c r="U37" s="147" t="str">
        <f>Ships!B35</f>
        <v>ECS Horizon</v>
      </c>
      <c r="V37" s="147">
        <f>Ships!E35</f>
        <v>0</v>
      </c>
      <c r="X37" s="528"/>
      <c r="Y37" s="528"/>
      <c r="Z37" s="528"/>
      <c r="AA37" s="528"/>
      <c r="AB37" s="528"/>
      <c r="AD37" s="528" t="str">
        <f>'ATA Planning'!X26&amp;""</f>
        <v/>
      </c>
      <c r="AE37" s="528" t="str">
        <f>'ATA Planning'!X28&amp;""</f>
        <v/>
      </c>
      <c r="AF37" s="528" t="str">
        <f>'ATA Planning'!Y28&amp;""</f>
        <v/>
      </c>
      <c r="AG37" s="528" t="str">
        <f>'ATA Planning'!Z28&amp;""</f>
        <v/>
      </c>
      <c r="AH37" s="528" t="str">
        <f>'ATA Planning'!AA28&amp;""</f>
        <v/>
      </c>
    </row>
    <row r="38" spans="2:34" x14ac:dyDescent="0.25">
      <c r="B38" s="65" t="s">
        <v>222</v>
      </c>
      <c r="C38" s="61" t="s">
        <v>108</v>
      </c>
      <c r="D38" s="62">
        <v>0</v>
      </c>
      <c r="E38" s="62">
        <v>0</v>
      </c>
      <c r="F38" s="375">
        <v>0</v>
      </c>
      <c r="G38" s="375">
        <v>0</v>
      </c>
      <c r="H38" s="375">
        <v>0</v>
      </c>
      <c r="J38" s="91" t="str">
        <f>Roster!B56</f>
        <v>U</v>
      </c>
      <c r="K38" s="92" t="str">
        <f>Roster!C56</f>
        <v>Eight Of Eleven</v>
      </c>
      <c r="L38" s="93">
        <f ca="1">Roster!D56</f>
        <v>0</v>
      </c>
      <c r="M38" s="93">
        <f ca="1">Roster!E56</f>
        <v>0</v>
      </c>
      <c r="N38" s="381">
        <f t="shared" ca="1" si="3"/>
        <v>0</v>
      </c>
      <c r="O38" s="93">
        <f t="shared" ca="1" si="4"/>
        <v>0</v>
      </c>
      <c r="P38" s="93">
        <f t="shared" ca="1" si="5"/>
        <v>0</v>
      </c>
      <c r="R38" s="147"/>
      <c r="S38" s="147"/>
      <c r="U38" s="147" t="str">
        <f>Ships!B36</f>
        <v>Envoy</v>
      </c>
      <c r="V38" s="147">
        <f>Ships!E36</f>
        <v>0</v>
      </c>
      <c r="X38" s="528"/>
      <c r="Y38" s="528"/>
      <c r="Z38" s="528"/>
      <c r="AA38" s="528"/>
      <c r="AB38" s="528"/>
      <c r="AD38" s="528" t="str">
        <f>'ATA Planning'!P29&amp;""</f>
        <v/>
      </c>
      <c r="AE38" s="528" t="str">
        <f>'ATA Planning'!P31&amp;""</f>
        <v/>
      </c>
      <c r="AF38" s="528" t="str">
        <f>'ATA Planning'!Q31&amp;""</f>
        <v/>
      </c>
      <c r="AG38" s="528" t="str">
        <f>'ATA Planning'!R31&amp;""</f>
        <v/>
      </c>
      <c r="AH38" s="528" t="str">
        <f>'ATA Planning'!S31&amp;""</f>
        <v/>
      </c>
    </row>
    <row r="39" spans="2:34" x14ac:dyDescent="0.25">
      <c r="B39" s="65" t="s">
        <v>218</v>
      </c>
      <c r="C39" s="61" t="s">
        <v>28</v>
      </c>
      <c r="D39" s="62">
        <v>0</v>
      </c>
      <c r="E39" s="62">
        <v>0</v>
      </c>
      <c r="F39" s="375">
        <v>0</v>
      </c>
      <c r="G39" s="375">
        <v>0</v>
      </c>
      <c r="H39" s="375">
        <v>0</v>
      </c>
      <c r="J39" s="91" t="str">
        <f>Roster!B57</f>
        <v>E</v>
      </c>
      <c r="K39" s="92" t="str">
        <f>Roster!C57</f>
        <v>Eleven Of Eleven</v>
      </c>
      <c r="L39" s="93">
        <f ca="1">Roster!D57</f>
        <v>0</v>
      </c>
      <c r="M39" s="93">
        <f ca="1">Roster!E57</f>
        <v>0</v>
      </c>
      <c r="N39" s="381">
        <f t="shared" ca="1" si="3"/>
        <v>0</v>
      </c>
      <c r="O39" s="93">
        <f t="shared" ca="1" si="4"/>
        <v>0</v>
      </c>
      <c r="P39" s="93">
        <f t="shared" ca="1" si="5"/>
        <v>0</v>
      </c>
      <c r="R39" s="147"/>
      <c r="S39" s="147"/>
      <c r="U39" s="147" t="str">
        <f>Ships!B37</f>
        <v>Ferengi D'Vor</v>
      </c>
      <c r="V39" s="147">
        <f>Ships!E37</f>
        <v>0</v>
      </c>
      <c r="X39" s="528"/>
      <c r="Y39" s="528"/>
      <c r="Z39" s="528"/>
      <c r="AA39" s="528"/>
      <c r="AB39" s="528"/>
      <c r="AD39" s="528" t="str">
        <f>'ATA Planning'!T29&amp;""</f>
        <v/>
      </c>
      <c r="AE39" s="528" t="str">
        <f>'ATA Planning'!T31&amp;""</f>
        <v/>
      </c>
      <c r="AF39" s="528" t="str">
        <f>'ATA Planning'!U31&amp;""</f>
        <v/>
      </c>
      <c r="AG39" s="528" t="str">
        <f>'ATA Planning'!V31&amp;""</f>
        <v/>
      </c>
      <c r="AH39" s="528" t="str">
        <f>'ATA Planning'!W31&amp;""</f>
        <v/>
      </c>
    </row>
    <row r="40" spans="2:34" x14ac:dyDescent="0.25">
      <c r="B40" s="65" t="s">
        <v>218</v>
      </c>
      <c r="C40" s="61" t="s">
        <v>95</v>
      </c>
      <c r="D40" s="62">
        <v>0</v>
      </c>
      <c r="E40" s="62">
        <v>0</v>
      </c>
      <c r="F40" s="375">
        <v>0</v>
      </c>
      <c r="G40" s="375">
        <v>0</v>
      </c>
      <c r="H40" s="375">
        <v>0</v>
      </c>
      <c r="J40" s="91" t="str">
        <f>Roster!B58</f>
        <v>R</v>
      </c>
      <c r="K40" s="92" t="str">
        <f>Roster!C58</f>
        <v>Emperor Georgiou</v>
      </c>
      <c r="L40" s="93">
        <f ca="1">Roster!D58</f>
        <v>0</v>
      </c>
      <c r="M40" s="93">
        <f ca="1">Roster!E58</f>
        <v>0</v>
      </c>
      <c r="N40" s="381">
        <f t="shared" ca="1" si="3"/>
        <v>0</v>
      </c>
      <c r="O40" s="93">
        <f t="shared" ca="1" si="4"/>
        <v>0</v>
      </c>
      <c r="P40" s="93">
        <f t="shared" ca="1" si="5"/>
        <v>0</v>
      </c>
      <c r="R40" s="147"/>
      <c r="S40" s="147"/>
      <c r="U40" s="147" t="str">
        <f>Ships!B38</f>
        <v>Gladius</v>
      </c>
      <c r="V40" s="147">
        <f>Ships!E38</f>
        <v>0</v>
      </c>
      <c r="X40" s="528"/>
      <c r="Y40" s="528"/>
      <c r="Z40" s="528"/>
      <c r="AA40" s="528"/>
      <c r="AB40" s="528"/>
      <c r="AD40" s="528" t="str">
        <f>'ATA Planning'!X29&amp;""</f>
        <v/>
      </c>
      <c r="AE40" s="528" t="str">
        <f>'ATA Planning'!X31&amp;""</f>
        <v/>
      </c>
      <c r="AF40" s="528" t="str">
        <f>'ATA Planning'!Y31&amp;""</f>
        <v/>
      </c>
      <c r="AG40" s="528" t="str">
        <f>'ATA Planning'!Z31&amp;""</f>
        <v/>
      </c>
      <c r="AH40" s="528" t="str">
        <f>'ATA Planning'!AA31&amp;""</f>
        <v/>
      </c>
    </row>
    <row r="41" spans="2:34" x14ac:dyDescent="0.25">
      <c r="B41" s="65" t="s">
        <v>222</v>
      </c>
      <c r="C41" s="61" t="s">
        <v>67</v>
      </c>
      <c r="D41" s="62">
        <v>0</v>
      </c>
      <c r="E41" s="62">
        <v>0</v>
      </c>
      <c r="F41" s="375">
        <v>0</v>
      </c>
      <c r="G41" s="375">
        <v>0</v>
      </c>
      <c r="H41" s="375">
        <v>0</v>
      </c>
      <c r="J41" s="91" t="str">
        <f>Roster!B59</f>
        <v>E</v>
      </c>
      <c r="K41" s="92" t="str">
        <f>Roster!C59</f>
        <v>Eurydice</v>
      </c>
      <c r="L41" s="93">
        <f ca="1">Roster!D59</f>
        <v>0</v>
      </c>
      <c r="M41" s="93">
        <f ca="1">Roster!E59</f>
        <v>0</v>
      </c>
      <c r="N41" s="381">
        <f t="shared" ca="1" si="3"/>
        <v>0</v>
      </c>
      <c r="O41" s="93">
        <f t="shared" ca="1" si="4"/>
        <v>0</v>
      </c>
      <c r="P41" s="93">
        <f t="shared" ca="1" si="5"/>
        <v>0</v>
      </c>
      <c r="R41" s="147"/>
      <c r="S41" s="147"/>
      <c r="U41" s="147" t="str">
        <f>Ships!B39</f>
        <v>Hegh'ta</v>
      </c>
      <c r="V41" s="147">
        <f>Ships!E39</f>
        <v>0</v>
      </c>
      <c r="X41" s="528"/>
      <c r="Y41" s="528"/>
      <c r="Z41" s="528"/>
      <c r="AA41" s="528"/>
      <c r="AB41" s="528"/>
      <c r="AD41" s="528" t="str">
        <f>'ATA Planning'!P32&amp;""</f>
        <v/>
      </c>
      <c r="AE41" s="528" t="str">
        <f>'ATA Planning'!P34&amp;""</f>
        <v/>
      </c>
      <c r="AF41" s="528" t="str">
        <f>'ATA Planning'!Q34&amp;""</f>
        <v/>
      </c>
      <c r="AG41" s="528" t="str">
        <f>'ATA Planning'!R34&amp;""</f>
        <v/>
      </c>
      <c r="AH41" s="528" t="str">
        <f>'ATA Planning'!S34&amp;""</f>
        <v/>
      </c>
    </row>
    <row r="42" spans="2:34" x14ac:dyDescent="0.25">
      <c r="B42" s="65" t="s">
        <v>223</v>
      </c>
      <c r="C42" s="61" t="s">
        <v>73</v>
      </c>
      <c r="D42" s="62">
        <v>0</v>
      </c>
      <c r="E42" s="62">
        <v>0</v>
      </c>
      <c r="F42" s="375">
        <v>0</v>
      </c>
      <c r="G42" s="375">
        <v>0</v>
      </c>
      <c r="H42" s="375">
        <v>0</v>
      </c>
      <c r="J42" s="91" t="str">
        <f>Roster!B60</f>
        <v>R</v>
      </c>
      <c r="K42" s="92" t="str">
        <f>Roster!C60</f>
        <v>Fess</v>
      </c>
      <c r="L42" s="93">
        <f ca="1">Roster!D60</f>
        <v>0</v>
      </c>
      <c r="M42" s="93">
        <f ca="1">Roster!E60</f>
        <v>0</v>
      </c>
      <c r="N42" s="381">
        <f t="shared" ca="1" si="3"/>
        <v>0</v>
      </c>
      <c r="O42" s="93">
        <f t="shared" ca="1" si="4"/>
        <v>0</v>
      </c>
      <c r="P42" s="93">
        <f t="shared" ca="1" si="5"/>
        <v>0</v>
      </c>
      <c r="R42" s="147"/>
      <c r="S42" s="147"/>
      <c r="U42" s="147" t="str">
        <f>Ships!B40</f>
        <v>Hijacked D3</v>
      </c>
      <c r="V42" s="147">
        <f>Ships!E40</f>
        <v>0</v>
      </c>
      <c r="X42" s="528"/>
      <c r="Y42" s="528"/>
      <c r="Z42" s="528"/>
      <c r="AA42" s="528"/>
      <c r="AB42" s="528"/>
      <c r="AD42" s="528" t="str">
        <f>'ATA Planning'!T32&amp;""</f>
        <v/>
      </c>
      <c r="AE42" s="528" t="str">
        <f>'ATA Planning'!T34&amp;""</f>
        <v/>
      </c>
      <c r="AF42" s="528" t="str">
        <f>'ATA Planning'!U34&amp;""</f>
        <v/>
      </c>
      <c r="AG42" s="528" t="str">
        <f>'ATA Planning'!V34&amp;""</f>
        <v/>
      </c>
      <c r="AH42" s="528" t="str">
        <f>'ATA Planning'!W34&amp;""</f>
        <v/>
      </c>
    </row>
    <row r="43" spans="2:34" x14ac:dyDescent="0.25">
      <c r="B43" s="65" t="s">
        <v>220</v>
      </c>
      <c r="C43" s="61" t="s">
        <v>98</v>
      </c>
      <c r="D43" s="62">
        <v>0</v>
      </c>
      <c r="E43" s="62">
        <v>0</v>
      </c>
      <c r="F43" s="375">
        <v>0</v>
      </c>
      <c r="G43" s="375">
        <v>0</v>
      </c>
      <c r="H43" s="375">
        <v>0</v>
      </c>
      <c r="J43" s="91" t="str">
        <f>Roster!B61</f>
        <v>E</v>
      </c>
      <c r="K43" s="92" t="str">
        <f>Roster!C61</f>
        <v>Five Of Eleven</v>
      </c>
      <c r="L43" s="93">
        <f ca="1">Roster!D61</f>
        <v>0</v>
      </c>
      <c r="M43" s="93">
        <f ca="1">Roster!E61</f>
        <v>0</v>
      </c>
      <c r="N43" s="381">
        <f t="shared" ca="1" si="3"/>
        <v>0</v>
      </c>
      <c r="O43" s="93">
        <f t="shared" ca="1" si="4"/>
        <v>0</v>
      </c>
      <c r="P43" s="93">
        <f t="shared" ca="1" si="5"/>
        <v>0</v>
      </c>
      <c r="R43" s="147"/>
      <c r="S43" s="147"/>
      <c r="U43" s="147" t="str">
        <f>Ships!B41</f>
        <v>Hijacked Legionary</v>
      </c>
      <c r="V43" s="147">
        <f>Ships!E41</f>
        <v>0</v>
      </c>
      <c r="X43" s="528"/>
      <c r="Y43" s="528"/>
      <c r="Z43" s="528"/>
      <c r="AA43" s="528"/>
      <c r="AB43" s="528"/>
      <c r="AD43" s="528" t="str">
        <f>'ATA Planning'!X32&amp;""</f>
        <v/>
      </c>
      <c r="AE43" s="528" t="str">
        <f>'ATA Planning'!X34&amp;""</f>
        <v/>
      </c>
      <c r="AF43" s="528" t="str">
        <f>'ATA Planning'!Y34&amp;""</f>
        <v/>
      </c>
      <c r="AG43" s="528" t="str">
        <f>'ATA Planning'!Z34&amp;""</f>
        <v/>
      </c>
      <c r="AH43" s="528" t="str">
        <f>'ATA Planning'!AA34&amp;""</f>
        <v/>
      </c>
    </row>
    <row r="44" spans="2:34" x14ac:dyDescent="0.25">
      <c r="B44" s="65" t="s">
        <v>222</v>
      </c>
      <c r="C44" s="61" t="s">
        <v>109</v>
      </c>
      <c r="D44" s="62">
        <v>0</v>
      </c>
      <c r="E44" s="62">
        <v>0</v>
      </c>
      <c r="F44" s="375">
        <v>0</v>
      </c>
      <c r="G44" s="375">
        <v>0</v>
      </c>
      <c r="H44" s="375">
        <v>0</v>
      </c>
      <c r="J44" s="91" t="str">
        <f>Roster!B62</f>
        <v>E</v>
      </c>
      <c r="K44" s="92" t="str">
        <f>Roster!C62</f>
        <v>Four Of Eleven</v>
      </c>
      <c r="L44" s="93">
        <f ca="1">Roster!D62</f>
        <v>0</v>
      </c>
      <c r="M44" s="93">
        <f ca="1">Roster!E62</f>
        <v>0</v>
      </c>
      <c r="N44" s="381">
        <f t="shared" ca="1" si="3"/>
        <v>0</v>
      </c>
      <c r="O44" s="93">
        <f t="shared" ca="1" si="4"/>
        <v>0</v>
      </c>
      <c r="P44" s="93">
        <f t="shared" ca="1" si="5"/>
        <v>0</v>
      </c>
      <c r="R44" s="147"/>
      <c r="S44" s="147"/>
      <c r="U44" s="147" t="str">
        <f>Ships!B42</f>
        <v>Hijacked USS Mayflower</v>
      </c>
      <c r="V44" s="147">
        <f>Ships!E42</f>
        <v>0</v>
      </c>
    </row>
    <row r="45" spans="2:34" x14ac:dyDescent="0.25">
      <c r="B45" s="65" t="s">
        <v>223</v>
      </c>
      <c r="C45" s="61" t="s">
        <v>4</v>
      </c>
      <c r="D45" s="62">
        <v>0</v>
      </c>
      <c r="E45" s="62">
        <v>0</v>
      </c>
      <c r="F45" s="375">
        <v>0</v>
      </c>
      <c r="G45" s="375">
        <v>0</v>
      </c>
      <c r="H45" s="375">
        <v>0</v>
      </c>
      <c r="J45" s="91" t="str">
        <f>Roster!B63</f>
        <v>C</v>
      </c>
      <c r="K45" s="92" t="str">
        <f>Roster!C63</f>
        <v>Gaila</v>
      </c>
      <c r="L45" s="93">
        <f ca="1">Roster!D63</f>
        <v>0</v>
      </c>
      <c r="M45" s="93">
        <f ca="1">Roster!E63</f>
        <v>0</v>
      </c>
      <c r="N45" s="381">
        <f t="shared" ca="1" si="3"/>
        <v>0</v>
      </c>
      <c r="O45" s="93">
        <f t="shared" ca="1" si="4"/>
        <v>0</v>
      </c>
      <c r="P45" s="93">
        <f t="shared" ca="1" si="5"/>
        <v>0</v>
      </c>
      <c r="R45" s="147"/>
      <c r="S45" s="147"/>
      <c r="U45" s="147" t="str">
        <f>Ships!B43</f>
        <v>ISS Jellyfish</v>
      </c>
      <c r="V45" s="147">
        <f>Ships!E43</f>
        <v>0</v>
      </c>
    </row>
    <row r="46" spans="2:34" x14ac:dyDescent="0.25">
      <c r="B46" s="65" t="s">
        <v>218</v>
      </c>
      <c r="C46" s="61" t="s">
        <v>93</v>
      </c>
      <c r="D46" s="62">
        <v>0</v>
      </c>
      <c r="E46" s="62">
        <v>0</v>
      </c>
      <c r="F46" s="375">
        <v>0</v>
      </c>
      <c r="G46" s="375">
        <v>0</v>
      </c>
      <c r="H46" s="375">
        <v>0</v>
      </c>
      <c r="J46" s="91" t="str">
        <f>Roster!B64</f>
        <v>E</v>
      </c>
      <c r="K46" s="92" t="str">
        <f>Roster!C64</f>
        <v>Geordi La Forge</v>
      </c>
      <c r="L46" s="93">
        <f ca="1">Roster!D64</f>
        <v>0</v>
      </c>
      <c r="M46" s="93">
        <f ca="1">Roster!E64</f>
        <v>0</v>
      </c>
      <c r="N46" s="381">
        <f t="shared" ca="1" si="3"/>
        <v>0</v>
      </c>
      <c r="O46" s="93">
        <f t="shared" ca="1" si="4"/>
        <v>0</v>
      </c>
      <c r="P46" s="93">
        <f t="shared" ca="1" si="5"/>
        <v>0</v>
      </c>
      <c r="R46" s="147"/>
      <c r="S46" s="147"/>
      <c r="U46" s="147" t="str">
        <f>Ships!B44</f>
        <v>Jellyfish</v>
      </c>
      <c r="V46" s="147">
        <f>Ships!E44</f>
        <v>0</v>
      </c>
    </row>
    <row r="47" spans="2:34" x14ac:dyDescent="0.25">
      <c r="B47" s="65" t="s">
        <v>223</v>
      </c>
      <c r="C47" s="61" t="s">
        <v>16</v>
      </c>
      <c r="D47" s="62">
        <v>0</v>
      </c>
      <c r="E47" s="62">
        <v>0</v>
      </c>
      <c r="F47" s="375">
        <v>0</v>
      </c>
      <c r="G47" s="375">
        <v>0</v>
      </c>
      <c r="H47" s="375">
        <v>0</v>
      </c>
      <c r="J47" s="91" t="str">
        <f>Roster!B65</f>
        <v>E</v>
      </c>
      <c r="K47" s="92" t="str">
        <f>Roster!C65</f>
        <v>Georgiou</v>
      </c>
      <c r="L47" s="93">
        <f ca="1">Roster!D65</f>
        <v>0</v>
      </c>
      <c r="M47" s="93">
        <f ca="1">Roster!E65</f>
        <v>0</v>
      </c>
      <c r="N47" s="381">
        <f t="shared" ca="1" si="3"/>
        <v>0</v>
      </c>
      <c r="O47" s="93">
        <f t="shared" ca="1" si="4"/>
        <v>0</v>
      </c>
      <c r="P47" s="93">
        <f t="shared" ca="1" si="5"/>
        <v>0</v>
      </c>
      <c r="R47" s="147"/>
      <c r="S47" s="147"/>
      <c r="U47" s="147" t="str">
        <f>Ships!B45</f>
        <v>Kehra</v>
      </c>
      <c r="V47" s="147">
        <f>Ships!E45</f>
        <v>0</v>
      </c>
    </row>
    <row r="48" spans="2:34" x14ac:dyDescent="0.25">
      <c r="B48" s="65" t="s">
        <v>218</v>
      </c>
      <c r="C48" s="61" t="s">
        <v>122</v>
      </c>
      <c r="D48" s="62">
        <v>0</v>
      </c>
      <c r="E48" s="62">
        <v>0</v>
      </c>
      <c r="F48" s="375">
        <v>0</v>
      </c>
      <c r="G48" s="375">
        <v>0</v>
      </c>
      <c r="H48" s="375">
        <v>0</v>
      </c>
      <c r="J48" s="91" t="str">
        <f>Roster!B66</f>
        <v>E</v>
      </c>
      <c r="K48" s="92" t="str">
        <f>Roster!C66</f>
        <v>Ghrush</v>
      </c>
      <c r="L48" s="93">
        <f ca="1">Roster!D66</f>
        <v>0</v>
      </c>
      <c r="M48" s="93">
        <f ca="1">Roster!E66</f>
        <v>0</v>
      </c>
      <c r="N48" s="381">
        <f t="shared" ca="1" si="3"/>
        <v>0</v>
      </c>
      <c r="O48" s="93">
        <f t="shared" ca="1" si="4"/>
        <v>0</v>
      </c>
      <c r="P48" s="93">
        <f t="shared" ca="1" si="5"/>
        <v>0</v>
      </c>
      <c r="R48" s="147"/>
      <c r="S48" s="147"/>
      <c r="U48" s="147" t="str">
        <f>Ships!B46</f>
        <v>Korinar</v>
      </c>
      <c r="V48" s="147">
        <f>Ships!E46</f>
        <v>0</v>
      </c>
    </row>
    <row r="49" spans="2:22" x14ac:dyDescent="0.25">
      <c r="B49" s="65" t="s">
        <v>222</v>
      </c>
      <c r="C49" s="61" t="s">
        <v>104</v>
      </c>
      <c r="D49" s="62">
        <v>0</v>
      </c>
      <c r="E49" s="62">
        <v>0</v>
      </c>
      <c r="F49" s="375">
        <v>0</v>
      </c>
      <c r="G49" s="375">
        <v>0</v>
      </c>
      <c r="H49" s="375">
        <v>0</v>
      </c>
      <c r="J49" s="91" t="str">
        <f>Roster!B67</f>
        <v>U</v>
      </c>
      <c r="K49" s="92" t="str">
        <f>Roster!C67</f>
        <v>Gonzales</v>
      </c>
      <c r="L49" s="93">
        <f ca="1">Roster!D67</f>
        <v>0</v>
      </c>
      <c r="M49" s="93">
        <f ca="1">Roster!E67</f>
        <v>0</v>
      </c>
      <c r="N49" s="381">
        <f t="shared" ca="1" si="3"/>
        <v>0</v>
      </c>
      <c r="O49" s="93">
        <f t="shared" ca="1" si="4"/>
        <v>0</v>
      </c>
      <c r="P49" s="93">
        <f t="shared" ca="1" si="5"/>
        <v>0</v>
      </c>
      <c r="R49" s="147"/>
      <c r="S49" s="147"/>
      <c r="U49" s="147" t="str">
        <f>Ships!B47</f>
        <v>K'Tinga</v>
      </c>
      <c r="V49" s="147">
        <f>Ships!E47</f>
        <v>0</v>
      </c>
    </row>
    <row r="50" spans="2:22" x14ac:dyDescent="0.25">
      <c r="B50" s="65" t="s">
        <v>220</v>
      </c>
      <c r="C50" s="61" t="s">
        <v>59</v>
      </c>
      <c r="D50" s="62">
        <v>0</v>
      </c>
      <c r="E50" s="62">
        <v>0</v>
      </c>
      <c r="F50" s="375">
        <v>0</v>
      </c>
      <c r="G50" s="375">
        <v>0</v>
      </c>
      <c r="H50" s="375">
        <v>0</v>
      </c>
      <c r="J50" s="91" t="str">
        <f>Roster!B68</f>
        <v>U</v>
      </c>
      <c r="K50" s="92" t="str">
        <f>Roster!C68</f>
        <v>Goon</v>
      </c>
      <c r="L50" s="93">
        <f ca="1">Roster!D68</f>
        <v>0</v>
      </c>
      <c r="M50" s="93">
        <f ca="1">Roster!E68</f>
        <v>0</v>
      </c>
      <c r="N50" s="381">
        <f t="shared" ca="1" si="3"/>
        <v>0</v>
      </c>
      <c r="O50" s="93">
        <f t="shared" ca="1" si="4"/>
        <v>0</v>
      </c>
      <c r="P50" s="93">
        <f t="shared" ca="1" si="5"/>
        <v>0</v>
      </c>
      <c r="R50" s="147"/>
      <c r="S50" s="147"/>
      <c r="U50" s="147" t="str">
        <f>Ships!B48</f>
        <v>Kumari</v>
      </c>
      <c r="V50" s="147">
        <f>Ships!E48</f>
        <v>0</v>
      </c>
    </row>
    <row r="51" spans="2:22" x14ac:dyDescent="0.25">
      <c r="B51" s="65" t="s">
        <v>218</v>
      </c>
      <c r="C51" s="61" t="s">
        <v>32</v>
      </c>
      <c r="D51" s="62">
        <v>0</v>
      </c>
      <c r="E51" s="62">
        <v>0</v>
      </c>
      <c r="F51" s="375">
        <v>0</v>
      </c>
      <c r="G51" s="375">
        <v>0</v>
      </c>
      <c r="H51" s="375">
        <v>0</v>
      </c>
      <c r="J51" s="91" t="str">
        <f>Roster!B69</f>
        <v>E</v>
      </c>
      <c r="K51" s="92" t="str">
        <f>Roster!C69</f>
        <v>Gorkon</v>
      </c>
      <c r="L51" s="93">
        <f ca="1">Roster!D69</f>
        <v>0</v>
      </c>
      <c r="M51" s="93">
        <f ca="1">Roster!E69</f>
        <v>0</v>
      </c>
      <c r="N51" s="381">
        <f t="shared" ca="1" si="3"/>
        <v>0</v>
      </c>
      <c r="O51" s="93">
        <f t="shared" ca="1" si="4"/>
        <v>0</v>
      </c>
      <c r="P51" s="93">
        <f t="shared" ca="1" si="5"/>
        <v>0</v>
      </c>
      <c r="R51" s="147"/>
      <c r="S51" s="147"/>
      <c r="U51" s="147" t="str">
        <f>Ships!B49</f>
        <v>K'Vort</v>
      </c>
      <c r="V51" s="147">
        <f>Ships!E49</f>
        <v>0</v>
      </c>
    </row>
    <row r="52" spans="2:22" x14ac:dyDescent="0.25">
      <c r="B52" s="65" t="s">
        <v>222</v>
      </c>
      <c r="C52" s="61" t="s">
        <v>70</v>
      </c>
      <c r="D52" s="62">
        <v>0</v>
      </c>
      <c r="E52" s="62">
        <v>0</v>
      </c>
      <c r="F52" s="375">
        <v>0</v>
      </c>
      <c r="G52" s="375">
        <v>0</v>
      </c>
      <c r="H52" s="375">
        <v>0</v>
      </c>
      <c r="J52" s="91" t="str">
        <f>Roster!B70</f>
        <v>R</v>
      </c>
      <c r="K52" s="92" t="str">
        <f>Roster!C70</f>
        <v>Gowron</v>
      </c>
      <c r="L52" s="93">
        <f ca="1">Roster!D70</f>
        <v>0</v>
      </c>
      <c r="M52" s="93">
        <f ca="1">Roster!E70</f>
        <v>0</v>
      </c>
      <c r="N52" s="381">
        <f t="shared" ca="1" si="3"/>
        <v>0</v>
      </c>
      <c r="O52" s="93">
        <f t="shared" ca="1" si="4"/>
        <v>0</v>
      </c>
      <c r="P52" s="93">
        <f t="shared" ca="1" si="5"/>
        <v>0</v>
      </c>
      <c r="R52" s="147"/>
      <c r="S52" s="147"/>
      <c r="U52" s="147" t="str">
        <f>Ships!B50</f>
        <v>Legionary</v>
      </c>
      <c r="V52" s="147">
        <f>Ships!E50</f>
        <v>0</v>
      </c>
    </row>
    <row r="53" spans="2:22" x14ac:dyDescent="0.25">
      <c r="B53" s="65" t="s">
        <v>218</v>
      </c>
      <c r="C53" s="61" t="s">
        <v>56</v>
      </c>
      <c r="D53" s="62">
        <v>0</v>
      </c>
      <c r="E53" s="62">
        <v>0</v>
      </c>
      <c r="F53" s="375">
        <v>0</v>
      </c>
      <c r="G53" s="375">
        <v>0</v>
      </c>
      <c r="H53" s="375">
        <v>0</v>
      </c>
      <c r="J53" s="91" t="str">
        <f>Roster!B71</f>
        <v>C</v>
      </c>
      <c r="K53" s="92" t="str">
        <f>Roster!C71</f>
        <v>Hadley</v>
      </c>
      <c r="L53" s="93">
        <f ca="1">Roster!D71</f>
        <v>0</v>
      </c>
      <c r="M53" s="93">
        <f ca="1">Roster!E71</f>
        <v>0</v>
      </c>
      <c r="N53" s="381">
        <f t="shared" ca="1" si="3"/>
        <v>0</v>
      </c>
      <c r="O53" s="93">
        <f t="shared" ca="1" si="4"/>
        <v>0</v>
      </c>
      <c r="P53" s="93">
        <f t="shared" ca="1" si="5"/>
        <v>0</v>
      </c>
      <c r="R53" s="147"/>
      <c r="S53" s="147"/>
      <c r="U53" s="147" t="str">
        <f>Ships!B51</f>
        <v>Meridian</v>
      </c>
      <c r="V53" s="147">
        <f>Ships!E51</f>
        <v>0</v>
      </c>
    </row>
    <row r="54" spans="2:22" x14ac:dyDescent="0.25">
      <c r="B54" s="65" t="s">
        <v>223</v>
      </c>
      <c r="C54" s="61" t="s">
        <v>6</v>
      </c>
      <c r="D54" s="62">
        <v>0</v>
      </c>
      <c r="E54" s="62">
        <v>0</v>
      </c>
      <c r="F54" s="375">
        <v>0</v>
      </c>
      <c r="G54" s="375">
        <v>0</v>
      </c>
      <c r="H54" s="375">
        <v>0</v>
      </c>
      <c r="J54" s="91" t="str">
        <f>Roster!B72</f>
        <v>R</v>
      </c>
      <c r="K54" s="92" t="str">
        <f>Roster!C72</f>
        <v>Harrison</v>
      </c>
      <c r="L54" s="93">
        <f ca="1">Roster!D72</f>
        <v>0</v>
      </c>
      <c r="M54" s="93">
        <f ca="1">Roster!E72</f>
        <v>0</v>
      </c>
      <c r="N54" s="381">
        <f t="shared" ca="1" si="3"/>
        <v>0</v>
      </c>
      <c r="O54" s="93">
        <f t="shared" ca="1" si="4"/>
        <v>0</v>
      </c>
      <c r="P54" s="93">
        <f t="shared" ca="1" si="5"/>
        <v>0</v>
      </c>
      <c r="R54" s="147"/>
      <c r="S54" s="147"/>
      <c r="U54" s="147" t="str">
        <f>Ships!B52</f>
        <v>North Star</v>
      </c>
      <c r="V54" s="147">
        <f>Ships!E52</f>
        <v>0</v>
      </c>
    </row>
    <row r="55" spans="2:22" x14ac:dyDescent="0.25">
      <c r="B55" s="65" t="s">
        <v>220</v>
      </c>
      <c r="C55" s="61" t="s">
        <v>99</v>
      </c>
      <c r="D55" s="62">
        <v>0</v>
      </c>
      <c r="E55" s="62">
        <v>0</v>
      </c>
      <c r="F55" s="375">
        <v>0</v>
      </c>
      <c r="G55" s="375">
        <v>0</v>
      </c>
      <c r="H55" s="375">
        <v>0</v>
      </c>
      <c r="J55" s="91" t="str">
        <f>Roster!B73</f>
        <v>E</v>
      </c>
      <c r="K55" s="92" t="str">
        <f>Roster!C73</f>
        <v>Harry Mudd</v>
      </c>
      <c r="L55" s="93">
        <f ca="1">Roster!D73</f>
        <v>0</v>
      </c>
      <c r="M55" s="93">
        <f ca="1">Roster!E73</f>
        <v>0</v>
      </c>
      <c r="N55" s="381">
        <f t="shared" ca="1" si="3"/>
        <v>0</v>
      </c>
      <c r="O55" s="93">
        <f t="shared" ca="1" si="4"/>
        <v>0</v>
      </c>
      <c r="P55" s="93">
        <f t="shared" ca="1" si="5"/>
        <v>0</v>
      </c>
      <c r="R55" s="147"/>
      <c r="S55" s="147"/>
      <c r="U55" s="147" t="str">
        <f>Ships!B53</f>
        <v>Nova</v>
      </c>
      <c r="V55" s="147">
        <f>Ships!E53</f>
        <v>0</v>
      </c>
    </row>
    <row r="56" spans="2:22" x14ac:dyDescent="0.25">
      <c r="B56" s="65" t="s">
        <v>220</v>
      </c>
      <c r="C56" s="61" t="s">
        <v>49</v>
      </c>
      <c r="D56" s="62">
        <v>0</v>
      </c>
      <c r="E56" s="62">
        <v>0</v>
      </c>
      <c r="F56" s="375">
        <v>0</v>
      </c>
      <c r="G56" s="375">
        <v>0</v>
      </c>
      <c r="H56" s="375">
        <v>0</v>
      </c>
      <c r="J56" s="91" t="str">
        <f>Roster!B74</f>
        <v>C</v>
      </c>
      <c r="K56" s="92" t="str">
        <f>Roster!C74</f>
        <v>Helvia</v>
      </c>
      <c r="L56" s="93">
        <f ca="1">Roster!D74</f>
        <v>0</v>
      </c>
      <c r="M56" s="93">
        <f ca="1">Roster!E74</f>
        <v>0</v>
      </c>
      <c r="N56" s="381">
        <f t="shared" ca="1" si="3"/>
        <v>0</v>
      </c>
      <c r="O56" s="93">
        <f t="shared" ca="1" si="4"/>
        <v>0</v>
      </c>
      <c r="P56" s="93">
        <f t="shared" ca="1" si="5"/>
        <v>0</v>
      </c>
      <c r="R56" s="147"/>
      <c r="S56" s="147"/>
      <c r="U56" s="147" t="str">
        <f>Ships!B54</f>
        <v>Orion Corvette</v>
      </c>
      <c r="V56" s="147">
        <f>Ships!E54</f>
        <v>0</v>
      </c>
    </row>
    <row r="57" spans="2:22" x14ac:dyDescent="0.25">
      <c r="B57" s="65" t="s">
        <v>222</v>
      </c>
      <c r="C57" s="61" t="s">
        <v>66</v>
      </c>
      <c r="D57" s="62">
        <v>0</v>
      </c>
      <c r="E57" s="62">
        <v>0</v>
      </c>
      <c r="F57" s="375">
        <v>0</v>
      </c>
      <c r="G57" s="375">
        <v>0</v>
      </c>
      <c r="H57" s="375">
        <v>0</v>
      </c>
      <c r="J57" s="91" t="str">
        <f>Roster!B75</f>
        <v>U</v>
      </c>
      <c r="K57" s="92" t="str">
        <f>Roster!C75</f>
        <v>Hendorff</v>
      </c>
      <c r="L57" s="93">
        <f ca="1">Roster!D75</f>
        <v>0</v>
      </c>
      <c r="M57" s="93">
        <f ca="1">Roster!E75</f>
        <v>0</v>
      </c>
      <c r="N57" s="381">
        <f t="shared" ca="1" si="3"/>
        <v>0</v>
      </c>
      <c r="O57" s="93">
        <f t="shared" ca="1" si="4"/>
        <v>0</v>
      </c>
      <c r="P57" s="93">
        <f t="shared" ca="1" si="5"/>
        <v>0</v>
      </c>
      <c r="R57" s="147"/>
      <c r="S57" s="147"/>
      <c r="U57" s="147" t="str">
        <f>Ships!B55</f>
        <v>Phindra</v>
      </c>
      <c r="V57" s="147">
        <f>Ships!E55</f>
        <v>0</v>
      </c>
    </row>
    <row r="58" spans="2:22" x14ac:dyDescent="0.25">
      <c r="B58" s="65" t="s">
        <v>222</v>
      </c>
      <c r="C58" s="61" t="s">
        <v>68</v>
      </c>
      <c r="D58" s="62">
        <v>0</v>
      </c>
      <c r="E58" s="62">
        <v>0</v>
      </c>
      <c r="F58" s="375">
        <v>0</v>
      </c>
      <c r="G58" s="375">
        <v>0</v>
      </c>
      <c r="H58" s="375">
        <v>0</v>
      </c>
      <c r="J58" s="91" t="str">
        <f>Roster!B76</f>
        <v>E</v>
      </c>
      <c r="K58" s="92" t="str">
        <f>Roster!C76</f>
        <v>Honorguard Worf</v>
      </c>
      <c r="L58" s="93">
        <f ca="1">Roster!D76</f>
        <v>0</v>
      </c>
      <c r="M58" s="93">
        <f ca="1">Roster!E76</f>
        <v>0</v>
      </c>
      <c r="N58" s="381">
        <f t="shared" ca="1" si="3"/>
        <v>0</v>
      </c>
      <c r="O58" s="93">
        <f t="shared" ca="1" si="4"/>
        <v>0</v>
      </c>
      <c r="P58" s="93">
        <f t="shared" ca="1" si="5"/>
        <v>0</v>
      </c>
      <c r="R58" s="147"/>
      <c r="S58" s="147"/>
      <c r="U58" s="147" t="str">
        <f>Ships!B56</f>
        <v>Pilum</v>
      </c>
      <c r="V58" s="147">
        <f>Ships!E56</f>
        <v>0</v>
      </c>
    </row>
    <row r="59" spans="2:22" x14ac:dyDescent="0.25">
      <c r="B59" s="65" t="s">
        <v>218</v>
      </c>
      <c r="C59" s="61" t="s">
        <v>35</v>
      </c>
      <c r="D59" s="62">
        <v>0</v>
      </c>
      <c r="E59" s="62">
        <v>0</v>
      </c>
      <c r="F59" s="375">
        <v>0</v>
      </c>
      <c r="G59" s="375">
        <v>0</v>
      </c>
      <c r="H59" s="375">
        <v>0</v>
      </c>
      <c r="J59" s="91" t="str">
        <f>Roster!B77</f>
        <v>C</v>
      </c>
      <c r="K59" s="92" t="str">
        <f>Roster!C77</f>
        <v>Instructor Spock</v>
      </c>
      <c r="L59" s="93">
        <f ca="1">Roster!D77</f>
        <v>0</v>
      </c>
      <c r="M59" s="93">
        <f ca="1">Roster!E77</f>
        <v>0</v>
      </c>
      <c r="N59" s="381">
        <f t="shared" ca="1" si="3"/>
        <v>0</v>
      </c>
      <c r="O59" s="93">
        <f t="shared" ca="1" si="4"/>
        <v>0</v>
      </c>
      <c r="P59" s="93">
        <f t="shared" ca="1" si="5"/>
        <v>0</v>
      </c>
      <c r="R59" s="147"/>
      <c r="S59" s="147"/>
      <c r="U59" s="147" t="str">
        <f>Ships!B57</f>
        <v>Quv'Sompek</v>
      </c>
      <c r="V59" s="147">
        <f>Ships!E57</f>
        <v>0</v>
      </c>
    </row>
    <row r="60" spans="2:22" x14ac:dyDescent="0.25">
      <c r="B60" s="65" t="s">
        <v>223</v>
      </c>
      <c r="C60" s="61" t="s">
        <v>11</v>
      </c>
      <c r="D60" s="62">
        <v>0</v>
      </c>
      <c r="E60" s="62">
        <v>0</v>
      </c>
      <c r="F60" s="375">
        <v>0</v>
      </c>
      <c r="G60" s="375">
        <v>0</v>
      </c>
      <c r="H60" s="375">
        <v>0</v>
      </c>
      <c r="J60" s="91" t="str">
        <f>Roster!B78</f>
        <v>U</v>
      </c>
      <c r="K60" s="92" t="str">
        <f>Roster!C78</f>
        <v>Javaid</v>
      </c>
      <c r="L60" s="93">
        <f ca="1">Roster!D78</f>
        <v>0</v>
      </c>
      <c r="M60" s="93">
        <f ca="1">Roster!E78</f>
        <v>0</v>
      </c>
      <c r="N60" s="381">
        <f t="shared" ca="1" si="3"/>
        <v>0</v>
      </c>
      <c r="O60" s="93">
        <f t="shared" ca="1" si="4"/>
        <v>0</v>
      </c>
      <c r="P60" s="93">
        <f t="shared" ca="1" si="5"/>
        <v>0</v>
      </c>
      <c r="R60" s="147"/>
      <c r="S60" s="147"/>
      <c r="U60" s="147" t="str">
        <f>Ships!B58</f>
        <v>Realta</v>
      </c>
      <c r="V60" s="147">
        <f>Ships!E58</f>
        <v>0</v>
      </c>
    </row>
    <row r="61" spans="2:22" x14ac:dyDescent="0.25">
      <c r="B61" s="65" t="s">
        <v>218</v>
      </c>
      <c r="C61" s="61" t="s">
        <v>36</v>
      </c>
      <c r="D61" s="62">
        <v>0</v>
      </c>
      <c r="E61" s="62">
        <v>0</v>
      </c>
      <c r="F61" s="375">
        <v>0</v>
      </c>
      <c r="G61" s="375">
        <v>0</v>
      </c>
      <c r="H61" s="375">
        <v>0</v>
      </c>
      <c r="J61" s="91" t="str">
        <f>Roster!B79</f>
        <v>E</v>
      </c>
      <c r="K61" s="92" t="str">
        <f>Roster!C79</f>
        <v>Jaylah</v>
      </c>
      <c r="L61" s="93">
        <f ca="1">Roster!D79</f>
        <v>0</v>
      </c>
      <c r="M61" s="93">
        <f ca="1">Roster!E79</f>
        <v>0</v>
      </c>
      <c r="N61" s="381">
        <f t="shared" ca="1" si="3"/>
        <v>0</v>
      </c>
      <c r="O61" s="93">
        <f t="shared" ca="1" si="4"/>
        <v>0</v>
      </c>
      <c r="P61" s="93">
        <f t="shared" ca="1" si="5"/>
        <v>0</v>
      </c>
      <c r="R61" s="147"/>
      <c r="S61" s="147"/>
      <c r="U61" s="147" t="str">
        <f>Ships!B59</f>
        <v>Rotarran</v>
      </c>
      <c r="V61" s="147">
        <f>Ships!E59</f>
        <v>0</v>
      </c>
    </row>
    <row r="62" spans="2:22" x14ac:dyDescent="0.25">
      <c r="B62" s="65" t="s">
        <v>222</v>
      </c>
      <c r="C62" s="61" t="s">
        <v>69</v>
      </c>
      <c r="D62" s="62">
        <v>0</v>
      </c>
      <c r="E62" s="62">
        <v>0</v>
      </c>
      <c r="F62" s="375">
        <v>0</v>
      </c>
      <c r="G62" s="375">
        <v>0</v>
      </c>
      <c r="H62" s="375">
        <v>0</v>
      </c>
      <c r="J62" s="91" t="str">
        <f>Roster!B80</f>
        <v>E</v>
      </c>
      <c r="K62" s="92" t="str">
        <f>Roster!C80</f>
        <v>Jean-Luc Picard</v>
      </c>
      <c r="L62" s="93">
        <f ca="1">Roster!D80</f>
        <v>0</v>
      </c>
      <c r="M62" s="93">
        <f ca="1">Roster!E80</f>
        <v>0</v>
      </c>
      <c r="N62" s="381">
        <f t="shared" ca="1" si="3"/>
        <v>0</v>
      </c>
      <c r="O62" s="93">
        <f t="shared" ca="1" si="4"/>
        <v>0</v>
      </c>
      <c r="P62" s="93">
        <f t="shared" ca="1" si="5"/>
        <v>0</v>
      </c>
      <c r="R62" s="147"/>
      <c r="S62" s="147"/>
      <c r="U62" s="147" t="str">
        <f>Ships!B60</f>
        <v>Sanctus</v>
      </c>
      <c r="V62" s="147">
        <f>Ships!E60</f>
        <v>0</v>
      </c>
    </row>
    <row r="63" spans="2:22" x14ac:dyDescent="0.25">
      <c r="B63" s="65" t="s">
        <v>220</v>
      </c>
      <c r="C63" s="61" t="s">
        <v>60</v>
      </c>
      <c r="D63" s="62">
        <v>0</v>
      </c>
      <c r="E63" s="62">
        <v>0</v>
      </c>
      <c r="F63" s="375">
        <v>0</v>
      </c>
      <c r="G63" s="375">
        <v>0</v>
      </c>
      <c r="H63" s="375">
        <v>0</v>
      </c>
      <c r="J63" s="91" t="str">
        <f>Roster!B81</f>
        <v>R</v>
      </c>
      <c r="K63" s="92" t="str">
        <f>Roster!C81</f>
        <v>Joachim</v>
      </c>
      <c r="L63" s="93">
        <f ca="1">Roster!D81</f>
        <v>0</v>
      </c>
      <c r="M63" s="93">
        <f ca="1">Roster!E81</f>
        <v>0</v>
      </c>
      <c r="N63" s="381">
        <f t="shared" ca="1" si="3"/>
        <v>0</v>
      </c>
      <c r="O63" s="93">
        <f t="shared" ca="1" si="4"/>
        <v>0</v>
      </c>
      <c r="P63" s="93">
        <f t="shared" ca="1" si="5"/>
        <v>0</v>
      </c>
      <c r="R63" s="147"/>
      <c r="S63" s="147"/>
      <c r="U63" s="147" t="str">
        <f>Ships!B61</f>
        <v>Sarcophagus</v>
      </c>
      <c r="V63" s="147">
        <f>Ships!E61</f>
        <v>0</v>
      </c>
    </row>
    <row r="64" spans="2:22" x14ac:dyDescent="0.25">
      <c r="B64" s="65" t="s">
        <v>220</v>
      </c>
      <c r="C64" s="61" t="s">
        <v>61</v>
      </c>
      <c r="D64" s="62">
        <v>0</v>
      </c>
      <c r="E64" s="62">
        <v>0</v>
      </c>
      <c r="F64" s="375">
        <v>0</v>
      </c>
      <c r="G64" s="375">
        <v>0</v>
      </c>
      <c r="H64" s="375">
        <v>0</v>
      </c>
      <c r="J64" s="91" t="str">
        <f>Roster!B82</f>
        <v>U</v>
      </c>
      <c r="K64" s="92" t="str">
        <f>Roster!C82</f>
        <v>Joaquin</v>
      </c>
      <c r="L64" s="93">
        <f ca="1">Roster!D82</f>
        <v>0</v>
      </c>
      <c r="M64" s="93">
        <f ca="1">Roster!E82</f>
        <v>0</v>
      </c>
      <c r="N64" s="381">
        <f t="shared" ca="1" si="3"/>
        <v>0</v>
      </c>
      <c r="O64" s="93">
        <f t="shared" ca="1" si="4"/>
        <v>0</v>
      </c>
      <c r="P64" s="93">
        <f t="shared" ca="1" si="5"/>
        <v>0</v>
      </c>
      <c r="R64" s="147"/>
      <c r="S64" s="147"/>
      <c r="U64" s="147" t="str">
        <f>Ships!B62</f>
        <v>Separatist D3 Class</v>
      </c>
      <c r="V64" s="147">
        <f>Ships!E62</f>
        <v>0</v>
      </c>
    </row>
    <row r="65" spans="2:22" x14ac:dyDescent="0.25">
      <c r="B65" s="65" t="s">
        <v>220</v>
      </c>
      <c r="C65" s="61" t="s">
        <v>100</v>
      </c>
      <c r="D65" s="62">
        <v>0</v>
      </c>
      <c r="E65" s="62">
        <v>0</v>
      </c>
      <c r="F65" s="375">
        <v>0</v>
      </c>
      <c r="G65" s="375">
        <v>0</v>
      </c>
      <c r="H65" s="375">
        <v>0</v>
      </c>
      <c r="J65" s="91" t="str">
        <f>Roster!B83</f>
        <v>E</v>
      </c>
      <c r="K65" s="92" t="str">
        <f>Roster!C83</f>
        <v>Kang</v>
      </c>
      <c r="L65" s="93">
        <f ca="1">Roster!D83</f>
        <v>0</v>
      </c>
      <c r="M65" s="93">
        <f ca="1">Roster!E83</f>
        <v>0</v>
      </c>
      <c r="N65" s="381">
        <f t="shared" ca="1" si="3"/>
        <v>0</v>
      </c>
      <c r="O65" s="93">
        <f t="shared" ca="1" si="4"/>
        <v>0</v>
      </c>
      <c r="P65" s="93">
        <f t="shared" ca="1" si="5"/>
        <v>0</v>
      </c>
      <c r="R65" s="147"/>
      <c r="S65" s="147"/>
      <c r="U65" s="147" t="str">
        <f>Ships!B63</f>
        <v>Stella</v>
      </c>
      <c r="V65" s="147">
        <f>Ships!E63</f>
        <v>0</v>
      </c>
    </row>
    <row r="66" spans="2:22" x14ac:dyDescent="0.25">
      <c r="B66" s="65" t="s">
        <v>218</v>
      </c>
      <c r="C66" s="61" t="s">
        <v>94</v>
      </c>
      <c r="D66" s="62">
        <v>0</v>
      </c>
      <c r="E66" s="62">
        <v>0</v>
      </c>
      <c r="F66" s="375">
        <v>0</v>
      </c>
      <c r="G66" s="375">
        <v>0</v>
      </c>
      <c r="H66" s="375">
        <v>0</v>
      </c>
      <c r="J66" s="91" t="str">
        <f>Roster!B84</f>
        <v>U</v>
      </c>
      <c r="K66" s="92" t="str">
        <f>Roster!C84</f>
        <v>Kati</v>
      </c>
      <c r="L66" s="93">
        <f ca="1">Roster!D84</f>
        <v>0</v>
      </c>
      <c r="M66" s="93">
        <f ca="1">Roster!E84</f>
        <v>0</v>
      </c>
      <c r="N66" s="381">
        <f t="shared" ca="1" si="3"/>
        <v>0</v>
      </c>
      <c r="O66" s="93">
        <f t="shared" ca="1" si="4"/>
        <v>0</v>
      </c>
      <c r="P66" s="93">
        <f t="shared" ca="1" si="5"/>
        <v>0</v>
      </c>
      <c r="R66" s="147"/>
      <c r="S66" s="147"/>
      <c r="U66" s="147" t="str">
        <f>Ships!B64</f>
        <v>Talla</v>
      </c>
      <c r="V66" s="147">
        <f>Ships!E64</f>
        <v>0</v>
      </c>
    </row>
    <row r="67" spans="2:22" x14ac:dyDescent="0.25">
      <c r="B67" s="65" t="s">
        <v>218</v>
      </c>
      <c r="C67" s="61" t="s">
        <v>86</v>
      </c>
      <c r="D67" s="62">
        <v>0</v>
      </c>
      <c r="E67" s="62">
        <v>0</v>
      </c>
      <c r="F67" s="375">
        <v>0</v>
      </c>
      <c r="G67" s="375">
        <v>0</v>
      </c>
      <c r="H67" s="375">
        <v>0</v>
      </c>
      <c r="J67" s="91" t="str">
        <f>Roster!B85</f>
        <v>C</v>
      </c>
      <c r="K67" s="92" t="str">
        <f>Roster!C85</f>
        <v>K'Bisch</v>
      </c>
      <c r="L67" s="93">
        <f ca="1">Roster!D85</f>
        <v>0</v>
      </c>
      <c r="M67" s="93">
        <f ca="1">Roster!E85</f>
        <v>0</v>
      </c>
      <c r="N67" s="381">
        <f t="shared" ca="1" si="3"/>
        <v>0</v>
      </c>
      <c r="O67" s="93">
        <f t="shared" ca="1" si="4"/>
        <v>0</v>
      </c>
      <c r="P67" s="93">
        <f t="shared" ca="1" si="5"/>
        <v>0</v>
      </c>
      <c r="R67" s="147"/>
      <c r="S67" s="147"/>
      <c r="U67" s="147" t="str">
        <f>Ships!B65</f>
        <v>Tribune</v>
      </c>
      <c r="V67" s="147">
        <f>Ships!E65</f>
        <v>0</v>
      </c>
    </row>
    <row r="68" spans="2:22" x14ac:dyDescent="0.25">
      <c r="B68" s="65" t="s">
        <v>220</v>
      </c>
      <c r="C68" s="61" t="s">
        <v>58</v>
      </c>
      <c r="D68" s="62">
        <v>0</v>
      </c>
      <c r="E68" s="62">
        <v>0</v>
      </c>
      <c r="F68" s="375">
        <v>0</v>
      </c>
      <c r="G68" s="375">
        <v>0</v>
      </c>
      <c r="H68" s="375">
        <v>0</v>
      </c>
      <c r="J68" s="91" t="str">
        <f>Roster!B86</f>
        <v>R</v>
      </c>
      <c r="K68" s="92" t="str">
        <f>Roster!C86</f>
        <v>Keenser</v>
      </c>
      <c r="L68" s="93">
        <f ca="1">Roster!D86</f>
        <v>0</v>
      </c>
      <c r="M68" s="93">
        <f ca="1">Roster!E86</f>
        <v>0</v>
      </c>
      <c r="N68" s="381">
        <f t="shared" ca="1" si="3"/>
        <v>0</v>
      </c>
      <c r="O68" s="93">
        <f t="shared" ca="1" si="4"/>
        <v>0</v>
      </c>
      <c r="P68" s="93">
        <f t="shared" ca="1" si="5"/>
        <v>0</v>
      </c>
      <c r="R68" s="147"/>
      <c r="S68" s="147"/>
      <c r="U68" s="147" t="str">
        <f>Ships!B66</f>
        <v>Turas</v>
      </c>
      <c r="V68" s="147">
        <f>Ships!E66</f>
        <v>0</v>
      </c>
    </row>
    <row r="69" spans="2:22" x14ac:dyDescent="0.25">
      <c r="B69" s="65" t="s">
        <v>218</v>
      </c>
      <c r="C69" s="61" t="s">
        <v>37</v>
      </c>
      <c r="D69" s="62">
        <v>0</v>
      </c>
      <c r="E69" s="62">
        <v>0</v>
      </c>
      <c r="F69" s="375">
        <v>0</v>
      </c>
      <c r="G69" s="375">
        <v>0</v>
      </c>
      <c r="H69" s="375">
        <v>0</v>
      </c>
      <c r="J69" s="91" t="str">
        <f>Roster!B87</f>
        <v>R</v>
      </c>
      <c r="K69" s="92" t="str">
        <f>Roster!C87</f>
        <v>Kerla</v>
      </c>
      <c r="L69" s="93">
        <f ca="1">Roster!D87</f>
        <v>0</v>
      </c>
      <c r="M69" s="93">
        <f ca="1">Roster!E87</f>
        <v>0</v>
      </c>
      <c r="N69" s="381">
        <f t="shared" ref="N69:N132" ca="1" si="6">VLOOKUP(K69,TraitFull,5,FALSE)</f>
        <v>0</v>
      </c>
      <c r="O69" s="93">
        <f t="shared" ref="O69:O132" ca="1" si="7">VLOOKUP(K69,TraitFull,8,FALSE)</f>
        <v>0</v>
      </c>
      <c r="P69" s="93">
        <f t="shared" ref="P69:P132" ca="1" si="8">VLOOKUP(K69,TraitFull,11,FALSE)</f>
        <v>0</v>
      </c>
      <c r="R69" s="147"/>
      <c r="S69" s="147"/>
      <c r="U69" s="147" t="str">
        <f>Ships!B67</f>
        <v>USS Antares</v>
      </c>
      <c r="V69" s="147">
        <f>Ships!E67</f>
        <v>0</v>
      </c>
    </row>
    <row r="70" spans="2:22" x14ac:dyDescent="0.25">
      <c r="B70" s="65" t="s">
        <v>222</v>
      </c>
      <c r="C70" s="61" t="s">
        <v>103</v>
      </c>
      <c r="D70" s="62">
        <v>0</v>
      </c>
      <c r="E70" s="62">
        <v>0</v>
      </c>
      <c r="F70" s="375">
        <v>0</v>
      </c>
      <c r="G70" s="375">
        <v>0</v>
      </c>
      <c r="H70" s="375">
        <v>0</v>
      </c>
      <c r="J70" s="91" t="str">
        <f>Roster!B88</f>
        <v>E</v>
      </c>
      <c r="K70" s="92" t="str">
        <f>Roster!C88</f>
        <v>Khan</v>
      </c>
      <c r="L70" s="93">
        <f ca="1">Roster!D88</f>
        <v>0</v>
      </c>
      <c r="M70" s="93">
        <f ca="1">Roster!E88</f>
        <v>0</v>
      </c>
      <c r="N70" s="381">
        <f t="shared" ca="1" si="6"/>
        <v>0</v>
      </c>
      <c r="O70" s="93">
        <f t="shared" ca="1" si="7"/>
        <v>0</v>
      </c>
      <c r="P70" s="93">
        <f t="shared" ca="1" si="8"/>
        <v>0</v>
      </c>
      <c r="R70" s="147"/>
      <c r="S70" s="147"/>
      <c r="U70" s="147" t="str">
        <f>Ships!B68</f>
        <v>USS Cerritos</v>
      </c>
      <c r="V70" s="147">
        <f>Ships!E68</f>
        <v>0</v>
      </c>
    </row>
    <row r="71" spans="2:22" x14ac:dyDescent="0.25">
      <c r="B71" s="90" t="s">
        <v>218</v>
      </c>
      <c r="C71" s="62" t="s">
        <v>251</v>
      </c>
      <c r="D71" s="62">
        <v>0</v>
      </c>
      <c r="E71" s="62">
        <v>0</v>
      </c>
      <c r="F71" s="375">
        <v>0</v>
      </c>
      <c r="G71" s="375">
        <v>0</v>
      </c>
      <c r="H71" s="375">
        <v>0</v>
      </c>
      <c r="J71" s="91" t="str">
        <f>Roster!B89</f>
        <v>E</v>
      </c>
      <c r="K71" s="92" t="str">
        <f>Roster!C89</f>
        <v>Kirk</v>
      </c>
      <c r="L71" s="93">
        <f ca="1">Roster!D89</f>
        <v>0</v>
      </c>
      <c r="M71" s="93">
        <f ca="1">Roster!E89</f>
        <v>0</v>
      </c>
      <c r="N71" s="381">
        <f t="shared" ca="1" si="6"/>
        <v>0</v>
      </c>
      <c r="O71" s="93">
        <f t="shared" ca="1" si="7"/>
        <v>0</v>
      </c>
      <c r="P71" s="93">
        <f t="shared" ca="1" si="8"/>
        <v>0</v>
      </c>
      <c r="R71" s="147"/>
      <c r="S71" s="147"/>
      <c r="U71" s="147" t="str">
        <f>Ships!B69</f>
        <v>USS Crozier</v>
      </c>
      <c r="V71" s="147">
        <f>Ships!E69</f>
        <v>0</v>
      </c>
    </row>
    <row r="72" spans="2:22" x14ac:dyDescent="0.25">
      <c r="B72" s="65" t="s">
        <v>220</v>
      </c>
      <c r="C72" s="61" t="s">
        <v>51</v>
      </c>
      <c r="D72" s="62">
        <v>0</v>
      </c>
      <c r="E72" s="62">
        <v>0</v>
      </c>
      <c r="F72" s="375">
        <v>0</v>
      </c>
      <c r="G72" s="375">
        <v>0</v>
      </c>
      <c r="H72" s="375">
        <v>0</v>
      </c>
      <c r="J72" s="91" t="str">
        <f>Roster!B90</f>
        <v>U</v>
      </c>
      <c r="K72" s="92" t="str">
        <f>Roster!C90</f>
        <v>Klaa</v>
      </c>
      <c r="L72" s="93">
        <f ca="1">Roster!D90</f>
        <v>0</v>
      </c>
      <c r="M72" s="93">
        <f ca="1">Roster!E90</f>
        <v>0</v>
      </c>
      <c r="N72" s="381">
        <f t="shared" ca="1" si="6"/>
        <v>0</v>
      </c>
      <c r="O72" s="93">
        <f t="shared" ca="1" si="7"/>
        <v>0</v>
      </c>
      <c r="P72" s="93">
        <f t="shared" ca="1" si="8"/>
        <v>0</v>
      </c>
      <c r="R72" s="147"/>
      <c r="S72" s="147"/>
      <c r="U72" s="147" t="str">
        <f>Ships!B70</f>
        <v>USS Discovery</v>
      </c>
      <c r="V72" s="147">
        <f>Ships!E70</f>
        <v>0</v>
      </c>
    </row>
    <row r="73" spans="2:22" x14ac:dyDescent="0.25">
      <c r="B73" s="65" t="s">
        <v>222</v>
      </c>
      <c r="C73" s="61" t="s">
        <v>83</v>
      </c>
      <c r="D73" s="62">
        <v>0</v>
      </c>
      <c r="E73" s="62">
        <v>0</v>
      </c>
      <c r="F73" s="375">
        <v>0</v>
      </c>
      <c r="G73" s="375">
        <v>0</v>
      </c>
      <c r="H73" s="375">
        <v>0</v>
      </c>
      <c r="J73" s="91" t="str">
        <f>Roster!B91</f>
        <v>C</v>
      </c>
      <c r="K73" s="92" t="str">
        <f>Roster!C91</f>
        <v>Komal</v>
      </c>
      <c r="L73" s="93">
        <f ca="1">Roster!D91</f>
        <v>0</v>
      </c>
      <c r="M73" s="93">
        <f ca="1">Roster!E91</f>
        <v>0</v>
      </c>
      <c r="N73" s="381">
        <f t="shared" ca="1" si="6"/>
        <v>0</v>
      </c>
      <c r="O73" s="93">
        <f t="shared" ca="1" si="7"/>
        <v>0</v>
      </c>
      <c r="P73" s="93">
        <f t="shared" ca="1" si="8"/>
        <v>0</v>
      </c>
      <c r="R73" s="147"/>
      <c r="S73" s="147"/>
      <c r="U73" s="147" t="str">
        <f>Ships!B71</f>
        <v>USS Enterprise</v>
      </c>
      <c r="V73" s="147">
        <f>Ships!E71</f>
        <v>0</v>
      </c>
    </row>
    <row r="74" spans="2:22" x14ac:dyDescent="0.25">
      <c r="B74" s="65" t="s">
        <v>220</v>
      </c>
      <c r="C74" s="61" t="s">
        <v>62</v>
      </c>
      <c r="D74" s="62">
        <v>0</v>
      </c>
      <c r="E74" s="62">
        <v>0</v>
      </c>
      <c r="F74" s="375">
        <v>0</v>
      </c>
      <c r="G74" s="375">
        <v>0</v>
      </c>
      <c r="H74" s="375">
        <v>0</v>
      </c>
      <c r="J74" s="91" t="str">
        <f>Roster!B92</f>
        <v>U</v>
      </c>
      <c r="K74" s="92" t="str">
        <f>Roster!C92</f>
        <v>Koth</v>
      </c>
      <c r="L74" s="93">
        <f ca="1">Roster!D92</f>
        <v>0</v>
      </c>
      <c r="M74" s="93">
        <f ca="1">Roster!E92</f>
        <v>0</v>
      </c>
      <c r="N74" s="381">
        <f t="shared" ca="1" si="6"/>
        <v>0</v>
      </c>
      <c r="O74" s="93">
        <f t="shared" ca="1" si="7"/>
        <v>0</v>
      </c>
      <c r="P74" s="93">
        <f t="shared" ca="1" si="8"/>
        <v>0</v>
      </c>
      <c r="R74" s="147"/>
      <c r="S74" s="147"/>
      <c r="U74" s="147" t="str">
        <f>Ships!B72</f>
        <v>USS Enterprise A</v>
      </c>
      <c r="V74" s="147">
        <f>Ships!E72</f>
        <v>0</v>
      </c>
    </row>
    <row r="75" spans="2:22" x14ac:dyDescent="0.25">
      <c r="B75" s="65" t="s">
        <v>223</v>
      </c>
      <c r="C75" s="61" t="s">
        <v>52</v>
      </c>
      <c r="D75" s="62">
        <v>0</v>
      </c>
      <c r="E75" s="62">
        <v>0</v>
      </c>
      <c r="F75" s="375">
        <v>0</v>
      </c>
      <c r="G75" s="375">
        <v>0</v>
      </c>
      <c r="H75" s="375">
        <v>0</v>
      </c>
      <c r="J75" s="91" t="str">
        <f>Roster!B93</f>
        <v>E</v>
      </c>
      <c r="K75" s="92" t="str">
        <f>Roster!C93</f>
        <v>Kras</v>
      </c>
      <c r="L75" s="93">
        <f ca="1">Roster!D93</f>
        <v>0</v>
      </c>
      <c r="M75" s="93">
        <f ca="1">Roster!E93</f>
        <v>0</v>
      </c>
      <c r="N75" s="381">
        <f t="shared" ca="1" si="6"/>
        <v>0</v>
      </c>
      <c r="O75" s="93">
        <f t="shared" ca="1" si="7"/>
        <v>0</v>
      </c>
      <c r="P75" s="93">
        <f t="shared" ca="1" si="8"/>
        <v>0</v>
      </c>
      <c r="R75" s="147"/>
      <c r="S75" s="147"/>
      <c r="U75" s="147" t="str">
        <f>Ships!B73</f>
        <v>USS Enterprise D</v>
      </c>
      <c r="V75" s="147">
        <f>Ships!E73</f>
        <v>0</v>
      </c>
    </row>
    <row r="76" spans="2:22" x14ac:dyDescent="0.25">
      <c r="B76" s="65" t="s">
        <v>222</v>
      </c>
      <c r="C76" s="61" t="s">
        <v>105</v>
      </c>
      <c r="D76" s="62">
        <v>0</v>
      </c>
      <c r="E76" s="62">
        <v>0</v>
      </c>
      <c r="F76" s="375">
        <v>0</v>
      </c>
      <c r="G76" s="375">
        <v>0</v>
      </c>
      <c r="H76" s="375">
        <v>0</v>
      </c>
      <c r="J76" s="91" t="str">
        <f>Roster!B94</f>
        <v>R</v>
      </c>
      <c r="K76" s="92" t="str">
        <f>Roster!C94</f>
        <v>Krell</v>
      </c>
      <c r="L76" s="93">
        <f ca="1">Roster!D94</f>
        <v>0</v>
      </c>
      <c r="M76" s="93">
        <f ca="1">Roster!E94</f>
        <v>0</v>
      </c>
      <c r="N76" s="381">
        <f t="shared" ca="1" si="6"/>
        <v>0</v>
      </c>
      <c r="O76" s="93">
        <f t="shared" ca="1" si="7"/>
        <v>0</v>
      </c>
      <c r="P76" s="93">
        <f t="shared" ca="1" si="8"/>
        <v>0</v>
      </c>
      <c r="R76" s="147"/>
      <c r="S76" s="147"/>
      <c r="U76" s="147" t="str">
        <f>Ships!B74</f>
        <v>USS Franklin</v>
      </c>
      <c r="V76" s="147">
        <f>Ships!E74</f>
        <v>0</v>
      </c>
    </row>
    <row r="77" spans="2:22" x14ac:dyDescent="0.25">
      <c r="B77" s="65" t="s">
        <v>220</v>
      </c>
      <c r="C77" s="61" t="s">
        <v>63</v>
      </c>
      <c r="D77" s="62">
        <v>0</v>
      </c>
      <c r="E77" s="62">
        <v>0</v>
      </c>
      <c r="F77" s="375">
        <v>0</v>
      </c>
      <c r="G77" s="375">
        <v>0</v>
      </c>
      <c r="H77" s="375">
        <v>0</v>
      </c>
      <c r="J77" s="91" t="str">
        <f>Roster!B95</f>
        <v>R</v>
      </c>
      <c r="K77" s="92" t="str">
        <f>Roster!C95</f>
        <v>Kumak</v>
      </c>
      <c r="L77" s="93">
        <f ca="1">Roster!D95</f>
        <v>0</v>
      </c>
      <c r="M77" s="93">
        <f ca="1">Roster!E95</f>
        <v>0</v>
      </c>
      <c r="N77" s="381">
        <f t="shared" ca="1" si="6"/>
        <v>0</v>
      </c>
      <c r="O77" s="93">
        <f t="shared" ca="1" si="7"/>
        <v>0</v>
      </c>
      <c r="P77" s="93">
        <f t="shared" ca="1" si="8"/>
        <v>0</v>
      </c>
      <c r="R77" s="147"/>
      <c r="S77" s="147"/>
      <c r="U77" s="147" t="str">
        <f>Ships!B75</f>
        <v>USS Franklin A</v>
      </c>
      <c r="V77" s="147">
        <f>Ships!E75</f>
        <v>0</v>
      </c>
    </row>
    <row r="78" spans="2:22" x14ac:dyDescent="0.25">
      <c r="B78" s="65" t="s">
        <v>222</v>
      </c>
      <c r="C78" s="61" t="s">
        <v>81</v>
      </c>
      <c r="D78" s="62">
        <v>0</v>
      </c>
      <c r="E78" s="62">
        <v>0</v>
      </c>
      <c r="F78" s="375">
        <v>0</v>
      </c>
      <c r="G78" s="375">
        <v>0</v>
      </c>
      <c r="H78" s="375">
        <v>0</v>
      </c>
      <c r="J78" s="91" t="str">
        <f>Roster!B96</f>
        <v>R</v>
      </c>
      <c r="K78" s="92" t="str">
        <f>Roster!C96</f>
        <v>Kuron</v>
      </c>
      <c r="L78" s="93">
        <f ca="1">Roster!D96</f>
        <v>0</v>
      </c>
      <c r="M78" s="93">
        <f ca="1">Roster!E96</f>
        <v>0</v>
      </c>
      <c r="N78" s="381">
        <f t="shared" ca="1" si="6"/>
        <v>0</v>
      </c>
      <c r="O78" s="93">
        <f t="shared" ca="1" si="7"/>
        <v>0</v>
      </c>
      <c r="P78" s="93">
        <f t="shared" ca="1" si="8"/>
        <v>0</v>
      </c>
      <c r="R78" s="147"/>
      <c r="S78" s="147"/>
      <c r="U78" s="147" t="str">
        <f>Ships!B76</f>
        <v>USS Hydra</v>
      </c>
      <c r="V78" s="147">
        <f>Ships!E76</f>
        <v>0</v>
      </c>
    </row>
    <row r="79" spans="2:22" x14ac:dyDescent="0.25">
      <c r="B79" s="65" t="s">
        <v>220</v>
      </c>
      <c r="C79" s="61" t="s">
        <v>64</v>
      </c>
      <c r="D79" s="62">
        <v>0</v>
      </c>
      <c r="E79" s="62">
        <v>0</v>
      </c>
      <c r="F79" s="375">
        <v>0</v>
      </c>
      <c r="G79" s="375">
        <v>0</v>
      </c>
      <c r="H79" s="375">
        <v>0</v>
      </c>
      <c r="J79" s="91" t="str">
        <f>Roster!B97</f>
        <v>U</v>
      </c>
      <c r="K79" s="92" t="str">
        <f>Roster!C97</f>
        <v>Leslie</v>
      </c>
      <c r="L79" s="93">
        <f ca="1">Roster!D97</f>
        <v>0</v>
      </c>
      <c r="M79" s="93">
        <f ca="1">Roster!E97</f>
        <v>0</v>
      </c>
      <c r="N79" s="381">
        <f t="shared" ca="1" si="6"/>
        <v>0</v>
      </c>
      <c r="O79" s="93">
        <f t="shared" ca="1" si="7"/>
        <v>0</v>
      </c>
      <c r="P79" s="93">
        <f t="shared" ca="1" si="8"/>
        <v>0</v>
      </c>
      <c r="R79" s="147"/>
      <c r="S79" s="147"/>
      <c r="U79" s="147" t="str">
        <f>Ships!B77</f>
        <v>USS Intrepid</v>
      </c>
      <c r="V79" s="147">
        <f>Ships!E77</f>
        <v>0</v>
      </c>
    </row>
    <row r="80" spans="2:22" x14ac:dyDescent="0.25">
      <c r="B80" s="65" t="s">
        <v>218</v>
      </c>
      <c r="C80" s="61" t="s">
        <v>38</v>
      </c>
      <c r="D80" s="62">
        <v>0</v>
      </c>
      <c r="E80" s="62">
        <v>0</v>
      </c>
      <c r="F80" s="375">
        <v>0</v>
      </c>
      <c r="G80" s="375">
        <v>0</v>
      </c>
      <c r="H80" s="375">
        <v>0</v>
      </c>
      <c r="J80" s="91" t="str">
        <f>Roster!B98</f>
        <v>U</v>
      </c>
      <c r="K80" s="92" t="str">
        <f>Roster!C98</f>
        <v>Linkasa</v>
      </c>
      <c r="L80" s="93">
        <f ca="1">Roster!D98</f>
        <v>0</v>
      </c>
      <c r="M80" s="93">
        <f ca="1">Roster!E98</f>
        <v>0</v>
      </c>
      <c r="N80" s="381">
        <f t="shared" ca="1" si="6"/>
        <v>0</v>
      </c>
      <c r="O80" s="93">
        <f t="shared" ca="1" si="7"/>
        <v>0</v>
      </c>
      <c r="P80" s="93">
        <f t="shared" ca="1" si="8"/>
        <v>0</v>
      </c>
      <c r="R80" s="147"/>
      <c r="S80" s="147"/>
      <c r="U80" s="147" t="str">
        <f>Ships!B78</f>
        <v>USS Kelvin</v>
      </c>
      <c r="V80" s="147">
        <f>Ships!E78</f>
        <v>0</v>
      </c>
    </row>
    <row r="81" spans="2:22" x14ac:dyDescent="0.25">
      <c r="B81" s="65" t="s">
        <v>222</v>
      </c>
      <c r="C81" s="61" t="s">
        <v>106</v>
      </c>
      <c r="D81" s="62">
        <v>0</v>
      </c>
      <c r="E81" s="62">
        <v>0</v>
      </c>
      <c r="F81" s="375">
        <v>0</v>
      </c>
      <c r="G81" s="375">
        <v>0</v>
      </c>
      <c r="H81" s="375">
        <v>0</v>
      </c>
      <c r="J81" s="91" t="str">
        <f>Roster!B99</f>
        <v>R</v>
      </c>
      <c r="K81" s="92" t="str">
        <f>Roster!C99</f>
        <v>Livis</v>
      </c>
      <c r="L81" s="93">
        <f ca="1">Roster!D99</f>
        <v>0</v>
      </c>
      <c r="M81" s="93">
        <f ca="1">Roster!E99</f>
        <v>0</v>
      </c>
      <c r="N81" s="381">
        <f t="shared" ca="1" si="6"/>
        <v>0</v>
      </c>
      <c r="O81" s="93">
        <f t="shared" ca="1" si="7"/>
        <v>0</v>
      </c>
      <c r="P81" s="93">
        <f t="shared" ca="1" si="8"/>
        <v>0</v>
      </c>
      <c r="R81" s="147"/>
      <c r="S81" s="147"/>
      <c r="U81" s="147" t="str">
        <f>Ships!B79</f>
        <v>USS Mayflower</v>
      </c>
      <c r="V81" s="147">
        <f>Ships!E79</f>
        <v>0</v>
      </c>
    </row>
    <row r="82" spans="2:22" x14ac:dyDescent="0.25">
      <c r="B82" s="65" t="s">
        <v>220</v>
      </c>
      <c r="C82" s="61" t="s">
        <v>77</v>
      </c>
      <c r="D82" s="62">
        <v>0</v>
      </c>
      <c r="E82" s="62">
        <v>0</v>
      </c>
      <c r="F82" s="375">
        <v>0</v>
      </c>
      <c r="G82" s="375">
        <v>0</v>
      </c>
      <c r="H82" s="375">
        <v>0</v>
      </c>
      <c r="J82" s="91" t="str">
        <f>Roster!B100</f>
        <v>U</v>
      </c>
      <c r="K82" s="92" t="str">
        <f>Roster!C100</f>
        <v>L'Nar</v>
      </c>
      <c r="L82" s="93">
        <f ca="1">Roster!D100</f>
        <v>0</v>
      </c>
      <c r="M82" s="93">
        <f ca="1">Roster!E100</f>
        <v>0</v>
      </c>
      <c r="N82" s="381">
        <f t="shared" ca="1" si="6"/>
        <v>0</v>
      </c>
      <c r="O82" s="93">
        <f t="shared" ca="1" si="7"/>
        <v>0</v>
      </c>
      <c r="P82" s="93">
        <f t="shared" ca="1" si="8"/>
        <v>0</v>
      </c>
      <c r="R82" s="147"/>
      <c r="S82" s="147"/>
      <c r="U82" s="147" t="str">
        <f>Ships!B80</f>
        <v>USS Newton</v>
      </c>
      <c r="V82" s="147">
        <f>Ships!E80</f>
        <v>0</v>
      </c>
    </row>
    <row r="83" spans="2:22" x14ac:dyDescent="0.25">
      <c r="B83" s="65" t="s">
        <v>222</v>
      </c>
      <c r="C83" s="61" t="s">
        <v>50</v>
      </c>
      <c r="D83" s="62">
        <v>0</v>
      </c>
      <c r="E83" s="62">
        <v>0</v>
      </c>
      <c r="F83" s="375">
        <v>0</v>
      </c>
      <c r="G83" s="375">
        <v>0</v>
      </c>
      <c r="H83" s="375">
        <v>0</v>
      </c>
      <c r="J83" s="91" t="str">
        <f>Roster!B101</f>
        <v>E</v>
      </c>
      <c r="K83" s="92" t="str">
        <f>Roster!C101</f>
        <v>Lorca</v>
      </c>
      <c r="L83" s="93">
        <f ca="1">Roster!D101</f>
        <v>0</v>
      </c>
      <c r="M83" s="93">
        <f ca="1">Roster!E101</f>
        <v>0</v>
      </c>
      <c r="N83" s="381">
        <f t="shared" ca="1" si="6"/>
        <v>0</v>
      </c>
      <c r="O83" s="93">
        <f t="shared" ca="1" si="7"/>
        <v>0</v>
      </c>
      <c r="P83" s="93">
        <f t="shared" ca="1" si="8"/>
        <v>0</v>
      </c>
      <c r="R83" s="147"/>
      <c r="S83" s="147"/>
      <c r="U83" s="147" t="str">
        <f>Ships!B81</f>
        <v>USS Northcutt</v>
      </c>
      <c r="V83" s="147">
        <f>Ships!E81</f>
        <v>0</v>
      </c>
    </row>
    <row r="84" spans="2:22" x14ac:dyDescent="0.25">
      <c r="B84" s="65" t="s">
        <v>218</v>
      </c>
      <c r="C84" s="61" t="s">
        <v>57</v>
      </c>
      <c r="D84" s="62">
        <v>0</v>
      </c>
      <c r="E84" s="62">
        <v>0</v>
      </c>
      <c r="F84" s="375">
        <v>0</v>
      </c>
      <c r="G84" s="375">
        <v>0</v>
      </c>
      <c r="H84" s="375">
        <v>0</v>
      </c>
      <c r="J84" s="91" t="str">
        <f>Roster!B102</f>
        <v>U</v>
      </c>
      <c r="K84" s="92" t="str">
        <f>Roster!C102</f>
        <v>Lursa</v>
      </c>
      <c r="L84" s="93">
        <f ca="1">Roster!D102</f>
        <v>0</v>
      </c>
      <c r="M84" s="93">
        <f ca="1">Roster!E102</f>
        <v>0</v>
      </c>
      <c r="N84" s="381">
        <f t="shared" ca="1" si="6"/>
        <v>0</v>
      </c>
      <c r="O84" s="93">
        <f t="shared" ca="1" si="7"/>
        <v>0</v>
      </c>
      <c r="P84" s="93">
        <f t="shared" ca="1" si="8"/>
        <v>0</v>
      </c>
      <c r="R84" s="147"/>
      <c r="S84" s="147"/>
      <c r="U84" s="147" t="str">
        <f>Ships!B82</f>
        <v>USS Saladin</v>
      </c>
      <c r="V84" s="147">
        <f>Ships!E82</f>
        <v>0</v>
      </c>
    </row>
    <row r="85" spans="2:22" x14ac:dyDescent="0.25">
      <c r="B85" s="65" t="s">
        <v>223</v>
      </c>
      <c r="C85" s="61" t="s">
        <v>26</v>
      </c>
      <c r="D85" s="62">
        <v>0</v>
      </c>
      <c r="E85" s="62">
        <v>0</v>
      </c>
      <c r="F85" s="375">
        <v>0</v>
      </c>
      <c r="G85" s="375">
        <v>0</v>
      </c>
      <c r="H85" s="375">
        <v>0</v>
      </c>
      <c r="J85" s="91" t="str">
        <f>Roster!B103</f>
        <v>U</v>
      </c>
      <c r="K85" s="92" t="str">
        <f>Roster!C103</f>
        <v>Mäkinen</v>
      </c>
      <c r="L85" s="93">
        <f ca="1">Roster!D103</f>
        <v>0</v>
      </c>
      <c r="M85" s="93">
        <f ca="1">Roster!E103</f>
        <v>0</v>
      </c>
      <c r="N85" s="381">
        <f t="shared" ca="1" si="6"/>
        <v>0</v>
      </c>
      <c r="O85" s="93">
        <f t="shared" ca="1" si="7"/>
        <v>0</v>
      </c>
      <c r="P85" s="93">
        <f t="shared" ca="1" si="8"/>
        <v>0</v>
      </c>
      <c r="R85" s="147"/>
      <c r="S85" s="147"/>
      <c r="U85" s="147" t="str">
        <f>Ships!B83</f>
        <v>Vahklas</v>
      </c>
      <c r="V85" s="147">
        <f>Ships!E83</f>
        <v>0</v>
      </c>
    </row>
    <row r="86" spans="2:22" x14ac:dyDescent="0.25">
      <c r="B86" s="65" t="s">
        <v>223</v>
      </c>
      <c r="C86" s="61" t="s">
        <v>27</v>
      </c>
      <c r="D86" s="62">
        <v>0</v>
      </c>
      <c r="E86" s="62">
        <v>0</v>
      </c>
      <c r="F86" s="375">
        <v>0</v>
      </c>
      <c r="G86" s="375">
        <v>0</v>
      </c>
      <c r="H86" s="375">
        <v>0</v>
      </c>
      <c r="J86" s="91" t="str">
        <f>Roster!B104</f>
        <v>R</v>
      </c>
      <c r="K86" s="92" t="str">
        <f>Roster!C104</f>
        <v>Mara</v>
      </c>
      <c r="L86" s="93">
        <f ca="1">Roster!D104</f>
        <v>0</v>
      </c>
      <c r="M86" s="93">
        <f ca="1">Roster!E104</f>
        <v>0</v>
      </c>
      <c r="N86" s="381">
        <f t="shared" ca="1" si="6"/>
        <v>0</v>
      </c>
      <c r="O86" s="93">
        <f t="shared" ca="1" si="7"/>
        <v>0</v>
      </c>
      <c r="P86" s="93">
        <f t="shared" ca="1" si="8"/>
        <v>0</v>
      </c>
      <c r="R86" s="530"/>
      <c r="S86" s="530"/>
      <c r="U86" s="147" t="str">
        <f>Ships!B84</f>
        <v>Valdore</v>
      </c>
      <c r="V86" s="147">
        <f>Ships!E84</f>
        <v>0</v>
      </c>
    </row>
    <row r="87" spans="2:22" x14ac:dyDescent="0.25">
      <c r="B87" s="65" t="s">
        <v>218</v>
      </c>
      <c r="C87" s="61" t="s">
        <v>55</v>
      </c>
      <c r="D87" s="62">
        <v>0</v>
      </c>
      <c r="E87" s="62">
        <v>0</v>
      </c>
      <c r="F87" s="375">
        <v>0</v>
      </c>
      <c r="G87" s="375">
        <v>0</v>
      </c>
      <c r="H87" s="375">
        <v>0</v>
      </c>
      <c r="J87" s="91" t="str">
        <f>Roster!B105</f>
        <v>E</v>
      </c>
      <c r="K87" s="92" t="str">
        <f>Roster!C105</f>
        <v>Marcus</v>
      </c>
      <c r="L87" s="93">
        <f ca="1">Roster!D105</f>
        <v>0</v>
      </c>
      <c r="M87" s="93">
        <f ca="1">Roster!E105</f>
        <v>0</v>
      </c>
      <c r="N87" s="381">
        <f t="shared" ca="1" si="6"/>
        <v>0</v>
      </c>
      <c r="O87" s="93">
        <f t="shared" ca="1" si="7"/>
        <v>0</v>
      </c>
      <c r="P87" s="93">
        <f t="shared" ca="1" si="8"/>
        <v>0</v>
      </c>
      <c r="R87" s="530"/>
      <c r="S87" s="530"/>
      <c r="U87" s="147" t="str">
        <f>Ships!B85</f>
        <v>Valkis</v>
      </c>
      <c r="V87" s="147">
        <f>Ships!E85</f>
        <v>0</v>
      </c>
    </row>
    <row r="88" spans="2:22" x14ac:dyDescent="0.25">
      <c r="B88" s="65" t="s">
        <v>220</v>
      </c>
      <c r="C88" s="61" t="s">
        <v>78</v>
      </c>
      <c r="D88" s="62">
        <v>0</v>
      </c>
      <c r="E88" s="62">
        <v>0</v>
      </c>
      <c r="F88" s="375">
        <v>0</v>
      </c>
      <c r="G88" s="375">
        <v>0</v>
      </c>
      <c r="H88" s="375">
        <v>0</v>
      </c>
      <c r="J88" s="91" t="str">
        <f>Roster!B106</f>
        <v>R</v>
      </c>
      <c r="K88" s="92" t="str">
        <f>Roster!C106</f>
        <v>Marla</v>
      </c>
      <c r="L88" s="93">
        <f ca="1">Roster!D106</f>
        <v>0</v>
      </c>
      <c r="M88" s="93">
        <f ca="1">Roster!E106</f>
        <v>0</v>
      </c>
      <c r="N88" s="381">
        <f t="shared" ca="1" si="6"/>
        <v>0</v>
      </c>
      <c r="O88" s="93">
        <f t="shared" ca="1" si="7"/>
        <v>0</v>
      </c>
      <c r="P88" s="93">
        <f t="shared" ca="1" si="8"/>
        <v>0</v>
      </c>
      <c r="R88" s="530"/>
      <c r="S88" s="530"/>
      <c r="U88" s="147" t="str">
        <f>Ships!B86</f>
        <v>Vi'Dar</v>
      </c>
      <c r="V88" s="147">
        <f>Ships!E86</f>
        <v>0</v>
      </c>
    </row>
    <row r="89" spans="2:22" x14ac:dyDescent="0.25">
      <c r="B89" s="65" t="s">
        <v>220</v>
      </c>
      <c r="C89" s="61" t="s">
        <v>90</v>
      </c>
      <c r="D89" s="62">
        <v>0</v>
      </c>
      <c r="E89" s="62">
        <v>0</v>
      </c>
      <c r="F89" s="375">
        <v>0</v>
      </c>
      <c r="G89" s="375">
        <v>0</v>
      </c>
      <c r="H89" s="375">
        <v>0</v>
      </c>
      <c r="J89" s="91" t="str">
        <f>Roster!B107</f>
        <v>R</v>
      </c>
      <c r="K89" s="92" t="str">
        <f>Roster!C107</f>
        <v>Martok</v>
      </c>
      <c r="L89" s="93">
        <f ca="1">Roster!D107</f>
        <v>0</v>
      </c>
      <c r="M89" s="93">
        <f ca="1">Roster!E107</f>
        <v>0</v>
      </c>
      <c r="N89" s="381">
        <f t="shared" ca="1" si="6"/>
        <v>0</v>
      </c>
      <c r="O89" s="93">
        <f t="shared" ca="1" si="7"/>
        <v>0</v>
      </c>
      <c r="P89" s="93">
        <f t="shared" ca="1" si="8"/>
        <v>0</v>
      </c>
      <c r="R89" s="530"/>
      <c r="S89" s="530"/>
      <c r="U89" s="147" t="str">
        <f>Ships!B87</f>
        <v>Vor'Cha</v>
      </c>
      <c r="V89" s="147">
        <f>Ships!E87</f>
        <v>0</v>
      </c>
    </row>
    <row r="90" spans="2:22" x14ac:dyDescent="0.25">
      <c r="B90" s="65" t="s">
        <v>222</v>
      </c>
      <c r="C90" s="61" t="s">
        <v>82</v>
      </c>
      <c r="D90" s="62">
        <v>0</v>
      </c>
      <c r="E90" s="62">
        <v>0</v>
      </c>
      <c r="F90" s="375">
        <v>0</v>
      </c>
      <c r="G90" s="375">
        <v>0</v>
      </c>
      <c r="H90" s="375">
        <v>0</v>
      </c>
      <c r="J90" s="91" t="str">
        <f>Roster!B108</f>
        <v>C</v>
      </c>
      <c r="K90" s="92" t="str">
        <f>Roster!C108</f>
        <v>M'Benga</v>
      </c>
      <c r="L90" s="93">
        <f ca="1">Roster!D108</f>
        <v>0</v>
      </c>
      <c r="M90" s="93">
        <f ca="1">Roster!E108</f>
        <v>0</v>
      </c>
      <c r="N90" s="381">
        <f t="shared" ca="1" si="6"/>
        <v>0</v>
      </c>
      <c r="O90" s="93">
        <f t="shared" ca="1" si="7"/>
        <v>0</v>
      </c>
      <c r="P90" s="93">
        <f t="shared" ca="1" si="8"/>
        <v>0</v>
      </c>
      <c r="R90" s="583"/>
      <c r="S90" s="583"/>
      <c r="U90" s="147" t="str">
        <f>Ships!B88</f>
        <v>Vorta Vor</v>
      </c>
      <c r="V90" s="147">
        <f>Ships!E88</f>
        <v>0</v>
      </c>
    </row>
    <row r="91" spans="2:22" x14ac:dyDescent="0.25">
      <c r="B91" s="65" t="s">
        <v>218</v>
      </c>
      <c r="C91" s="61" t="s">
        <v>76</v>
      </c>
      <c r="D91" s="62">
        <v>0</v>
      </c>
      <c r="E91" s="62">
        <v>0</v>
      </c>
      <c r="F91" s="375">
        <v>0</v>
      </c>
      <c r="G91" s="375">
        <v>0</v>
      </c>
      <c r="H91" s="375">
        <v>0</v>
      </c>
      <c r="J91" s="91" t="str">
        <f>Roster!B109</f>
        <v>E</v>
      </c>
      <c r="K91" s="92" t="str">
        <f>Roster!C109</f>
        <v>Michael Burnham</v>
      </c>
      <c r="L91" s="93">
        <f ca="1">Roster!D109</f>
        <v>0</v>
      </c>
      <c r="M91" s="93">
        <f ca="1">Roster!E109</f>
        <v>0</v>
      </c>
      <c r="N91" s="381">
        <f t="shared" ca="1" si="6"/>
        <v>0</v>
      </c>
      <c r="O91" s="93">
        <f t="shared" ca="1" si="7"/>
        <v>0</v>
      </c>
      <c r="P91" s="93">
        <f t="shared" ca="1" si="8"/>
        <v>0</v>
      </c>
    </row>
    <row r="92" spans="2:22" x14ac:dyDescent="0.25">
      <c r="B92" s="65" t="s">
        <v>220</v>
      </c>
      <c r="C92" s="61" t="s">
        <v>79</v>
      </c>
      <c r="D92" s="62">
        <v>0</v>
      </c>
      <c r="E92" s="62">
        <v>0</v>
      </c>
      <c r="F92" s="375">
        <v>0</v>
      </c>
      <c r="G92" s="375">
        <v>0</v>
      </c>
      <c r="H92" s="375">
        <v>0</v>
      </c>
      <c r="J92" s="91" t="str">
        <f>Roster!B110</f>
        <v>R</v>
      </c>
      <c r="K92" s="92" t="str">
        <f>Roster!C110</f>
        <v>Mirek</v>
      </c>
      <c r="L92" s="93">
        <f ca="1">Roster!D110</f>
        <v>0</v>
      </c>
      <c r="M92" s="93">
        <f ca="1">Roster!E110</f>
        <v>0</v>
      </c>
      <c r="N92" s="381">
        <f t="shared" ca="1" si="6"/>
        <v>0</v>
      </c>
      <c r="O92" s="93">
        <f t="shared" ca="1" si="7"/>
        <v>0</v>
      </c>
      <c r="P92" s="93">
        <f t="shared" ca="1" si="8"/>
        <v>0</v>
      </c>
    </row>
    <row r="93" spans="2:22" x14ac:dyDescent="0.25">
      <c r="B93" s="65" t="s">
        <v>220</v>
      </c>
      <c r="C93" s="61" t="s">
        <v>88</v>
      </c>
      <c r="D93" s="62">
        <v>0</v>
      </c>
      <c r="E93" s="62">
        <v>0</v>
      </c>
      <c r="F93" s="375">
        <v>0</v>
      </c>
      <c r="G93" s="375">
        <v>0</v>
      </c>
      <c r="H93" s="375">
        <v>0</v>
      </c>
      <c r="J93" s="91" t="str">
        <f>Roster!B111</f>
        <v>E</v>
      </c>
      <c r="K93" s="92" t="str">
        <f>Roster!C111</f>
        <v>Mitchell</v>
      </c>
      <c r="L93" s="93">
        <f ca="1">Roster!D111</f>
        <v>0</v>
      </c>
      <c r="M93" s="93">
        <f ca="1">Roster!E111</f>
        <v>0</v>
      </c>
      <c r="N93" s="381">
        <f t="shared" ca="1" si="6"/>
        <v>0</v>
      </c>
      <c r="O93" s="93">
        <f t="shared" ca="1" si="7"/>
        <v>0</v>
      </c>
      <c r="P93" s="93">
        <f t="shared" ca="1" si="8"/>
        <v>0</v>
      </c>
    </row>
    <row r="94" spans="2:22" x14ac:dyDescent="0.25">
      <c r="B94" s="65" t="s">
        <v>223</v>
      </c>
      <c r="C94" s="61" t="s">
        <v>7</v>
      </c>
      <c r="D94" s="62">
        <v>0</v>
      </c>
      <c r="E94" s="62">
        <v>0</v>
      </c>
      <c r="F94" s="375">
        <v>0</v>
      </c>
      <c r="G94" s="375">
        <v>0</v>
      </c>
      <c r="H94" s="375">
        <v>0</v>
      </c>
      <c r="J94" s="91" t="str">
        <f>Roster!B112</f>
        <v>R</v>
      </c>
      <c r="K94" s="92" t="str">
        <f>Roster!C112</f>
        <v>Moreau</v>
      </c>
      <c r="L94" s="93">
        <f ca="1">Roster!D112</f>
        <v>0</v>
      </c>
      <c r="M94" s="93">
        <f ca="1">Roster!E112</f>
        <v>0</v>
      </c>
      <c r="N94" s="381">
        <f t="shared" ca="1" si="6"/>
        <v>0</v>
      </c>
      <c r="O94" s="93">
        <f t="shared" ca="1" si="7"/>
        <v>0</v>
      </c>
      <c r="P94" s="93">
        <f t="shared" ca="1" si="8"/>
        <v>0</v>
      </c>
    </row>
    <row r="95" spans="2:22" x14ac:dyDescent="0.25">
      <c r="B95" s="65" t="s">
        <v>220</v>
      </c>
      <c r="C95" s="61" t="s">
        <v>87</v>
      </c>
      <c r="D95" s="62">
        <v>0</v>
      </c>
      <c r="E95" s="62">
        <v>0</v>
      </c>
      <c r="F95" s="375">
        <v>0</v>
      </c>
      <c r="G95" s="375">
        <v>0</v>
      </c>
      <c r="H95" s="375">
        <v>0</v>
      </c>
      <c r="J95" s="91" t="str">
        <f>Roster!B113</f>
        <v>U</v>
      </c>
      <c r="K95" s="92" t="str">
        <f>Roster!C113</f>
        <v>M'Ral</v>
      </c>
      <c r="L95" s="93">
        <f ca="1">Roster!D113</f>
        <v>0</v>
      </c>
      <c r="M95" s="93">
        <f ca="1">Roster!E113</f>
        <v>0</v>
      </c>
      <c r="N95" s="381">
        <f t="shared" ca="1" si="6"/>
        <v>0</v>
      </c>
      <c r="O95" s="93">
        <f t="shared" ca="1" si="7"/>
        <v>0</v>
      </c>
      <c r="P95" s="93">
        <f t="shared" ca="1" si="8"/>
        <v>0</v>
      </c>
    </row>
    <row r="96" spans="2:22" x14ac:dyDescent="0.25">
      <c r="B96" s="65" t="s">
        <v>218</v>
      </c>
      <c r="C96" s="61" t="s">
        <v>39</v>
      </c>
      <c r="D96" s="62">
        <v>0</v>
      </c>
      <c r="E96" s="62">
        <v>0</v>
      </c>
      <c r="F96" s="375">
        <v>0</v>
      </c>
      <c r="G96" s="375">
        <v>0</v>
      </c>
      <c r="H96" s="375">
        <v>0</v>
      </c>
      <c r="J96" s="91" t="str">
        <f>Roster!B114</f>
        <v>E</v>
      </c>
      <c r="K96" s="92" t="str">
        <f>Roster!C114</f>
        <v>Mudd</v>
      </c>
      <c r="L96" s="93">
        <f ca="1">Roster!D114</f>
        <v>0</v>
      </c>
      <c r="M96" s="93">
        <f ca="1">Roster!E114</f>
        <v>0</v>
      </c>
      <c r="N96" s="381">
        <f t="shared" ca="1" si="6"/>
        <v>0</v>
      </c>
      <c r="O96" s="93">
        <f t="shared" ca="1" si="7"/>
        <v>0</v>
      </c>
      <c r="P96" s="93">
        <f t="shared" ca="1" si="8"/>
        <v>0</v>
      </c>
    </row>
    <row r="97" spans="2:16" x14ac:dyDescent="0.25">
      <c r="B97" s="65" t="s">
        <v>223</v>
      </c>
      <c r="C97" s="61" t="s">
        <v>92</v>
      </c>
      <c r="D97" s="62">
        <v>0</v>
      </c>
      <c r="E97" s="62">
        <v>0</v>
      </c>
      <c r="F97" s="375">
        <v>0</v>
      </c>
      <c r="G97" s="375">
        <v>0</v>
      </c>
      <c r="H97" s="375">
        <v>0</v>
      </c>
      <c r="J97" s="91" t="str">
        <f>Roster!B115</f>
        <v>R</v>
      </c>
      <c r="K97" s="92" t="str">
        <f>Roster!C115</f>
        <v>Navi</v>
      </c>
      <c r="L97" s="93">
        <f ca="1">Roster!D115</f>
        <v>0</v>
      </c>
      <c r="M97" s="93">
        <f ca="1">Roster!E115</f>
        <v>0</v>
      </c>
      <c r="N97" s="381">
        <f t="shared" ca="1" si="6"/>
        <v>0</v>
      </c>
      <c r="O97" s="93">
        <f t="shared" ca="1" si="7"/>
        <v>0</v>
      </c>
      <c r="P97" s="93">
        <f t="shared" ca="1" si="8"/>
        <v>0</v>
      </c>
    </row>
    <row r="98" spans="2:16" x14ac:dyDescent="0.25">
      <c r="B98" s="65" t="s">
        <v>218</v>
      </c>
      <c r="C98" s="61" t="s">
        <v>74</v>
      </c>
      <c r="D98" s="62">
        <v>0</v>
      </c>
      <c r="E98" s="62">
        <v>0</v>
      </c>
      <c r="F98" s="375">
        <v>0</v>
      </c>
      <c r="G98" s="375">
        <v>0</v>
      </c>
      <c r="H98" s="375">
        <v>0</v>
      </c>
      <c r="J98" s="91" t="str">
        <f>Roster!B116</f>
        <v>E</v>
      </c>
      <c r="K98" s="92" t="str">
        <f>Roster!C116</f>
        <v>Nero</v>
      </c>
      <c r="L98" s="93">
        <f ca="1">Roster!D116</f>
        <v>0</v>
      </c>
      <c r="M98" s="93">
        <f ca="1">Roster!E116</f>
        <v>0</v>
      </c>
      <c r="N98" s="381">
        <f t="shared" ca="1" si="6"/>
        <v>0</v>
      </c>
      <c r="O98" s="93">
        <f t="shared" ca="1" si="7"/>
        <v>0</v>
      </c>
      <c r="P98" s="93">
        <f t="shared" ca="1" si="8"/>
        <v>0</v>
      </c>
    </row>
    <row r="99" spans="2:16" x14ac:dyDescent="0.25">
      <c r="B99" s="65" t="s">
        <v>223</v>
      </c>
      <c r="C99" s="61" t="s">
        <v>8</v>
      </c>
      <c r="D99" s="62">
        <v>0</v>
      </c>
      <c r="E99" s="62">
        <v>0</v>
      </c>
      <c r="F99" s="375">
        <v>0</v>
      </c>
      <c r="G99" s="375">
        <v>0</v>
      </c>
      <c r="H99" s="375">
        <v>0</v>
      </c>
      <c r="J99" s="91" t="str">
        <f>Roster!B117</f>
        <v>C</v>
      </c>
      <c r="K99" s="92" t="str">
        <f>Roster!C117</f>
        <v>Next Gen Crusher</v>
      </c>
      <c r="L99" s="93">
        <f ca="1">Roster!D117</f>
        <v>0</v>
      </c>
      <c r="M99" s="93">
        <f ca="1">Roster!E117</f>
        <v>0</v>
      </c>
      <c r="N99" s="381">
        <f t="shared" ca="1" si="6"/>
        <v>0</v>
      </c>
      <c r="O99" s="93">
        <f t="shared" ca="1" si="7"/>
        <v>0</v>
      </c>
      <c r="P99" s="93">
        <f t="shared" ca="1" si="8"/>
        <v>0</v>
      </c>
    </row>
    <row r="100" spans="2:16" x14ac:dyDescent="0.25">
      <c r="B100" s="65" t="s">
        <v>220</v>
      </c>
      <c r="C100" s="61" t="s">
        <v>23</v>
      </c>
      <c r="D100" s="62">
        <v>0</v>
      </c>
      <c r="E100" s="62">
        <v>0</v>
      </c>
      <c r="F100" s="375">
        <v>0</v>
      </c>
      <c r="G100" s="375">
        <v>0</v>
      </c>
      <c r="H100" s="375">
        <v>0</v>
      </c>
      <c r="J100" s="91" t="str">
        <f>Roster!B118</f>
        <v>C</v>
      </c>
      <c r="K100" s="92" t="str">
        <f>Roster!C118</f>
        <v>Next Gen Data</v>
      </c>
      <c r="L100" s="93">
        <f ca="1">Roster!D118</f>
        <v>0</v>
      </c>
      <c r="M100" s="93">
        <f ca="1">Roster!E118</f>
        <v>0</v>
      </c>
      <c r="N100" s="381">
        <f t="shared" ca="1" si="6"/>
        <v>0</v>
      </c>
      <c r="O100" s="93">
        <f t="shared" ca="1" si="7"/>
        <v>0</v>
      </c>
      <c r="P100" s="93">
        <f t="shared" ca="1" si="8"/>
        <v>0</v>
      </c>
    </row>
    <row r="101" spans="2:16" x14ac:dyDescent="0.25">
      <c r="B101" s="65" t="s">
        <v>220</v>
      </c>
      <c r="C101" s="61" t="s">
        <v>24</v>
      </c>
      <c r="D101" s="62">
        <v>0</v>
      </c>
      <c r="E101" s="62">
        <v>0</v>
      </c>
      <c r="F101" s="375">
        <v>0</v>
      </c>
      <c r="G101" s="375">
        <v>0</v>
      </c>
      <c r="H101" s="375">
        <v>0</v>
      </c>
      <c r="J101" s="91" t="str">
        <f>Roster!B119</f>
        <v>C</v>
      </c>
      <c r="K101" s="92" t="str">
        <f>Roster!C119</f>
        <v>Next Gen La Forge</v>
      </c>
      <c r="L101" s="93">
        <f ca="1">Roster!D119</f>
        <v>0</v>
      </c>
      <c r="M101" s="93">
        <f ca="1">Roster!E119</f>
        <v>0</v>
      </c>
      <c r="N101" s="381">
        <f t="shared" ca="1" si="6"/>
        <v>0</v>
      </c>
      <c r="O101" s="93">
        <f t="shared" ca="1" si="7"/>
        <v>0</v>
      </c>
      <c r="P101" s="93">
        <f t="shared" ca="1" si="8"/>
        <v>0</v>
      </c>
    </row>
    <row r="102" spans="2:16" x14ac:dyDescent="0.25">
      <c r="B102" s="65" t="s">
        <v>218</v>
      </c>
      <c r="C102" s="61" t="s">
        <v>30</v>
      </c>
      <c r="D102" s="62">
        <v>0</v>
      </c>
      <c r="E102" s="62">
        <v>0</v>
      </c>
      <c r="F102" s="375">
        <v>0</v>
      </c>
      <c r="G102" s="375">
        <v>0</v>
      </c>
      <c r="H102" s="375">
        <v>0</v>
      </c>
      <c r="J102" s="91" t="str">
        <f>Roster!B120</f>
        <v>C</v>
      </c>
      <c r="K102" s="92" t="str">
        <f>Roster!C120</f>
        <v>Next Gen Riker</v>
      </c>
      <c r="L102" s="93">
        <f ca="1">Roster!D120</f>
        <v>0</v>
      </c>
      <c r="M102" s="93">
        <f ca="1">Roster!E120</f>
        <v>0</v>
      </c>
      <c r="N102" s="381">
        <f t="shared" ca="1" si="6"/>
        <v>0</v>
      </c>
      <c r="O102" s="93">
        <f t="shared" ca="1" si="7"/>
        <v>0</v>
      </c>
      <c r="P102" s="93">
        <f t="shared" ca="1" si="8"/>
        <v>0</v>
      </c>
    </row>
    <row r="103" spans="2:16" x14ac:dyDescent="0.25">
      <c r="B103" s="65" t="s">
        <v>220</v>
      </c>
      <c r="C103" s="61" t="s">
        <v>101</v>
      </c>
      <c r="D103" s="62">
        <v>0</v>
      </c>
      <c r="E103" s="62">
        <v>0</v>
      </c>
      <c r="F103" s="375">
        <v>0</v>
      </c>
      <c r="G103" s="375">
        <v>0</v>
      </c>
      <c r="H103" s="375">
        <v>0</v>
      </c>
      <c r="J103" s="91" t="str">
        <f>Roster!B121</f>
        <v>C</v>
      </c>
      <c r="K103" s="92" t="str">
        <f>Roster!C121</f>
        <v>Next Gen Troi</v>
      </c>
      <c r="L103" s="93">
        <f ca="1">Roster!D121</f>
        <v>0</v>
      </c>
      <c r="M103" s="93">
        <f ca="1">Roster!E121</f>
        <v>0</v>
      </c>
      <c r="N103" s="381">
        <f t="shared" ca="1" si="6"/>
        <v>0</v>
      </c>
      <c r="O103" s="93">
        <f t="shared" ca="1" si="7"/>
        <v>0</v>
      </c>
      <c r="P103" s="93">
        <f t="shared" ca="1" si="8"/>
        <v>0</v>
      </c>
    </row>
    <row r="104" spans="2:16" x14ac:dyDescent="0.25">
      <c r="B104" s="65" t="s">
        <v>218</v>
      </c>
      <c r="C104" s="61" t="s">
        <v>75</v>
      </c>
      <c r="D104" s="62">
        <v>0</v>
      </c>
      <c r="E104" s="62">
        <v>0</v>
      </c>
      <c r="F104" s="375">
        <v>0</v>
      </c>
      <c r="G104" s="375">
        <v>0</v>
      </c>
      <c r="H104" s="375">
        <v>0</v>
      </c>
      <c r="J104" s="91" t="str">
        <f>Roster!B122</f>
        <v>U</v>
      </c>
      <c r="K104" s="92" t="str">
        <f>Roster!C122</f>
        <v>Nine Of Eleven</v>
      </c>
      <c r="L104" s="93">
        <f ca="1">Roster!D122</f>
        <v>0</v>
      </c>
      <c r="M104" s="93">
        <f ca="1">Roster!E122</f>
        <v>0</v>
      </c>
      <c r="N104" s="381">
        <f t="shared" ca="1" si="6"/>
        <v>0</v>
      </c>
      <c r="O104" s="93">
        <f t="shared" ca="1" si="7"/>
        <v>0</v>
      </c>
      <c r="P104" s="93">
        <f t="shared" ca="1" si="8"/>
        <v>0</v>
      </c>
    </row>
    <row r="105" spans="2:16" x14ac:dyDescent="0.25">
      <c r="B105" s="65" t="s">
        <v>223</v>
      </c>
      <c r="C105" s="61" t="s">
        <v>72</v>
      </c>
      <c r="D105" s="62">
        <v>0</v>
      </c>
      <c r="E105" s="62">
        <v>0</v>
      </c>
      <c r="F105" s="375">
        <v>0</v>
      </c>
      <c r="G105" s="375">
        <v>0</v>
      </c>
      <c r="H105" s="375">
        <v>0</v>
      </c>
      <c r="J105" s="91" t="str">
        <f>Roster!B123</f>
        <v>R</v>
      </c>
      <c r="K105" s="92" t="str">
        <f>Roster!C123</f>
        <v>One Of Eleven</v>
      </c>
      <c r="L105" s="93">
        <f ca="1">Roster!D123</f>
        <v>0</v>
      </c>
      <c r="M105" s="93">
        <f ca="1">Roster!E123</f>
        <v>0</v>
      </c>
      <c r="N105" s="381">
        <f t="shared" ca="1" si="6"/>
        <v>0</v>
      </c>
      <c r="O105" s="93">
        <f t="shared" ca="1" si="7"/>
        <v>0</v>
      </c>
      <c r="P105" s="93">
        <f t="shared" ca="1" si="8"/>
        <v>0</v>
      </c>
    </row>
    <row r="106" spans="2:16" x14ac:dyDescent="0.25">
      <c r="B106" s="65" t="s">
        <v>223</v>
      </c>
      <c r="C106" s="61" t="s">
        <v>9</v>
      </c>
      <c r="D106" s="62">
        <v>0</v>
      </c>
      <c r="E106" s="62">
        <v>0</v>
      </c>
      <c r="F106" s="375">
        <v>0</v>
      </c>
      <c r="G106" s="375">
        <v>0</v>
      </c>
      <c r="H106" s="375">
        <v>0</v>
      </c>
      <c r="J106" s="91" t="str">
        <f>Roster!B124</f>
        <v>U</v>
      </c>
      <c r="K106" s="92" t="str">
        <f>Roster!C124</f>
        <v>Origins Burnham</v>
      </c>
      <c r="L106" s="93">
        <f ca="1">Roster!D124</f>
        <v>0</v>
      </c>
      <c r="M106" s="93">
        <f ca="1">Roster!E124</f>
        <v>0</v>
      </c>
      <c r="N106" s="381">
        <f t="shared" ca="1" si="6"/>
        <v>0</v>
      </c>
      <c r="O106" s="93">
        <f t="shared" ca="1" si="7"/>
        <v>0</v>
      </c>
      <c r="P106" s="93">
        <f t="shared" ca="1" si="8"/>
        <v>0</v>
      </c>
    </row>
    <row r="107" spans="2:16" x14ac:dyDescent="0.25">
      <c r="B107" s="65" t="s">
        <v>222</v>
      </c>
      <c r="C107" s="61" t="s">
        <v>252</v>
      </c>
      <c r="D107" s="62">
        <v>0</v>
      </c>
      <c r="E107" s="62">
        <v>0</v>
      </c>
      <c r="F107" s="375">
        <v>0</v>
      </c>
      <c r="G107" s="375">
        <v>0</v>
      </c>
      <c r="H107" s="375">
        <v>0</v>
      </c>
      <c r="J107" s="91" t="str">
        <f>Roster!B125</f>
        <v>C</v>
      </c>
      <c r="K107" s="92" t="str">
        <f>Roster!C125</f>
        <v>Origins Saru</v>
      </c>
      <c r="L107" s="93">
        <f ca="1">Roster!D125</f>
        <v>0</v>
      </c>
      <c r="M107" s="93">
        <f ca="1">Roster!E125</f>
        <v>0</v>
      </c>
      <c r="N107" s="381">
        <f t="shared" ca="1" si="6"/>
        <v>0</v>
      </c>
      <c r="O107" s="93">
        <f t="shared" ca="1" si="7"/>
        <v>0</v>
      </c>
      <c r="P107" s="93">
        <f t="shared" ca="1" si="8"/>
        <v>0</v>
      </c>
    </row>
    <row r="108" spans="2:16" x14ac:dyDescent="0.25">
      <c r="B108" s="65" t="s">
        <v>220</v>
      </c>
      <c r="C108" s="61" t="s">
        <v>257</v>
      </c>
      <c r="D108" s="62">
        <v>0</v>
      </c>
      <c r="E108" s="62">
        <v>0</v>
      </c>
      <c r="F108" s="375">
        <v>0</v>
      </c>
      <c r="G108" s="375">
        <v>0</v>
      </c>
      <c r="H108" s="375">
        <v>0</v>
      </c>
      <c r="J108" s="91" t="str">
        <f>Roster!B126</f>
        <v>C</v>
      </c>
      <c r="K108" s="92" t="str">
        <f>Roster!C126</f>
        <v>Origins Stamets</v>
      </c>
      <c r="L108" s="93">
        <f ca="1">Roster!D126</f>
        <v>0</v>
      </c>
      <c r="M108" s="93">
        <f ca="1">Roster!E126</f>
        <v>0</v>
      </c>
      <c r="N108" s="381">
        <f t="shared" ca="1" si="6"/>
        <v>0</v>
      </c>
      <c r="O108" s="93">
        <f t="shared" ca="1" si="7"/>
        <v>0</v>
      </c>
      <c r="P108" s="93">
        <f t="shared" ca="1" si="8"/>
        <v>0</v>
      </c>
    </row>
    <row r="109" spans="2:16" x14ac:dyDescent="0.25">
      <c r="B109" s="65" t="s">
        <v>222</v>
      </c>
      <c r="C109" s="61" t="s">
        <v>253</v>
      </c>
      <c r="D109" s="62">
        <v>0</v>
      </c>
      <c r="E109" s="62">
        <v>0</v>
      </c>
      <c r="F109" s="375">
        <v>0</v>
      </c>
      <c r="G109" s="375">
        <v>0</v>
      </c>
      <c r="H109" s="375">
        <v>0</v>
      </c>
      <c r="J109" s="91" t="str">
        <f>Roster!B127</f>
        <v>U</v>
      </c>
      <c r="K109" s="92" t="str">
        <f>Roster!C127</f>
        <v>Otto</v>
      </c>
      <c r="L109" s="93">
        <f ca="1">Roster!D127</f>
        <v>0</v>
      </c>
      <c r="M109" s="93">
        <f ca="1">Roster!E127</f>
        <v>0</v>
      </c>
      <c r="N109" s="381">
        <f t="shared" ca="1" si="6"/>
        <v>0</v>
      </c>
      <c r="O109" s="93">
        <f t="shared" ca="1" si="7"/>
        <v>0</v>
      </c>
      <c r="P109" s="93">
        <f t="shared" ca="1" si="8"/>
        <v>0</v>
      </c>
    </row>
    <row r="110" spans="2:16" x14ac:dyDescent="0.25">
      <c r="B110" s="65" t="s">
        <v>220</v>
      </c>
      <c r="C110" s="61" t="s">
        <v>25</v>
      </c>
      <c r="D110" s="62">
        <v>0</v>
      </c>
      <c r="E110" s="62">
        <v>0</v>
      </c>
      <c r="F110" s="375">
        <v>0</v>
      </c>
      <c r="G110" s="375">
        <v>0</v>
      </c>
      <c r="H110" s="375">
        <v>0</v>
      </c>
      <c r="J110" s="91" t="str">
        <f>Roster!B128</f>
        <v>R</v>
      </c>
      <c r="K110" s="92" t="str">
        <f>Roster!C128</f>
        <v>Pan</v>
      </c>
      <c r="L110" s="93">
        <f ca="1">Roster!D128</f>
        <v>0</v>
      </c>
      <c r="M110" s="93">
        <f ca="1">Roster!E128</f>
        <v>0</v>
      </c>
      <c r="N110" s="381">
        <f t="shared" ca="1" si="6"/>
        <v>0</v>
      </c>
      <c r="O110" s="93">
        <f t="shared" ca="1" si="7"/>
        <v>0</v>
      </c>
      <c r="P110" s="93">
        <f t="shared" ca="1" si="8"/>
        <v>0</v>
      </c>
    </row>
    <row r="111" spans="2:16" x14ac:dyDescent="0.25">
      <c r="B111" s="65" t="s">
        <v>220</v>
      </c>
      <c r="C111" s="61" t="s">
        <v>89</v>
      </c>
      <c r="D111" s="62">
        <v>0</v>
      </c>
      <c r="E111" s="62">
        <v>0</v>
      </c>
      <c r="F111" s="375">
        <v>0</v>
      </c>
      <c r="G111" s="375">
        <v>0</v>
      </c>
      <c r="H111" s="375">
        <v>0</v>
      </c>
      <c r="J111" s="91" t="str">
        <f>Roster!B129</f>
        <v>R</v>
      </c>
      <c r="K111" s="92" t="str">
        <f>Roster!C129</f>
        <v>Paul Stamets</v>
      </c>
      <c r="L111" s="93">
        <f ca="1">Roster!D129</f>
        <v>0</v>
      </c>
      <c r="M111" s="93">
        <f ca="1">Roster!E129</f>
        <v>0</v>
      </c>
      <c r="N111" s="381">
        <f t="shared" ca="1" si="6"/>
        <v>0</v>
      </c>
      <c r="O111" s="93">
        <f t="shared" ca="1" si="7"/>
        <v>0</v>
      </c>
      <c r="P111" s="93">
        <f t="shared" ca="1" si="8"/>
        <v>0</v>
      </c>
    </row>
    <row r="112" spans="2:16" x14ac:dyDescent="0.25">
      <c r="B112" s="65" t="s">
        <v>220</v>
      </c>
      <c r="C112" s="61" t="s">
        <v>21</v>
      </c>
      <c r="D112" s="62">
        <v>0</v>
      </c>
      <c r="E112" s="62">
        <v>0</v>
      </c>
      <c r="F112" s="375">
        <v>0</v>
      </c>
      <c r="G112" s="375">
        <v>0</v>
      </c>
      <c r="H112" s="375">
        <v>0</v>
      </c>
      <c r="J112" s="91" t="str">
        <f>Roster!B130</f>
        <v>E</v>
      </c>
      <c r="K112" s="92" t="str">
        <f>Roster!C130</f>
        <v>Pike</v>
      </c>
      <c r="L112" s="93">
        <f ca="1">Roster!D130</f>
        <v>0</v>
      </c>
      <c r="M112" s="93">
        <f ca="1">Roster!E130</f>
        <v>0</v>
      </c>
      <c r="N112" s="381">
        <f t="shared" ca="1" si="6"/>
        <v>0</v>
      </c>
      <c r="O112" s="93">
        <f t="shared" ca="1" si="7"/>
        <v>0</v>
      </c>
      <c r="P112" s="93">
        <f t="shared" ca="1" si="8"/>
        <v>0</v>
      </c>
    </row>
    <row r="113" spans="2:16" x14ac:dyDescent="0.25">
      <c r="B113" s="65" t="s">
        <v>223</v>
      </c>
      <c r="C113" s="61" t="s">
        <v>10</v>
      </c>
      <c r="D113" s="62">
        <v>0</v>
      </c>
      <c r="E113" s="62">
        <v>0</v>
      </c>
      <c r="F113" s="375">
        <v>0</v>
      </c>
      <c r="G113" s="375">
        <v>0</v>
      </c>
      <c r="H113" s="375">
        <v>0</v>
      </c>
      <c r="J113" s="91" t="str">
        <f>Roster!B131</f>
        <v>U</v>
      </c>
      <c r="K113" s="92" t="str">
        <f>Roster!C131</f>
        <v>Qa'Ug</v>
      </c>
      <c r="L113" s="93">
        <f ca="1">Roster!D131</f>
        <v>0</v>
      </c>
      <c r="M113" s="93">
        <f ca="1">Roster!E131</f>
        <v>0</v>
      </c>
      <c r="N113" s="381">
        <f t="shared" ca="1" si="6"/>
        <v>0</v>
      </c>
      <c r="O113" s="93">
        <f t="shared" ca="1" si="7"/>
        <v>0</v>
      </c>
      <c r="P113" s="93">
        <f t="shared" ca="1" si="8"/>
        <v>0</v>
      </c>
    </row>
    <row r="114" spans="2:16" x14ac:dyDescent="0.25">
      <c r="B114" s="65" t="s">
        <v>223</v>
      </c>
      <c r="C114" s="61" t="s">
        <v>12</v>
      </c>
      <c r="D114" s="62">
        <v>0</v>
      </c>
      <c r="E114" s="62">
        <v>0</v>
      </c>
      <c r="F114" s="375">
        <v>0</v>
      </c>
      <c r="G114" s="375">
        <v>0</v>
      </c>
      <c r="H114" s="375">
        <v>0</v>
      </c>
      <c r="J114" s="91" t="str">
        <f>Roster!B132</f>
        <v>E</v>
      </c>
      <c r="K114" s="92" t="str">
        <f>Roster!C132</f>
        <v>Quark</v>
      </c>
      <c r="L114" s="93">
        <f ca="1">Roster!D132</f>
        <v>0</v>
      </c>
      <c r="M114" s="93">
        <f ca="1">Roster!E132</f>
        <v>0</v>
      </c>
      <c r="N114" s="381">
        <f t="shared" ca="1" si="6"/>
        <v>0</v>
      </c>
      <c r="O114" s="93">
        <f t="shared" ca="1" si="7"/>
        <v>0</v>
      </c>
      <c r="P114" s="93">
        <f t="shared" ca="1" si="8"/>
        <v>0</v>
      </c>
    </row>
    <row r="115" spans="2:16" x14ac:dyDescent="0.25">
      <c r="B115" s="65" t="s">
        <v>218</v>
      </c>
      <c r="C115" s="61" t="s">
        <v>40</v>
      </c>
      <c r="D115" s="62">
        <v>0</v>
      </c>
      <c r="E115" s="62">
        <v>0</v>
      </c>
      <c r="F115" s="375">
        <v>0</v>
      </c>
      <c r="G115" s="375">
        <v>0</v>
      </c>
      <c r="H115" s="375">
        <v>0</v>
      </c>
      <c r="J115" s="91" t="str">
        <f>Roster!B133</f>
        <v>R</v>
      </c>
      <c r="K115" s="92" t="str">
        <f>Roster!C133</f>
        <v>Rima</v>
      </c>
      <c r="L115" s="93">
        <f ca="1">Roster!D133</f>
        <v>0</v>
      </c>
      <c r="M115" s="93">
        <f ca="1">Roster!E133</f>
        <v>0</v>
      </c>
      <c r="N115" s="381">
        <f t="shared" ca="1" si="6"/>
        <v>0</v>
      </c>
      <c r="O115" s="93">
        <f t="shared" ca="1" si="7"/>
        <v>0</v>
      </c>
      <c r="P115" s="93">
        <f t="shared" ca="1" si="8"/>
        <v>0</v>
      </c>
    </row>
    <row r="116" spans="2:16" x14ac:dyDescent="0.25">
      <c r="B116" s="65" t="s">
        <v>220</v>
      </c>
      <c r="C116" s="61" t="s">
        <v>46</v>
      </c>
      <c r="D116" s="62">
        <v>0</v>
      </c>
      <c r="E116" s="62">
        <v>0</v>
      </c>
      <c r="F116" s="375">
        <v>0</v>
      </c>
      <c r="G116" s="375">
        <v>0</v>
      </c>
      <c r="H116" s="375">
        <v>0</v>
      </c>
      <c r="J116" s="91" t="str">
        <f>Roster!B134</f>
        <v>R</v>
      </c>
      <c r="K116" s="92" t="str">
        <f>Roster!C134</f>
        <v>Ro Mudd</v>
      </c>
      <c r="L116" s="93">
        <f ca="1">Roster!D134</f>
        <v>0</v>
      </c>
      <c r="M116" s="93">
        <f ca="1">Roster!E134</f>
        <v>0</v>
      </c>
      <c r="N116" s="381">
        <f t="shared" ca="1" si="6"/>
        <v>0</v>
      </c>
      <c r="O116" s="93">
        <f t="shared" ca="1" si="7"/>
        <v>0</v>
      </c>
      <c r="P116" s="93">
        <f t="shared" ca="1" si="8"/>
        <v>0</v>
      </c>
    </row>
    <row r="117" spans="2:16" x14ac:dyDescent="0.25">
      <c r="B117" s="65" t="s">
        <v>218</v>
      </c>
      <c r="C117" s="61" t="s">
        <v>33</v>
      </c>
      <c r="D117" s="62">
        <v>0</v>
      </c>
      <c r="E117" s="62">
        <v>0</v>
      </c>
      <c r="F117" s="375">
        <v>0</v>
      </c>
      <c r="G117" s="375">
        <v>0</v>
      </c>
      <c r="H117" s="375">
        <v>0</v>
      </c>
      <c r="J117" s="91" t="str">
        <f>Roster!B135</f>
        <v>E</v>
      </c>
      <c r="K117" s="92" t="str">
        <f>Roster!C135</f>
        <v>Rom</v>
      </c>
      <c r="L117" s="93">
        <f ca="1">Roster!D135</f>
        <v>0</v>
      </c>
      <c r="M117" s="93">
        <f ca="1">Roster!E135</f>
        <v>0</v>
      </c>
      <c r="N117" s="381">
        <f t="shared" ca="1" si="6"/>
        <v>0</v>
      </c>
      <c r="O117" s="93">
        <f t="shared" ca="1" si="7"/>
        <v>0</v>
      </c>
      <c r="P117" s="93">
        <f t="shared" ca="1" si="8"/>
        <v>0</v>
      </c>
    </row>
    <row r="118" spans="2:16" x14ac:dyDescent="0.25">
      <c r="B118" s="65" t="s">
        <v>218</v>
      </c>
      <c r="C118" s="61" t="s">
        <v>41</v>
      </c>
      <c r="D118" s="62">
        <v>0</v>
      </c>
      <c r="E118" s="62">
        <v>0</v>
      </c>
      <c r="F118" s="375">
        <v>0</v>
      </c>
      <c r="G118" s="375">
        <v>0</v>
      </c>
      <c r="H118" s="375">
        <v>0</v>
      </c>
      <c r="J118" s="91" t="str">
        <f>Roster!B136</f>
        <v>C</v>
      </c>
      <c r="K118" s="92" t="str">
        <f>Roster!C136</f>
        <v>Rukor</v>
      </c>
      <c r="L118" s="93">
        <f ca="1">Roster!D136</f>
        <v>0</v>
      </c>
      <c r="M118" s="93">
        <f ca="1">Roster!E136</f>
        <v>0</v>
      </c>
      <c r="N118" s="381">
        <f t="shared" ca="1" si="6"/>
        <v>0</v>
      </c>
      <c r="O118" s="93">
        <f t="shared" ca="1" si="7"/>
        <v>0</v>
      </c>
      <c r="P118" s="93">
        <f t="shared" ca="1" si="8"/>
        <v>0</v>
      </c>
    </row>
    <row r="119" spans="2:16" x14ac:dyDescent="0.25">
      <c r="B119" s="65" t="s">
        <v>218</v>
      </c>
      <c r="C119" s="61" t="s">
        <v>53</v>
      </c>
      <c r="D119" s="62">
        <v>0</v>
      </c>
      <c r="E119" s="62">
        <v>0</v>
      </c>
      <c r="F119" s="375">
        <v>0</v>
      </c>
      <c r="G119" s="375">
        <v>0</v>
      </c>
      <c r="H119" s="375">
        <v>0</v>
      </c>
      <c r="J119" s="91" t="str">
        <f>Roster!B137</f>
        <v>R</v>
      </c>
      <c r="K119" s="92" t="str">
        <f>Roster!C137</f>
        <v>Saru</v>
      </c>
      <c r="L119" s="93">
        <f ca="1">Roster!D137</f>
        <v>0</v>
      </c>
      <c r="M119" s="93">
        <f ca="1">Roster!E137</f>
        <v>0</v>
      </c>
      <c r="N119" s="381">
        <f t="shared" ca="1" si="6"/>
        <v>0</v>
      </c>
      <c r="O119" s="93">
        <f t="shared" ca="1" si="7"/>
        <v>0</v>
      </c>
      <c r="P119" s="93">
        <f t="shared" ca="1" si="8"/>
        <v>0</v>
      </c>
    </row>
    <row r="120" spans="2:16" x14ac:dyDescent="0.25">
      <c r="B120" s="65" t="s">
        <v>220</v>
      </c>
      <c r="C120" s="61" t="s">
        <v>65</v>
      </c>
      <c r="D120" s="62">
        <v>0</v>
      </c>
      <c r="E120" s="62">
        <v>0</v>
      </c>
      <c r="F120" s="375">
        <v>0</v>
      </c>
      <c r="G120" s="375">
        <v>0</v>
      </c>
      <c r="H120" s="375">
        <v>0</v>
      </c>
      <c r="J120" s="91" t="str">
        <f>Roster!B138</f>
        <v>U</v>
      </c>
      <c r="K120" s="92" t="str">
        <f>Roster!C138</f>
        <v>Scotty</v>
      </c>
      <c r="L120" s="93">
        <f ca="1">Roster!D138</f>
        <v>0</v>
      </c>
      <c r="M120" s="93">
        <f ca="1">Roster!E138</f>
        <v>0</v>
      </c>
      <c r="N120" s="381">
        <f t="shared" ca="1" si="6"/>
        <v>0</v>
      </c>
      <c r="O120" s="93">
        <f t="shared" ca="1" si="7"/>
        <v>0</v>
      </c>
      <c r="P120" s="93">
        <f t="shared" ca="1" si="8"/>
        <v>0</v>
      </c>
    </row>
    <row r="121" spans="2:16" x14ac:dyDescent="0.25">
      <c r="B121" s="65" t="s">
        <v>223</v>
      </c>
      <c r="C121" s="61" t="s">
        <v>54</v>
      </c>
      <c r="D121" s="62">
        <v>0</v>
      </c>
      <c r="E121" s="62">
        <v>0</v>
      </c>
      <c r="F121" s="375">
        <v>0</v>
      </c>
      <c r="G121" s="375">
        <v>0</v>
      </c>
      <c r="H121" s="375">
        <v>0</v>
      </c>
      <c r="J121" s="91" t="str">
        <f>Roster!B139</f>
        <v>E</v>
      </c>
      <c r="K121" s="92" t="str">
        <f>Roster!C139</f>
        <v>Sela</v>
      </c>
      <c r="L121" s="93">
        <f ca="1">Roster!D139</f>
        <v>0</v>
      </c>
      <c r="M121" s="93">
        <f ca="1">Roster!E139</f>
        <v>0</v>
      </c>
      <c r="N121" s="381">
        <f t="shared" ca="1" si="6"/>
        <v>0</v>
      </c>
      <c r="O121" s="93">
        <f t="shared" ca="1" si="7"/>
        <v>0</v>
      </c>
      <c r="P121" s="93">
        <f t="shared" ca="1" si="8"/>
        <v>0</v>
      </c>
    </row>
    <row r="122" spans="2:16" x14ac:dyDescent="0.25">
      <c r="B122" s="65" t="s">
        <v>218</v>
      </c>
      <c r="C122" s="61" t="s">
        <v>42</v>
      </c>
      <c r="D122" s="62">
        <v>0</v>
      </c>
      <c r="E122" s="62">
        <v>0</v>
      </c>
      <c r="F122" s="375">
        <v>0</v>
      </c>
      <c r="G122" s="375">
        <v>0</v>
      </c>
      <c r="H122" s="375">
        <v>0</v>
      </c>
      <c r="J122" s="91" t="str">
        <f>Roster!B140</f>
        <v>C</v>
      </c>
      <c r="K122" s="92" t="str">
        <f>Roster!C140</f>
        <v>Sesha</v>
      </c>
      <c r="L122" s="93">
        <f ca="1">Roster!D140</f>
        <v>0</v>
      </c>
      <c r="M122" s="93">
        <f ca="1">Roster!E140</f>
        <v>0</v>
      </c>
      <c r="N122" s="381">
        <f t="shared" ca="1" si="6"/>
        <v>0</v>
      </c>
      <c r="O122" s="93">
        <f t="shared" ca="1" si="7"/>
        <v>0</v>
      </c>
      <c r="P122" s="93">
        <f t="shared" ca="1" si="8"/>
        <v>0</v>
      </c>
    </row>
    <row r="123" spans="2:16" x14ac:dyDescent="0.25">
      <c r="B123" s="65" t="s">
        <v>220</v>
      </c>
      <c r="C123" s="61" t="s">
        <v>649</v>
      </c>
      <c r="D123" s="62">
        <v>0</v>
      </c>
      <c r="E123" s="62">
        <v>0</v>
      </c>
      <c r="F123" s="375">
        <v>0</v>
      </c>
      <c r="G123" s="375">
        <v>0</v>
      </c>
      <c r="H123" s="375">
        <v>0</v>
      </c>
      <c r="J123" s="91" t="str">
        <f>Roster!B141</f>
        <v>R</v>
      </c>
      <c r="K123" s="92" t="str">
        <f>Roster!C141</f>
        <v>Seven Of Eleven</v>
      </c>
      <c r="L123" s="93">
        <f ca="1">Roster!D141</f>
        <v>0</v>
      </c>
      <c r="M123" s="93">
        <f ca="1">Roster!E141</f>
        <v>0</v>
      </c>
      <c r="N123" s="381">
        <f t="shared" ca="1" si="6"/>
        <v>0</v>
      </c>
      <c r="O123" s="93">
        <f t="shared" ca="1" si="7"/>
        <v>0</v>
      </c>
      <c r="P123" s="93">
        <f t="shared" ca="1" si="8"/>
        <v>0</v>
      </c>
    </row>
    <row r="124" spans="2:16" x14ac:dyDescent="0.25">
      <c r="B124" s="65" t="s">
        <v>220</v>
      </c>
      <c r="C124" s="61" t="s">
        <v>650</v>
      </c>
      <c r="D124" s="62">
        <v>0</v>
      </c>
      <c r="E124" s="62">
        <v>0</v>
      </c>
      <c r="F124" s="375">
        <v>0</v>
      </c>
      <c r="G124" s="375">
        <v>0</v>
      </c>
      <c r="H124" s="375">
        <v>0</v>
      </c>
      <c r="J124" s="91" t="str">
        <f>Roster!B142</f>
        <v>U</v>
      </c>
      <c r="K124" s="92" t="str">
        <f>Roster!C142</f>
        <v>Severus</v>
      </c>
      <c r="L124" s="93">
        <f ca="1">Roster!D142</f>
        <v>0</v>
      </c>
      <c r="M124" s="93">
        <f ca="1">Roster!E142</f>
        <v>0</v>
      </c>
      <c r="N124" s="381">
        <f t="shared" ca="1" si="6"/>
        <v>0</v>
      </c>
      <c r="O124" s="93">
        <f t="shared" ca="1" si="7"/>
        <v>0</v>
      </c>
      <c r="P124" s="93">
        <f t="shared" ca="1" si="8"/>
        <v>0</v>
      </c>
    </row>
    <row r="125" spans="2:16" x14ac:dyDescent="0.25">
      <c r="B125" s="65" t="s">
        <v>220</v>
      </c>
      <c r="C125" s="61" t="s">
        <v>683</v>
      </c>
      <c r="D125" s="62">
        <v>0</v>
      </c>
      <c r="E125" s="62">
        <v>0</v>
      </c>
      <c r="F125" s="375">
        <v>0</v>
      </c>
      <c r="G125" s="375">
        <v>0</v>
      </c>
      <c r="H125" s="375">
        <v>0</v>
      </c>
      <c r="J125" s="91" t="str">
        <f>Roster!B143</f>
        <v>C</v>
      </c>
      <c r="K125" s="92" t="str">
        <f>Roster!C143</f>
        <v>Shev</v>
      </c>
      <c r="L125" s="93">
        <f ca="1">Roster!D143</f>
        <v>0</v>
      </c>
      <c r="M125" s="93">
        <f ca="1">Roster!E143</f>
        <v>0</v>
      </c>
      <c r="N125" s="381">
        <f t="shared" ca="1" si="6"/>
        <v>0</v>
      </c>
      <c r="O125" s="93">
        <f t="shared" ca="1" si="7"/>
        <v>0</v>
      </c>
      <c r="P125" s="93">
        <f t="shared" ca="1" si="8"/>
        <v>0</v>
      </c>
    </row>
    <row r="126" spans="2:16" x14ac:dyDescent="0.25">
      <c r="B126" s="65" t="s">
        <v>220</v>
      </c>
      <c r="C126" s="61" t="s">
        <v>684</v>
      </c>
      <c r="D126" s="62">
        <v>0</v>
      </c>
      <c r="E126" s="62">
        <v>0</v>
      </c>
      <c r="F126" s="375">
        <v>0</v>
      </c>
      <c r="G126" s="375">
        <v>0</v>
      </c>
      <c r="H126" s="375">
        <v>0</v>
      </c>
      <c r="J126" s="91" t="str">
        <f>Roster!B144</f>
        <v>E</v>
      </c>
      <c r="K126" s="92" t="str">
        <f>Roster!C144</f>
        <v>Six Of Eleven</v>
      </c>
      <c r="L126" s="93">
        <f ca="1">Roster!D144</f>
        <v>0</v>
      </c>
      <c r="M126" s="93">
        <f ca="1">Roster!E144</f>
        <v>0</v>
      </c>
      <c r="N126" s="381">
        <f t="shared" ca="1" si="6"/>
        <v>0</v>
      </c>
      <c r="O126" s="93">
        <f t="shared" ca="1" si="7"/>
        <v>0</v>
      </c>
      <c r="P126" s="93">
        <f t="shared" ca="1" si="8"/>
        <v>0</v>
      </c>
    </row>
    <row r="127" spans="2:16" x14ac:dyDescent="0.25">
      <c r="B127" s="65" t="s">
        <v>220</v>
      </c>
      <c r="C127" s="61" t="s">
        <v>1633</v>
      </c>
      <c r="D127" s="62">
        <v>0</v>
      </c>
      <c r="E127" s="62">
        <v>0</v>
      </c>
      <c r="F127" s="375">
        <v>0</v>
      </c>
      <c r="G127" s="375">
        <v>0</v>
      </c>
      <c r="H127" s="375">
        <v>0</v>
      </c>
      <c r="J127" s="91" t="str">
        <f>Roster!B145</f>
        <v>R</v>
      </c>
      <c r="K127" s="92" t="str">
        <f>Roster!C145</f>
        <v>Spock</v>
      </c>
      <c r="L127" s="93">
        <f ca="1">Roster!D145</f>
        <v>0</v>
      </c>
      <c r="M127" s="93">
        <f ca="1">Roster!E145</f>
        <v>0</v>
      </c>
      <c r="N127" s="381">
        <f t="shared" ca="1" si="6"/>
        <v>0</v>
      </c>
      <c r="O127" s="93">
        <f t="shared" ca="1" si="7"/>
        <v>0</v>
      </c>
      <c r="P127" s="93">
        <f t="shared" ca="1" si="8"/>
        <v>0</v>
      </c>
    </row>
    <row r="128" spans="2:16" x14ac:dyDescent="0.25">
      <c r="B128" s="148" t="s">
        <v>223</v>
      </c>
      <c r="C128" s="147" t="s">
        <v>734</v>
      </c>
      <c r="D128" s="62">
        <v>0</v>
      </c>
      <c r="E128" s="62">
        <v>0</v>
      </c>
      <c r="F128" s="375">
        <v>0</v>
      </c>
      <c r="G128" s="375">
        <v>0</v>
      </c>
      <c r="H128" s="375">
        <v>0</v>
      </c>
      <c r="J128" s="91" t="str">
        <f>Roster!B146</f>
        <v>R</v>
      </c>
      <c r="K128" s="92" t="str">
        <f>Roster!C146</f>
        <v>Stonn</v>
      </c>
      <c r="L128" s="93">
        <f ca="1">Roster!D146</f>
        <v>0</v>
      </c>
      <c r="M128" s="93">
        <f ca="1">Roster!E146</f>
        <v>0</v>
      </c>
      <c r="N128" s="381">
        <f t="shared" ca="1" si="6"/>
        <v>0</v>
      </c>
      <c r="O128" s="93">
        <f t="shared" ca="1" si="7"/>
        <v>0</v>
      </c>
      <c r="P128" s="93">
        <f t="shared" ca="1" si="8"/>
        <v>0</v>
      </c>
    </row>
    <row r="129" spans="2:16" x14ac:dyDescent="0.25">
      <c r="B129" s="148" t="s">
        <v>223</v>
      </c>
      <c r="C129" s="147" t="s">
        <v>736</v>
      </c>
      <c r="D129" s="62">
        <v>0</v>
      </c>
      <c r="E129" s="62">
        <v>0</v>
      </c>
      <c r="F129" s="375">
        <v>0</v>
      </c>
      <c r="G129" s="375">
        <v>0</v>
      </c>
      <c r="H129" s="375">
        <v>0</v>
      </c>
      <c r="J129" s="91" t="str">
        <f>Roster!B147</f>
        <v>U</v>
      </c>
      <c r="K129" s="92" t="str">
        <f>Roster!C147</f>
        <v>Sulu</v>
      </c>
      <c r="L129" s="93">
        <f ca="1">Roster!D147</f>
        <v>0</v>
      </c>
      <c r="M129" s="93">
        <f ca="1">Roster!E147</f>
        <v>0</v>
      </c>
      <c r="N129" s="381">
        <f t="shared" ca="1" si="6"/>
        <v>0</v>
      </c>
      <c r="O129" s="93">
        <f t="shared" ca="1" si="7"/>
        <v>0</v>
      </c>
      <c r="P129" s="93">
        <f t="shared" ca="1" si="8"/>
        <v>0</v>
      </c>
    </row>
    <row r="130" spans="2:16" x14ac:dyDescent="0.25">
      <c r="B130" s="148" t="s">
        <v>223</v>
      </c>
      <c r="C130" s="147" t="s">
        <v>738</v>
      </c>
      <c r="D130" s="62">
        <v>0</v>
      </c>
      <c r="E130" s="62">
        <v>0</v>
      </c>
      <c r="F130" s="375">
        <v>0</v>
      </c>
      <c r="G130" s="375">
        <v>0</v>
      </c>
      <c r="H130" s="375">
        <v>0</v>
      </c>
      <c r="J130" s="91" t="str">
        <f>Roster!B148</f>
        <v>R</v>
      </c>
      <c r="K130" s="92" t="str">
        <f>Roster!C148</f>
        <v>Tal</v>
      </c>
      <c r="L130" s="93">
        <f ca="1">Roster!D148</f>
        <v>0</v>
      </c>
      <c r="M130" s="93">
        <f ca="1">Roster!E148</f>
        <v>0</v>
      </c>
      <c r="N130" s="381">
        <f t="shared" ca="1" si="6"/>
        <v>0</v>
      </c>
      <c r="O130" s="93">
        <f t="shared" ca="1" si="7"/>
        <v>0</v>
      </c>
      <c r="P130" s="93">
        <f t="shared" ca="1" si="8"/>
        <v>0</v>
      </c>
    </row>
    <row r="131" spans="2:16" x14ac:dyDescent="0.25">
      <c r="B131" s="148" t="s">
        <v>223</v>
      </c>
      <c r="C131" s="147" t="s">
        <v>740</v>
      </c>
      <c r="D131" s="62">
        <v>0</v>
      </c>
      <c r="E131" s="62">
        <v>0</v>
      </c>
      <c r="F131" s="375">
        <v>0</v>
      </c>
      <c r="G131" s="375">
        <v>0</v>
      </c>
      <c r="H131" s="375">
        <v>0</v>
      </c>
      <c r="J131" s="91" t="str">
        <f>Roster!B149</f>
        <v>R</v>
      </c>
      <c r="K131" s="92" t="str">
        <f>Roster!C149</f>
        <v>Tasha Yar</v>
      </c>
      <c r="L131" s="93">
        <f ca="1">Roster!D149</f>
        <v>0</v>
      </c>
      <c r="M131" s="93">
        <f ca="1">Roster!E149</f>
        <v>0</v>
      </c>
      <c r="N131" s="381">
        <f t="shared" ca="1" si="6"/>
        <v>0</v>
      </c>
      <c r="O131" s="93">
        <f t="shared" ca="1" si="7"/>
        <v>0</v>
      </c>
      <c r="P131" s="93">
        <f t="shared" ca="1" si="8"/>
        <v>0</v>
      </c>
    </row>
    <row r="132" spans="2:16" x14ac:dyDescent="0.25">
      <c r="B132" s="148" t="s">
        <v>223</v>
      </c>
      <c r="C132" s="147" t="s">
        <v>742</v>
      </c>
      <c r="D132" s="62">
        <v>0</v>
      </c>
      <c r="E132" s="62">
        <v>0</v>
      </c>
      <c r="F132" s="375">
        <v>0</v>
      </c>
      <c r="G132" s="375">
        <v>0</v>
      </c>
      <c r="H132" s="375">
        <v>0</v>
      </c>
      <c r="J132" s="91" t="str">
        <f>Roster!B150</f>
        <v>E</v>
      </c>
      <c r="K132" s="92" t="str">
        <f>Roster!C150</f>
        <v>Ten Of Eleven</v>
      </c>
      <c r="L132" s="93">
        <f ca="1">Roster!D150</f>
        <v>0</v>
      </c>
      <c r="M132" s="93">
        <f ca="1">Roster!E150</f>
        <v>0</v>
      </c>
      <c r="N132" s="381">
        <f t="shared" ca="1" si="6"/>
        <v>0</v>
      </c>
      <c r="O132" s="93">
        <f t="shared" ca="1" si="7"/>
        <v>0</v>
      </c>
      <c r="P132" s="93">
        <f t="shared" ca="1" si="8"/>
        <v>0</v>
      </c>
    </row>
    <row r="133" spans="2:16" x14ac:dyDescent="0.25">
      <c r="B133" s="148" t="s">
        <v>220</v>
      </c>
      <c r="C133" s="147" t="s">
        <v>731</v>
      </c>
      <c r="D133" s="62">
        <v>0</v>
      </c>
      <c r="E133" s="62">
        <v>0</v>
      </c>
      <c r="F133" s="375">
        <v>0</v>
      </c>
      <c r="G133" s="375">
        <v>0</v>
      </c>
      <c r="H133" s="375">
        <v>0</v>
      </c>
      <c r="J133" s="91" t="str">
        <f>Roster!B151</f>
        <v>E</v>
      </c>
      <c r="K133" s="92" t="str">
        <f>Roster!C151</f>
        <v>Three Of Eleven</v>
      </c>
      <c r="L133" s="93">
        <f ca="1">Roster!D151</f>
        <v>0</v>
      </c>
      <c r="M133" s="93">
        <f ca="1">Roster!E151</f>
        <v>0</v>
      </c>
      <c r="N133" s="381">
        <f t="shared" ref="N133:N155" ca="1" si="9">VLOOKUP(K133,TraitFull,5,FALSE)</f>
        <v>0</v>
      </c>
      <c r="O133" s="93">
        <f t="shared" ref="O133:O155" ca="1" si="10">VLOOKUP(K133,TraitFull,8,FALSE)</f>
        <v>0</v>
      </c>
      <c r="P133" s="93">
        <f t="shared" ref="P133:P155" ca="1" si="11">VLOOKUP(K133,TraitFull,11,FALSE)</f>
        <v>0</v>
      </c>
    </row>
    <row r="134" spans="2:16" x14ac:dyDescent="0.25">
      <c r="B134" s="148" t="s">
        <v>222</v>
      </c>
      <c r="C134" s="147" t="s">
        <v>732</v>
      </c>
      <c r="D134" s="62">
        <v>0</v>
      </c>
      <c r="E134" s="62">
        <v>0</v>
      </c>
      <c r="F134" s="375">
        <v>0</v>
      </c>
      <c r="G134" s="375">
        <v>0</v>
      </c>
      <c r="H134" s="375">
        <v>0</v>
      </c>
      <c r="J134" s="91" t="str">
        <f>Roster!B152</f>
        <v>U</v>
      </c>
      <c r="K134" s="92" t="str">
        <f>Roster!C152</f>
        <v>Tilly</v>
      </c>
      <c r="L134" s="93">
        <f ca="1">Roster!D152</f>
        <v>0</v>
      </c>
      <c r="M134" s="93">
        <f ca="1">Roster!E152</f>
        <v>0</v>
      </c>
      <c r="N134" s="381">
        <f t="shared" ca="1" si="9"/>
        <v>0</v>
      </c>
      <c r="O134" s="93">
        <f t="shared" ca="1" si="10"/>
        <v>0</v>
      </c>
      <c r="P134" s="93">
        <f t="shared" ca="1" si="11"/>
        <v>0</v>
      </c>
    </row>
    <row r="135" spans="2:16" x14ac:dyDescent="0.25">
      <c r="B135" s="148" t="s">
        <v>222</v>
      </c>
      <c r="C135" s="147" t="s">
        <v>733</v>
      </c>
      <c r="D135" s="62">
        <v>0</v>
      </c>
      <c r="E135" s="62">
        <v>0</v>
      </c>
      <c r="F135" s="375">
        <v>0</v>
      </c>
      <c r="G135" s="375">
        <v>0</v>
      </c>
      <c r="H135" s="375">
        <v>0</v>
      </c>
      <c r="J135" s="91" t="str">
        <f>Roster!B153</f>
        <v>C</v>
      </c>
      <c r="K135" s="92" t="str">
        <f>Roster!C153</f>
        <v>Tiza</v>
      </c>
      <c r="L135" s="93">
        <f ca="1">Roster!D153</f>
        <v>0</v>
      </c>
      <c r="M135" s="93">
        <f ca="1">Roster!E153</f>
        <v>0</v>
      </c>
      <c r="N135" s="381">
        <f t="shared" ca="1" si="9"/>
        <v>0</v>
      </c>
      <c r="O135" s="93">
        <f t="shared" ca="1" si="10"/>
        <v>0</v>
      </c>
      <c r="P135" s="93">
        <f t="shared" ca="1" si="11"/>
        <v>0</v>
      </c>
    </row>
    <row r="136" spans="2:16" x14ac:dyDescent="0.25">
      <c r="B136" s="148" t="s">
        <v>222</v>
      </c>
      <c r="C136" s="147" t="s">
        <v>869</v>
      </c>
      <c r="D136" s="62">
        <v>0</v>
      </c>
      <c r="E136" s="62">
        <v>0</v>
      </c>
      <c r="F136" s="375">
        <v>0</v>
      </c>
      <c r="G136" s="375">
        <v>0</v>
      </c>
      <c r="H136" s="375">
        <v>0</v>
      </c>
      <c r="J136" s="91" t="str">
        <f>Roster!B154</f>
        <v>C</v>
      </c>
      <c r="K136" s="92" t="str">
        <f>Roster!C154</f>
        <v>T'Laan</v>
      </c>
      <c r="L136" s="93">
        <f ca="1">Roster!D154</f>
        <v>0</v>
      </c>
      <c r="M136" s="93">
        <f ca="1">Roster!E154</f>
        <v>0</v>
      </c>
      <c r="N136" s="381">
        <f t="shared" ca="1" si="9"/>
        <v>0</v>
      </c>
      <c r="O136" s="93">
        <f t="shared" ca="1" si="10"/>
        <v>0</v>
      </c>
      <c r="P136" s="93">
        <f t="shared" ca="1" si="11"/>
        <v>0</v>
      </c>
    </row>
    <row r="137" spans="2:16" x14ac:dyDescent="0.25">
      <c r="B137" s="148" t="s">
        <v>220</v>
      </c>
      <c r="C137" s="147" t="s">
        <v>871</v>
      </c>
      <c r="D137" s="62">
        <v>0</v>
      </c>
      <c r="E137" s="62">
        <v>0</v>
      </c>
      <c r="F137" s="375">
        <v>0</v>
      </c>
      <c r="G137" s="375">
        <v>0</v>
      </c>
      <c r="H137" s="375">
        <v>0</v>
      </c>
      <c r="J137" s="91" t="str">
        <f>Roster!B155</f>
        <v>R</v>
      </c>
      <c r="K137" s="92" t="str">
        <f>Roster!C155</f>
        <v>Tomalak</v>
      </c>
      <c r="L137" s="93">
        <f ca="1">Roster!D155</f>
        <v>0</v>
      </c>
      <c r="M137" s="93">
        <f ca="1">Roster!E155</f>
        <v>0</v>
      </c>
      <c r="N137" s="381">
        <f t="shared" ca="1" si="9"/>
        <v>0</v>
      </c>
      <c r="O137" s="93">
        <f t="shared" ca="1" si="10"/>
        <v>0</v>
      </c>
      <c r="P137" s="93">
        <f t="shared" ca="1" si="11"/>
        <v>0</v>
      </c>
    </row>
    <row r="138" spans="2:16" x14ac:dyDescent="0.25">
      <c r="B138" s="148" t="s">
        <v>220</v>
      </c>
      <c r="C138" s="147" t="s">
        <v>918</v>
      </c>
      <c r="D138" s="62">
        <v>0</v>
      </c>
      <c r="E138" s="62">
        <v>0</v>
      </c>
      <c r="F138" s="375">
        <v>0</v>
      </c>
      <c r="G138" s="375">
        <v>0</v>
      </c>
      <c r="H138" s="375">
        <v>0</v>
      </c>
      <c r="J138" s="91" t="str">
        <f>Roster!B156</f>
        <v>R</v>
      </c>
      <c r="K138" s="92" t="str">
        <f>Roster!C156</f>
        <v>TOS Chekov</v>
      </c>
      <c r="L138" s="93">
        <f ca="1">Roster!D156</f>
        <v>0</v>
      </c>
      <c r="M138" s="93">
        <f ca="1">Roster!E156</f>
        <v>0</v>
      </c>
      <c r="N138" s="381">
        <f t="shared" ca="1" si="9"/>
        <v>0</v>
      </c>
      <c r="O138" s="93">
        <f t="shared" ca="1" si="10"/>
        <v>0</v>
      </c>
      <c r="P138" s="93">
        <f t="shared" ca="1" si="11"/>
        <v>0</v>
      </c>
    </row>
    <row r="139" spans="2:16" x14ac:dyDescent="0.25">
      <c r="B139" s="148" t="s">
        <v>222</v>
      </c>
      <c r="C139" s="147" t="s">
        <v>1354</v>
      </c>
      <c r="D139" s="62">
        <v>0</v>
      </c>
      <c r="E139" s="62">
        <v>0</v>
      </c>
      <c r="F139" s="375">
        <v>0</v>
      </c>
      <c r="G139" s="375">
        <v>0</v>
      </c>
      <c r="H139" s="375">
        <v>0</v>
      </c>
      <c r="J139" s="91" t="str">
        <f>Roster!B157</f>
        <v>E</v>
      </c>
      <c r="K139" s="92" t="str">
        <f>Roster!C157</f>
        <v>TOS Kirk</v>
      </c>
      <c r="L139" s="93">
        <f ca="1">Roster!D157</f>
        <v>0</v>
      </c>
      <c r="M139" s="93">
        <f ca="1">Roster!E157</f>
        <v>0</v>
      </c>
      <c r="N139" s="381">
        <f t="shared" ca="1" si="9"/>
        <v>0</v>
      </c>
      <c r="O139" s="93">
        <f t="shared" ca="1" si="10"/>
        <v>0</v>
      </c>
      <c r="P139" s="93">
        <f t="shared" ca="1" si="11"/>
        <v>0</v>
      </c>
    </row>
    <row r="140" spans="2:16" x14ac:dyDescent="0.25">
      <c r="B140" s="148" t="s">
        <v>220</v>
      </c>
      <c r="C140" s="147" t="s">
        <v>1357</v>
      </c>
      <c r="D140" s="62">
        <v>0</v>
      </c>
      <c r="E140" s="62">
        <v>0</v>
      </c>
      <c r="F140" s="375">
        <v>0</v>
      </c>
      <c r="G140" s="375">
        <v>0</v>
      </c>
      <c r="H140" s="375">
        <v>0</v>
      </c>
      <c r="J140" s="91" t="str">
        <f>Roster!B158</f>
        <v>R</v>
      </c>
      <c r="K140" s="92" t="str">
        <f>Roster!C158</f>
        <v>TOS McCoy</v>
      </c>
      <c r="L140" s="93">
        <f ca="1">Roster!D158</f>
        <v>0</v>
      </c>
      <c r="M140" s="93">
        <f ca="1">Roster!E158</f>
        <v>0</v>
      </c>
      <c r="N140" s="381">
        <f t="shared" ca="1" si="9"/>
        <v>0</v>
      </c>
      <c r="O140" s="93">
        <f t="shared" ca="1" si="10"/>
        <v>0</v>
      </c>
      <c r="P140" s="93">
        <f t="shared" ca="1" si="11"/>
        <v>0</v>
      </c>
    </row>
    <row r="141" spans="2:16" x14ac:dyDescent="0.25">
      <c r="B141" s="148" t="s">
        <v>222</v>
      </c>
      <c r="C141" s="147" t="s">
        <v>1634</v>
      </c>
      <c r="D141" s="62">
        <v>0</v>
      </c>
      <c r="E141" s="62">
        <v>0</v>
      </c>
      <c r="F141" s="375">
        <v>0</v>
      </c>
      <c r="G141" s="375">
        <v>0</v>
      </c>
      <c r="H141" s="375">
        <v>0</v>
      </c>
      <c r="J141" s="91" t="str">
        <f>Roster!B159</f>
        <v>R</v>
      </c>
      <c r="K141" s="92" t="str">
        <f>Roster!C159</f>
        <v>TOS Scotty</v>
      </c>
      <c r="L141" s="93">
        <f ca="1">Roster!D159</f>
        <v>0</v>
      </c>
      <c r="M141" s="93">
        <f ca="1">Roster!E159</f>
        <v>0</v>
      </c>
      <c r="N141" s="381">
        <f t="shared" ca="1" si="9"/>
        <v>0</v>
      </c>
      <c r="O141" s="93">
        <f t="shared" ca="1" si="10"/>
        <v>0</v>
      </c>
      <c r="P141" s="93">
        <f t="shared" ca="1" si="11"/>
        <v>0</v>
      </c>
    </row>
    <row r="142" spans="2:16" x14ac:dyDescent="0.25">
      <c r="B142" s="148" t="s">
        <v>220</v>
      </c>
      <c r="C142" s="147" t="s">
        <v>1534</v>
      </c>
      <c r="D142" s="62">
        <v>0</v>
      </c>
      <c r="E142" s="62">
        <v>0</v>
      </c>
      <c r="F142" s="375">
        <v>0</v>
      </c>
      <c r="G142" s="375">
        <v>0</v>
      </c>
      <c r="H142" s="375">
        <v>0</v>
      </c>
      <c r="J142" s="91" t="str">
        <f>Roster!B160</f>
        <v>E</v>
      </c>
      <c r="K142" s="92" t="str">
        <f>Roster!C160</f>
        <v>TOS Spock</v>
      </c>
      <c r="L142" s="93">
        <f ca="1">Roster!D160</f>
        <v>0</v>
      </c>
      <c r="M142" s="93">
        <f ca="1">Roster!E160</f>
        <v>0</v>
      </c>
      <c r="N142" s="381">
        <f t="shared" ca="1" si="9"/>
        <v>0</v>
      </c>
      <c r="O142" s="93">
        <f t="shared" ca="1" si="10"/>
        <v>0</v>
      </c>
      <c r="P142" s="93">
        <f t="shared" ca="1" si="11"/>
        <v>0</v>
      </c>
    </row>
    <row r="143" spans="2:16" x14ac:dyDescent="0.25">
      <c r="B143" s="148" t="s">
        <v>222</v>
      </c>
      <c r="C143" s="147" t="s">
        <v>1638</v>
      </c>
      <c r="D143" s="62">
        <v>0</v>
      </c>
      <c r="E143" s="62">
        <v>0</v>
      </c>
      <c r="F143" s="375">
        <v>0</v>
      </c>
      <c r="G143" s="375">
        <v>0</v>
      </c>
      <c r="H143" s="375">
        <v>0</v>
      </c>
      <c r="J143" s="91" t="str">
        <f>Roster!B161</f>
        <v>R</v>
      </c>
      <c r="K143" s="92" t="str">
        <f>Roster!C161</f>
        <v>TOS Sulu</v>
      </c>
      <c r="L143" s="93">
        <f ca="1">Roster!D161</f>
        <v>0</v>
      </c>
      <c r="M143" s="93">
        <f ca="1">Roster!E161</f>
        <v>0</v>
      </c>
      <c r="N143" s="381">
        <f t="shared" ca="1" si="9"/>
        <v>0</v>
      </c>
      <c r="O143" s="93">
        <f t="shared" ca="1" si="10"/>
        <v>0</v>
      </c>
      <c r="P143" s="93">
        <f t="shared" ca="1" si="11"/>
        <v>0</v>
      </c>
    </row>
    <row r="144" spans="2:16" x14ac:dyDescent="0.25">
      <c r="B144" s="148" t="s">
        <v>222</v>
      </c>
      <c r="C144" s="147" t="s">
        <v>1564</v>
      </c>
      <c r="D144" s="62">
        <v>0</v>
      </c>
      <c r="E144" s="62">
        <v>0</v>
      </c>
      <c r="F144" s="375">
        <v>0</v>
      </c>
      <c r="G144" s="375">
        <v>0</v>
      </c>
      <c r="H144" s="375">
        <v>0</v>
      </c>
      <c r="J144" s="91" t="str">
        <f>Roster!B162</f>
        <v>R</v>
      </c>
      <c r="K144" s="92" t="str">
        <f>Roster!C162</f>
        <v>TOS Uhura</v>
      </c>
      <c r="L144" s="93">
        <f ca="1">Roster!D162</f>
        <v>0</v>
      </c>
      <c r="M144" s="93">
        <f ca="1">Roster!E162</f>
        <v>0</v>
      </c>
      <c r="N144" s="381">
        <f t="shared" ca="1" si="9"/>
        <v>0</v>
      </c>
      <c r="O144" s="93">
        <f t="shared" ca="1" si="10"/>
        <v>0</v>
      </c>
      <c r="P144" s="93">
        <f t="shared" ca="1" si="11"/>
        <v>0</v>
      </c>
    </row>
    <row r="145" spans="2:16" x14ac:dyDescent="0.25">
      <c r="B145" s="148" t="s">
        <v>222</v>
      </c>
      <c r="C145" s="147" t="s">
        <v>1651</v>
      </c>
      <c r="D145" s="62">
        <v>0</v>
      </c>
      <c r="E145" s="62">
        <v>0</v>
      </c>
      <c r="F145" s="375">
        <v>0</v>
      </c>
      <c r="G145" s="375">
        <v>0</v>
      </c>
      <c r="H145" s="375">
        <v>0</v>
      </c>
      <c r="J145" s="91" t="str">
        <f>Roster!B163</f>
        <v>R</v>
      </c>
      <c r="K145" s="92" t="str">
        <f>Roster!C163</f>
        <v>T'Pring</v>
      </c>
      <c r="L145" s="93">
        <f ca="1">Roster!D163</f>
        <v>0</v>
      </c>
      <c r="M145" s="93">
        <f ca="1">Roster!E163</f>
        <v>0</v>
      </c>
      <c r="N145" s="381">
        <f t="shared" ca="1" si="9"/>
        <v>0</v>
      </c>
      <c r="O145" s="93">
        <f t="shared" ca="1" si="10"/>
        <v>0</v>
      </c>
      <c r="P145" s="93">
        <f t="shared" ca="1" si="11"/>
        <v>0</v>
      </c>
    </row>
    <row r="146" spans="2:16" x14ac:dyDescent="0.25">
      <c r="B146" s="148" t="s">
        <v>222</v>
      </c>
      <c r="C146" s="147" t="s">
        <v>1653</v>
      </c>
      <c r="D146" s="62">
        <v>0</v>
      </c>
      <c r="E146" s="62">
        <v>0</v>
      </c>
      <c r="F146" s="375">
        <v>0</v>
      </c>
      <c r="G146" s="375">
        <v>0</v>
      </c>
      <c r="H146" s="375">
        <v>0</v>
      </c>
      <c r="J146" s="91" t="str">
        <f>Roster!B164</f>
        <v>R</v>
      </c>
      <c r="K146" s="92" t="str">
        <f>Roster!C164</f>
        <v>Two Of Eleven</v>
      </c>
      <c r="L146" s="93">
        <f ca="1">Roster!D164</f>
        <v>0</v>
      </c>
      <c r="M146" s="93">
        <f ca="1">Roster!E164</f>
        <v>0</v>
      </c>
      <c r="N146" s="381">
        <f t="shared" ca="1" si="9"/>
        <v>0</v>
      </c>
      <c r="O146" s="93">
        <f t="shared" ca="1" si="10"/>
        <v>0</v>
      </c>
      <c r="P146" s="93">
        <f t="shared" ca="1" si="11"/>
        <v>0</v>
      </c>
    </row>
    <row r="147" spans="2:16" x14ac:dyDescent="0.25">
      <c r="B147" s="148" t="s">
        <v>220</v>
      </c>
      <c r="C147" s="147" t="s">
        <v>1655</v>
      </c>
      <c r="D147" s="62">
        <v>0</v>
      </c>
      <c r="E147" s="62">
        <v>0</v>
      </c>
      <c r="F147" s="375">
        <v>0</v>
      </c>
      <c r="G147" s="375">
        <v>0</v>
      </c>
      <c r="H147" s="375">
        <v>0</v>
      </c>
      <c r="J147" s="91" t="str">
        <f>Roster!B165</f>
        <v>R</v>
      </c>
      <c r="K147" s="92" t="str">
        <f>Roster!C165</f>
        <v>Tyler</v>
      </c>
      <c r="L147" s="93">
        <f ca="1">Roster!D165</f>
        <v>0</v>
      </c>
      <c r="M147" s="93">
        <f ca="1">Roster!E165</f>
        <v>0</v>
      </c>
      <c r="N147" s="381">
        <f t="shared" ca="1" si="9"/>
        <v>0</v>
      </c>
      <c r="O147" s="93">
        <f t="shared" ca="1" si="10"/>
        <v>0</v>
      </c>
      <c r="P147" s="93">
        <f t="shared" ca="1" si="11"/>
        <v>0</v>
      </c>
    </row>
    <row r="148" spans="2:16" x14ac:dyDescent="0.25">
      <c r="B148" s="148" t="s">
        <v>220</v>
      </c>
      <c r="C148" s="147" t="s">
        <v>1848</v>
      </c>
      <c r="D148" s="62">
        <v>0</v>
      </c>
      <c r="E148" s="62">
        <v>0</v>
      </c>
      <c r="F148" s="375">
        <v>0</v>
      </c>
      <c r="G148" s="375">
        <v>0</v>
      </c>
      <c r="H148" s="375">
        <v>0</v>
      </c>
      <c r="J148" s="91" t="str">
        <f>Roster!B166</f>
        <v>R</v>
      </c>
      <c r="K148" s="92" t="str">
        <f>Roster!C166</f>
        <v>Uhura</v>
      </c>
      <c r="L148" s="93">
        <f ca="1">Roster!D166</f>
        <v>0</v>
      </c>
      <c r="M148" s="93">
        <f ca="1">Roster!E166</f>
        <v>0</v>
      </c>
      <c r="N148" s="381">
        <f t="shared" ca="1" si="9"/>
        <v>0</v>
      </c>
      <c r="O148" s="93">
        <f t="shared" ca="1" si="10"/>
        <v>0</v>
      </c>
      <c r="P148" s="93">
        <f t="shared" ca="1" si="11"/>
        <v>0</v>
      </c>
    </row>
    <row r="149" spans="2:16" x14ac:dyDescent="0.25">
      <c r="B149" s="148" t="s">
        <v>220</v>
      </c>
      <c r="C149" s="147" t="s">
        <v>1849</v>
      </c>
      <c r="D149" s="62">
        <v>0</v>
      </c>
      <c r="E149" s="62">
        <v>0</v>
      </c>
      <c r="F149" s="375">
        <v>0</v>
      </c>
      <c r="G149" s="375">
        <v>0</v>
      </c>
      <c r="H149" s="375">
        <v>0</v>
      </c>
      <c r="J149" s="91" t="str">
        <f>Roster!B167</f>
        <v>C</v>
      </c>
      <c r="K149" s="92" t="str">
        <f>Roster!C167</f>
        <v>Vartoq</v>
      </c>
      <c r="L149" s="93">
        <f ca="1">Roster!D167</f>
        <v>0</v>
      </c>
      <c r="M149" s="93">
        <f ca="1">Roster!E167</f>
        <v>0</v>
      </c>
      <c r="N149" s="381">
        <f t="shared" ca="1" si="9"/>
        <v>0</v>
      </c>
      <c r="O149" s="93">
        <f t="shared" ca="1" si="10"/>
        <v>0</v>
      </c>
      <c r="P149" s="93">
        <f t="shared" ca="1" si="11"/>
        <v>0</v>
      </c>
    </row>
    <row r="150" spans="2:16" x14ac:dyDescent="0.25">
      <c r="B150" s="148" t="s">
        <v>222</v>
      </c>
      <c r="C150" s="147" t="s">
        <v>1846</v>
      </c>
      <c r="D150" s="62">
        <v>0</v>
      </c>
      <c r="E150" s="62">
        <v>0</v>
      </c>
      <c r="F150" s="375">
        <v>0</v>
      </c>
      <c r="G150" s="375">
        <v>0</v>
      </c>
      <c r="H150" s="375">
        <v>0</v>
      </c>
      <c r="J150" s="91" t="str">
        <f>Roster!B168</f>
        <v>C</v>
      </c>
      <c r="K150" s="92" t="str">
        <f>Roster!C168</f>
        <v>Vel</v>
      </c>
      <c r="L150" s="93">
        <f ca="1">Roster!D168</f>
        <v>0</v>
      </c>
      <c r="M150" s="93">
        <f ca="1">Roster!E168</f>
        <v>0</v>
      </c>
      <c r="N150" s="381">
        <f t="shared" ca="1" si="9"/>
        <v>0</v>
      </c>
      <c r="O150" s="93">
        <f t="shared" ca="1" si="10"/>
        <v>0</v>
      </c>
      <c r="P150" s="93">
        <f t="shared" ca="1" si="11"/>
        <v>0</v>
      </c>
    </row>
    <row r="151" spans="2:16" x14ac:dyDescent="0.25">
      <c r="B151" s="148" t="s">
        <v>220</v>
      </c>
      <c r="C151" s="147" t="s">
        <v>1938</v>
      </c>
      <c r="D151" s="62">
        <v>0</v>
      </c>
      <c r="E151" s="62">
        <v>0</v>
      </c>
      <c r="F151" s="375">
        <v>0</v>
      </c>
      <c r="G151" s="375">
        <v>0</v>
      </c>
      <c r="H151" s="375">
        <v>0</v>
      </c>
      <c r="J151" s="91" t="str">
        <f>Roster!B169</f>
        <v>U</v>
      </c>
      <c r="K151" s="92" t="str">
        <f>Roster!C169</f>
        <v>Vella</v>
      </c>
      <c r="L151" s="93">
        <f ca="1">Roster!D169</f>
        <v>0</v>
      </c>
      <c r="M151" s="93">
        <f ca="1">Roster!E169</f>
        <v>0</v>
      </c>
      <c r="N151" s="381">
        <f t="shared" ca="1" si="9"/>
        <v>0</v>
      </c>
      <c r="O151" s="93">
        <f t="shared" ca="1" si="10"/>
        <v>0</v>
      </c>
      <c r="P151" s="93">
        <f t="shared" ca="1" si="11"/>
        <v>0</v>
      </c>
    </row>
    <row r="152" spans="2:16" x14ac:dyDescent="0.25">
      <c r="B152" s="148" t="s">
        <v>220</v>
      </c>
      <c r="C152" s="147" t="s">
        <v>1939</v>
      </c>
      <c r="D152" s="62">
        <v>0</v>
      </c>
      <c r="E152" s="62">
        <v>0</v>
      </c>
      <c r="F152" s="375">
        <v>0</v>
      </c>
      <c r="G152" s="375">
        <v>0</v>
      </c>
      <c r="H152" s="375">
        <v>0</v>
      </c>
      <c r="J152" s="91" t="str">
        <f>Roster!B170</f>
        <v>R</v>
      </c>
      <c r="K152" s="92" t="str">
        <f>Roster!C170</f>
        <v>Vemet</v>
      </c>
      <c r="L152" s="93">
        <f ca="1">Roster!D170</f>
        <v>0</v>
      </c>
      <c r="M152" s="93">
        <f ca="1">Roster!E170</f>
        <v>0</v>
      </c>
      <c r="N152" s="381">
        <f t="shared" ca="1" si="9"/>
        <v>0</v>
      </c>
      <c r="O152" s="93">
        <f t="shared" ca="1" si="10"/>
        <v>0</v>
      </c>
      <c r="P152" s="93">
        <f t="shared" ca="1" si="11"/>
        <v>0</v>
      </c>
    </row>
    <row r="153" spans="2:16" x14ac:dyDescent="0.25">
      <c r="B153" s="148" t="s">
        <v>218</v>
      </c>
      <c r="C153" s="147" t="s">
        <v>1934</v>
      </c>
      <c r="D153" s="62">
        <v>0</v>
      </c>
      <c r="E153" s="62">
        <v>0</v>
      </c>
      <c r="F153" s="375">
        <v>0</v>
      </c>
      <c r="G153" s="375">
        <v>0</v>
      </c>
      <c r="H153" s="375">
        <v>0</v>
      </c>
      <c r="J153" s="91" t="str">
        <f>Roster!B171</f>
        <v>U</v>
      </c>
      <c r="K153" s="92" t="str">
        <f>Roster!C171</f>
        <v>Vixis</v>
      </c>
      <c r="L153" s="93">
        <f ca="1">Roster!D171</f>
        <v>0</v>
      </c>
      <c r="M153" s="93">
        <f ca="1">Roster!E171</f>
        <v>0</v>
      </c>
      <c r="N153" s="381">
        <f t="shared" ca="1" si="9"/>
        <v>0</v>
      </c>
      <c r="O153" s="93">
        <f t="shared" ca="1" si="10"/>
        <v>0</v>
      </c>
      <c r="P153" s="93">
        <f t="shared" ca="1" si="11"/>
        <v>0</v>
      </c>
    </row>
    <row r="154" spans="2:16" x14ac:dyDescent="0.25">
      <c r="B154" s="148" t="s">
        <v>220</v>
      </c>
      <c r="C154" s="147" t="s">
        <v>1973</v>
      </c>
      <c r="D154" s="62">
        <v>0</v>
      </c>
      <c r="E154" s="62">
        <v>0</v>
      </c>
      <c r="F154" s="375">
        <v>0</v>
      </c>
      <c r="G154" s="375">
        <v>0</v>
      </c>
      <c r="H154" s="375">
        <v>0</v>
      </c>
      <c r="J154" s="91" t="str">
        <f>Roster!B172</f>
        <v>R</v>
      </c>
      <c r="K154" s="92" t="str">
        <f>Roster!C172</f>
        <v>Wesley Crusher</v>
      </c>
      <c r="L154" s="93">
        <f ca="1">Roster!D172</f>
        <v>0</v>
      </c>
      <c r="M154" s="93">
        <f ca="1">Roster!E172</f>
        <v>0</v>
      </c>
      <c r="N154" s="381">
        <f t="shared" ca="1" si="9"/>
        <v>0</v>
      </c>
      <c r="O154" s="93">
        <f t="shared" ca="1" si="10"/>
        <v>0</v>
      </c>
      <c r="P154" s="93">
        <f t="shared" ca="1" si="11"/>
        <v>0</v>
      </c>
    </row>
    <row r="155" spans="2:16" x14ac:dyDescent="0.25">
      <c r="B155" s="148" t="s">
        <v>220</v>
      </c>
      <c r="C155" s="147" t="s">
        <v>1975</v>
      </c>
      <c r="D155" s="62">
        <v>0</v>
      </c>
      <c r="E155" s="62">
        <v>0</v>
      </c>
      <c r="F155" s="375">
        <v>0</v>
      </c>
      <c r="G155" s="375">
        <v>0</v>
      </c>
      <c r="H155" s="375">
        <v>0</v>
      </c>
      <c r="J155" s="91" t="str">
        <f>Roster!B173</f>
        <v>E</v>
      </c>
      <c r="K155" s="92" t="str">
        <f>Roster!C173</f>
        <v>William T. Riker</v>
      </c>
      <c r="L155" s="93">
        <f ca="1">Roster!D173</f>
        <v>0</v>
      </c>
      <c r="M155" s="93">
        <f ca="1">Roster!E173</f>
        <v>0</v>
      </c>
      <c r="N155" s="381">
        <f t="shared" ca="1" si="9"/>
        <v>0</v>
      </c>
      <c r="O155" s="93">
        <f t="shared" ca="1" si="10"/>
        <v>0</v>
      </c>
      <c r="P155" s="93">
        <f t="shared" ca="1" si="11"/>
        <v>0</v>
      </c>
    </row>
    <row r="156" spans="2:16" x14ac:dyDescent="0.25">
      <c r="B156" s="148" t="s">
        <v>222</v>
      </c>
      <c r="C156" s="147" t="s">
        <v>1978</v>
      </c>
      <c r="D156" s="62">
        <v>0</v>
      </c>
      <c r="E156" s="62">
        <v>0</v>
      </c>
      <c r="F156" s="375">
        <v>0</v>
      </c>
      <c r="G156" s="375">
        <v>0</v>
      </c>
      <c r="H156" s="375">
        <v>0</v>
      </c>
      <c r="J156" s="91" t="str">
        <f>Roster!B174</f>
        <v>R</v>
      </c>
      <c r="K156" s="92" t="str">
        <f>Roster!C174</f>
        <v>Worf</v>
      </c>
      <c r="L156" s="93">
        <f ca="1">Roster!D174</f>
        <v>0</v>
      </c>
      <c r="M156" s="93">
        <f ca="1">Roster!E174</f>
        <v>0</v>
      </c>
      <c r="N156" s="381">
        <f t="shared" ref="N156:N157" ca="1" si="12">VLOOKUP(K156,TraitFull,5,FALSE)</f>
        <v>0</v>
      </c>
      <c r="O156" s="93">
        <f t="shared" ref="O156:O157" ca="1" si="13">VLOOKUP(K156,TraitFull,8,FALSE)</f>
        <v>0</v>
      </c>
      <c r="P156" s="93">
        <f t="shared" ref="P156:P157" ca="1" si="14">VLOOKUP(K156,TraitFull,11,FALSE)</f>
        <v>0</v>
      </c>
    </row>
    <row r="157" spans="2:16" x14ac:dyDescent="0.25">
      <c r="B157" s="148" t="s">
        <v>220</v>
      </c>
      <c r="C157" s="147" t="s">
        <v>2178</v>
      </c>
      <c r="D157" s="62">
        <v>0</v>
      </c>
      <c r="E157" s="62">
        <v>0</v>
      </c>
      <c r="F157" s="375">
        <v>0</v>
      </c>
      <c r="G157" s="375">
        <v>0</v>
      </c>
      <c r="H157" s="375">
        <v>0</v>
      </c>
      <c r="J157" s="91" t="str">
        <f>Roster!B175</f>
        <v>U</v>
      </c>
      <c r="K157" s="92" t="str">
        <f>Roster!C175</f>
        <v>Woteln</v>
      </c>
      <c r="L157" s="93">
        <f ca="1">Roster!D175</f>
        <v>0</v>
      </c>
      <c r="M157" s="93">
        <f ca="1">Roster!E175</f>
        <v>0</v>
      </c>
      <c r="N157" s="381">
        <f t="shared" ca="1" si="12"/>
        <v>0</v>
      </c>
      <c r="O157" s="93">
        <f t="shared" ca="1" si="13"/>
        <v>0</v>
      </c>
      <c r="P157" s="93">
        <f t="shared" ca="1" si="14"/>
        <v>0</v>
      </c>
    </row>
    <row r="158" spans="2:16" x14ac:dyDescent="0.25">
      <c r="B158" s="148" t="s">
        <v>222</v>
      </c>
      <c r="C158" s="147" t="s">
        <v>2180</v>
      </c>
      <c r="D158" s="62">
        <v>0</v>
      </c>
      <c r="E158" s="62">
        <v>0</v>
      </c>
      <c r="F158" s="375">
        <v>0</v>
      </c>
      <c r="G158" s="375">
        <v>0</v>
      </c>
      <c r="H158" s="375">
        <v>0</v>
      </c>
      <c r="J158" s="91" t="str">
        <f>Roster!B176</f>
        <v>U</v>
      </c>
      <c r="K158" s="92" t="str">
        <f>Roster!C176</f>
        <v>Yan'Agh</v>
      </c>
      <c r="L158" s="93">
        <f ca="1">Roster!D176</f>
        <v>0</v>
      </c>
      <c r="M158" s="93">
        <f ca="1">Roster!E176</f>
        <v>0</v>
      </c>
      <c r="N158" s="381">
        <f t="shared" ref="N158:N161" ca="1" si="15">VLOOKUP(K158,TraitFull,5,FALSE)</f>
        <v>0</v>
      </c>
      <c r="O158" s="93">
        <f t="shared" ref="O158:O161" ca="1" si="16">VLOOKUP(K158,TraitFull,8,FALSE)</f>
        <v>0</v>
      </c>
      <c r="P158" s="93">
        <f t="shared" ref="P158:P161" ca="1" si="17">VLOOKUP(K158,TraitFull,11,FALSE)</f>
        <v>0</v>
      </c>
    </row>
    <row r="159" spans="2:16" x14ac:dyDescent="0.25">
      <c r="B159" s="148" t="s">
        <v>222</v>
      </c>
      <c r="C159" s="147" t="s">
        <v>2293</v>
      </c>
      <c r="D159" s="62">
        <v>0</v>
      </c>
      <c r="E159" s="62">
        <v>0</v>
      </c>
      <c r="F159" s="375">
        <v>0</v>
      </c>
      <c r="G159" s="375">
        <v>0</v>
      </c>
      <c r="H159" s="375">
        <v>0</v>
      </c>
      <c r="J159" s="91" t="str">
        <f>Roster!B177</f>
        <v>R</v>
      </c>
      <c r="K159" s="92" t="str">
        <f>Roster!C177</f>
        <v>Yuki</v>
      </c>
      <c r="L159" s="93">
        <f ca="1">Roster!D177</f>
        <v>0</v>
      </c>
      <c r="M159" s="93">
        <f ca="1">Roster!E177</f>
        <v>0</v>
      </c>
      <c r="N159" s="381">
        <f t="shared" ca="1" si="15"/>
        <v>0</v>
      </c>
      <c r="O159" s="93">
        <f t="shared" ca="1" si="16"/>
        <v>0</v>
      </c>
      <c r="P159" s="93">
        <f t="shared" ca="1" si="17"/>
        <v>0</v>
      </c>
    </row>
    <row r="160" spans="2:16" x14ac:dyDescent="0.25">
      <c r="B160" s="148" t="s">
        <v>220</v>
      </c>
      <c r="C160" s="147" t="s">
        <v>2295</v>
      </c>
      <c r="D160" s="62">
        <v>0</v>
      </c>
      <c r="E160" s="62">
        <v>0</v>
      </c>
      <c r="F160" s="375">
        <v>0</v>
      </c>
      <c r="G160" s="375">
        <v>0</v>
      </c>
      <c r="H160" s="375">
        <v>0</v>
      </c>
      <c r="J160" s="91" t="str">
        <f>Roster!B178</f>
        <v>C</v>
      </c>
      <c r="K160" s="92" t="str">
        <f>Roster!C178</f>
        <v>Zahra</v>
      </c>
      <c r="L160" s="93">
        <f ca="1">Roster!D178</f>
        <v>0</v>
      </c>
      <c r="M160" s="93">
        <f ca="1">Roster!E178</f>
        <v>0</v>
      </c>
      <c r="N160" s="381">
        <f t="shared" ca="1" si="15"/>
        <v>0</v>
      </c>
      <c r="O160" s="93">
        <f t="shared" ca="1" si="16"/>
        <v>0</v>
      </c>
      <c r="P160" s="93">
        <f t="shared" ca="1" si="17"/>
        <v>0</v>
      </c>
    </row>
    <row r="161" spans="2:16" x14ac:dyDescent="0.25">
      <c r="B161" s="148" t="s">
        <v>218</v>
      </c>
      <c r="C161" s="147" t="s">
        <v>2291</v>
      </c>
      <c r="D161" s="62">
        <v>0</v>
      </c>
      <c r="E161" s="62">
        <v>0</v>
      </c>
      <c r="F161" s="375">
        <v>0</v>
      </c>
      <c r="G161" s="375">
        <v>0</v>
      </c>
      <c r="H161" s="375">
        <v>0</v>
      </c>
      <c r="J161" s="91" t="str">
        <f>Roster!B179</f>
        <v>U</v>
      </c>
      <c r="K161" s="92" t="str">
        <f>Roster!C179</f>
        <v>Zhou</v>
      </c>
      <c r="L161" s="93">
        <f ca="1">Roster!D179</f>
        <v>0</v>
      </c>
      <c r="M161" s="93">
        <f ca="1">Roster!E179</f>
        <v>0</v>
      </c>
      <c r="N161" s="381">
        <f t="shared" ca="1" si="15"/>
        <v>0</v>
      </c>
      <c r="O161" s="93">
        <f t="shared" ca="1" si="16"/>
        <v>0</v>
      </c>
      <c r="P161" s="93">
        <f t="shared" ca="1" si="17"/>
        <v>0</v>
      </c>
    </row>
  </sheetData>
  <mergeCells count="20">
    <mergeCell ref="F3:H3"/>
    <mergeCell ref="N3:P3"/>
    <mergeCell ref="R1:S1"/>
    <mergeCell ref="B2:H2"/>
    <mergeCell ref="J2:P2"/>
    <mergeCell ref="J1:P1"/>
    <mergeCell ref="B1:H1"/>
    <mergeCell ref="R21:S22"/>
    <mergeCell ref="U21:V22"/>
    <mergeCell ref="U20:V20"/>
    <mergeCell ref="R20:S20"/>
    <mergeCell ref="U1:V1"/>
    <mergeCell ref="R2:S2"/>
    <mergeCell ref="U2:V2"/>
    <mergeCell ref="X1:AB1"/>
    <mergeCell ref="X2:AB2"/>
    <mergeCell ref="X3:AB3"/>
    <mergeCell ref="AD1:AH1"/>
    <mergeCell ref="AD2:AH2"/>
    <mergeCell ref="AD3:AH3"/>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99CCFF"/>
    <pageSetUpPr autoPageBreaks="0"/>
  </sheetPr>
  <dimension ref="A1:B26"/>
  <sheetViews>
    <sheetView workbookViewId="0"/>
  </sheetViews>
  <sheetFormatPr defaultRowHeight="16.5" x14ac:dyDescent="0.25"/>
  <cols>
    <col min="1" max="1" width="11.28515625" style="7" customWidth="1"/>
    <col min="2" max="2" width="182.7109375" style="63" customWidth="1"/>
    <col min="3" max="16384" width="9.140625" style="43"/>
  </cols>
  <sheetData>
    <row r="1" spans="1:2" x14ac:dyDescent="0.25">
      <c r="A1" s="7" t="s">
        <v>144</v>
      </c>
      <c r="B1" s="63" t="s">
        <v>145</v>
      </c>
    </row>
    <row r="2" spans="1:2" ht="49.5" x14ac:dyDescent="0.25">
      <c r="A2" s="7" t="s">
        <v>2222</v>
      </c>
      <c r="B2" s="63" t="s">
        <v>2386</v>
      </c>
    </row>
    <row r="3" spans="1:2" ht="33" x14ac:dyDescent="0.25">
      <c r="A3" s="7" t="s">
        <v>2154</v>
      </c>
      <c r="B3" s="63" t="s">
        <v>2221</v>
      </c>
    </row>
    <row r="4" spans="1:2" ht="33" x14ac:dyDescent="0.25">
      <c r="A4" s="7" t="s">
        <v>2135</v>
      </c>
      <c r="B4" s="63" t="s">
        <v>2136</v>
      </c>
    </row>
    <row r="5" spans="1:2" ht="33" x14ac:dyDescent="0.25">
      <c r="A5" s="7" t="s">
        <v>1969</v>
      </c>
      <c r="B5" s="63" t="s">
        <v>2109</v>
      </c>
    </row>
    <row r="6" spans="1:2" ht="49.5" x14ac:dyDescent="0.25">
      <c r="A6" s="7" t="s">
        <v>1870</v>
      </c>
      <c r="B6" s="63" t="s">
        <v>1966</v>
      </c>
    </row>
    <row r="7" spans="1:2" ht="49.5" x14ac:dyDescent="0.25">
      <c r="A7" s="7" t="s">
        <v>1705</v>
      </c>
      <c r="B7" s="63" t="s">
        <v>1868</v>
      </c>
    </row>
    <row r="8" spans="1:2" ht="49.5" x14ac:dyDescent="0.25">
      <c r="A8" s="7" t="s">
        <v>1629</v>
      </c>
      <c r="B8" s="63" t="s">
        <v>1703</v>
      </c>
    </row>
    <row r="9" spans="1:2" ht="49.5" x14ac:dyDescent="0.25">
      <c r="A9" s="7" t="s">
        <v>1584</v>
      </c>
      <c r="B9" s="63" t="s">
        <v>1639</v>
      </c>
    </row>
    <row r="10" spans="1:2" ht="33" x14ac:dyDescent="0.25">
      <c r="A10" s="7" t="s">
        <v>1558</v>
      </c>
      <c r="B10" s="63" t="s">
        <v>1562</v>
      </c>
    </row>
    <row r="11" spans="1:2" ht="33" x14ac:dyDescent="0.25">
      <c r="A11" s="7" t="s">
        <v>1108</v>
      </c>
      <c r="B11" s="63" t="s">
        <v>1394</v>
      </c>
    </row>
    <row r="12" spans="1:2" ht="33" x14ac:dyDescent="0.25">
      <c r="A12" s="7" t="s">
        <v>889</v>
      </c>
      <c r="B12" s="63" t="s">
        <v>951</v>
      </c>
    </row>
    <row r="13" spans="1:2" ht="33" x14ac:dyDescent="0.25">
      <c r="A13" s="7" t="s">
        <v>840</v>
      </c>
      <c r="B13" s="63" t="s">
        <v>888</v>
      </c>
    </row>
    <row r="14" spans="1:2" x14ac:dyDescent="0.25">
      <c r="A14" s="7" t="s">
        <v>722</v>
      </c>
      <c r="B14" s="63" t="s">
        <v>786</v>
      </c>
    </row>
    <row r="15" spans="1:2" x14ac:dyDescent="0.25">
      <c r="A15" s="7" t="s">
        <v>697</v>
      </c>
      <c r="B15" s="63" t="s">
        <v>708</v>
      </c>
    </row>
    <row r="16" spans="1:2" x14ac:dyDescent="0.25">
      <c r="A16" s="7" t="s">
        <v>679</v>
      </c>
      <c r="B16" s="63" t="s">
        <v>687</v>
      </c>
    </row>
    <row r="17" spans="1:2" ht="33" x14ac:dyDescent="0.25">
      <c r="A17" s="7" t="s">
        <v>667</v>
      </c>
      <c r="B17" s="63" t="s">
        <v>668</v>
      </c>
    </row>
    <row r="18" spans="1:2" ht="33" x14ac:dyDescent="0.25">
      <c r="A18" s="7" t="s">
        <v>659</v>
      </c>
      <c r="B18" s="63" t="s">
        <v>651</v>
      </c>
    </row>
    <row r="19" spans="1:2" x14ac:dyDescent="0.25">
      <c r="A19" s="7" t="s">
        <v>258</v>
      </c>
      <c r="B19" s="63" t="s">
        <v>259</v>
      </c>
    </row>
    <row r="20" spans="1:2" x14ac:dyDescent="0.25">
      <c r="A20" s="7" t="s">
        <v>255</v>
      </c>
      <c r="B20" s="63" t="s">
        <v>256</v>
      </c>
    </row>
    <row r="21" spans="1:2" x14ac:dyDescent="0.25">
      <c r="A21" s="7" t="s">
        <v>248</v>
      </c>
      <c r="B21" s="63" t="s">
        <v>249</v>
      </c>
    </row>
    <row r="22" spans="1:2" x14ac:dyDescent="0.25">
      <c r="A22" s="7" t="s">
        <v>216</v>
      </c>
      <c r="B22" s="63" t="s">
        <v>217</v>
      </c>
    </row>
    <row r="23" spans="1:2" x14ac:dyDescent="0.25">
      <c r="A23" s="7" t="s">
        <v>154</v>
      </c>
      <c r="B23" s="63" t="s">
        <v>155</v>
      </c>
    </row>
    <row r="24" spans="1:2" s="42" customFormat="1" ht="18" x14ac:dyDescent="0.25">
      <c r="A24" s="7" t="s">
        <v>150</v>
      </c>
      <c r="B24" s="63" t="s">
        <v>152</v>
      </c>
    </row>
    <row r="25" spans="1:2" s="42" customFormat="1" ht="18" x14ac:dyDescent="0.25">
      <c r="A25" s="7" t="s">
        <v>149</v>
      </c>
      <c r="B25" s="63" t="s">
        <v>151</v>
      </c>
    </row>
    <row r="26" spans="1:2" x14ac:dyDescent="0.25">
      <c r="A26" s="7" t="s">
        <v>146</v>
      </c>
      <c r="B26" s="63" t="s">
        <v>147</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93"/>
  <sheetViews>
    <sheetView workbookViewId="0">
      <pane ySplit="1" topLeftCell="A2" activePane="bottomLeft" state="frozen"/>
      <selection pane="bottomLeft" activeCell="D21" sqref="D21"/>
    </sheetView>
  </sheetViews>
  <sheetFormatPr defaultRowHeight="15" x14ac:dyDescent="0.25"/>
  <cols>
    <col min="1" max="1" width="42.140625" style="80" bestFit="1" customWidth="1"/>
    <col min="2" max="2" width="11.140625" style="80" bestFit="1" customWidth="1"/>
    <col min="3" max="3" width="9.42578125" style="80" bestFit="1" customWidth="1"/>
    <col min="4" max="4" width="23" style="80" bestFit="1" customWidth="1"/>
    <col min="5" max="5" width="16" style="80" bestFit="1" customWidth="1"/>
    <col min="6" max="6" width="7.5703125" style="80" bestFit="1" customWidth="1"/>
    <col min="7" max="7" width="29.85546875" style="80" bestFit="1" customWidth="1"/>
    <col min="8" max="8" width="13.28515625" style="80" bestFit="1" customWidth="1"/>
    <col min="9" max="9" width="11.85546875" style="80" bestFit="1" customWidth="1"/>
    <col min="10" max="10" width="12.7109375" style="80" bestFit="1" customWidth="1"/>
    <col min="11" max="11" width="16.140625" style="80" bestFit="1" customWidth="1"/>
    <col min="12" max="12" width="8.85546875" style="80" customWidth="1"/>
    <col min="13" max="16" width="9.140625" style="80" customWidth="1"/>
    <col min="17" max="19" width="9.140625" style="80"/>
    <col min="20" max="20" width="16.140625" style="80" bestFit="1" customWidth="1"/>
    <col min="21" max="21" width="9.140625" style="80"/>
    <col min="22" max="22" width="9.140625" style="391"/>
    <col min="23" max="28" width="9.140625" style="80"/>
    <col min="29" max="29" width="11.140625" style="80" customWidth="1"/>
    <col min="30" max="30" width="9.140625" style="80"/>
    <col min="31" max="31" width="16.28515625" style="80" customWidth="1"/>
    <col min="32" max="36" width="9.140625" style="80"/>
    <col min="37" max="37" width="15.5703125" style="80" bestFit="1" customWidth="1"/>
    <col min="38" max="66" width="17.5703125" style="80" customWidth="1"/>
    <col min="67" max="16384" width="9.140625" style="80"/>
  </cols>
  <sheetData>
    <row r="1" spans="1:66" x14ac:dyDescent="0.25">
      <c r="A1" s="80" t="s">
        <v>1498</v>
      </c>
      <c r="B1" s="80" t="s">
        <v>327</v>
      </c>
      <c r="C1" s="80" t="s">
        <v>1499</v>
      </c>
      <c r="D1" s="80" t="s">
        <v>1516</v>
      </c>
      <c r="G1" s="80" t="s">
        <v>1517</v>
      </c>
      <c r="H1" s="80" t="s">
        <v>1500</v>
      </c>
      <c r="I1" s="80" t="s">
        <v>1501</v>
      </c>
      <c r="J1" s="80" t="s">
        <v>1502</v>
      </c>
      <c r="K1" s="80" t="s">
        <v>1503</v>
      </c>
      <c r="L1" s="80" t="s">
        <v>2114</v>
      </c>
      <c r="M1" s="80" t="s">
        <v>1865</v>
      </c>
      <c r="N1" s="80" t="s">
        <v>1866</v>
      </c>
      <c r="O1" s="80" t="s">
        <v>2115</v>
      </c>
      <c r="P1" s="80" t="s">
        <v>2116</v>
      </c>
      <c r="Q1" s="80" t="s">
        <v>1609</v>
      </c>
      <c r="T1" s="80" t="s">
        <v>1531</v>
      </c>
      <c r="V1" s="67" t="s">
        <v>1618</v>
      </c>
      <c r="Z1" s="80" t="s">
        <v>1623</v>
      </c>
      <c r="AC1" s="80" t="s">
        <v>1624</v>
      </c>
      <c r="AE1" s="80" t="s">
        <v>1701</v>
      </c>
      <c r="AG1" s="80" t="s">
        <v>2060</v>
      </c>
      <c r="AH1" s="80" t="s">
        <v>2057</v>
      </c>
      <c r="AI1" s="80" t="s">
        <v>2058</v>
      </c>
      <c r="AJ1" s="80" t="s">
        <v>2059</v>
      </c>
      <c r="AK1" s="80" t="s">
        <v>2095</v>
      </c>
      <c r="AL1" s="80" t="s">
        <v>2075</v>
      </c>
      <c r="AM1" s="80" t="s">
        <v>2074</v>
      </c>
      <c r="AN1" s="80" t="s">
        <v>2096</v>
      </c>
      <c r="AO1" s="80" t="s">
        <v>2076</v>
      </c>
      <c r="AP1" s="80" t="s">
        <v>2077</v>
      </c>
      <c r="AQ1" s="80" t="s">
        <v>2097</v>
      </c>
      <c r="AR1" s="80" t="s">
        <v>2078</v>
      </c>
      <c r="AS1" s="80" t="s">
        <v>2079</v>
      </c>
      <c r="AT1" s="80" t="s">
        <v>2098</v>
      </c>
      <c r="AU1" s="80" t="s">
        <v>2080</v>
      </c>
      <c r="AV1" s="80" t="s">
        <v>2081</v>
      </c>
      <c r="AW1" s="80" t="s">
        <v>2099</v>
      </c>
      <c r="AX1" s="80" t="s">
        <v>2082</v>
      </c>
      <c r="AY1" s="80" t="s">
        <v>2083</v>
      </c>
      <c r="AZ1" s="80" t="s">
        <v>2100</v>
      </c>
      <c r="BA1" s="80" t="s">
        <v>2084</v>
      </c>
      <c r="BB1" s="80" t="s">
        <v>2085</v>
      </c>
      <c r="BC1" s="80" t="s">
        <v>2101</v>
      </c>
      <c r="BD1" s="80" t="s">
        <v>2086</v>
      </c>
      <c r="BE1" s="80" t="s">
        <v>2087</v>
      </c>
      <c r="BF1" s="80" t="s">
        <v>2102</v>
      </c>
      <c r="BG1" s="80" t="s">
        <v>2088</v>
      </c>
      <c r="BH1" s="80" t="s">
        <v>2089</v>
      </c>
      <c r="BI1" s="80" t="s">
        <v>2103</v>
      </c>
      <c r="BJ1" s="80" t="s">
        <v>2090</v>
      </c>
      <c r="BK1" s="80" t="s">
        <v>2091</v>
      </c>
      <c r="BL1" s="80" t="s">
        <v>2104</v>
      </c>
      <c r="BM1" s="80" t="s">
        <v>2092</v>
      </c>
      <c r="BN1" s="80" t="s">
        <v>2093</v>
      </c>
    </row>
    <row r="2" spans="1:66" x14ac:dyDescent="0.25">
      <c r="A2" s="80" t="s">
        <v>1396</v>
      </c>
      <c r="B2" s="80" t="s">
        <v>911</v>
      </c>
      <c r="C2" s="80" t="s">
        <v>112</v>
      </c>
      <c r="D2" s="80" t="s">
        <v>1397</v>
      </c>
      <c r="E2" s="80" t="s">
        <v>1398</v>
      </c>
      <c r="G2" s="80" t="s">
        <v>1399</v>
      </c>
      <c r="H2" s="80" t="s">
        <v>1400</v>
      </c>
      <c r="I2" s="80" t="s">
        <v>1401</v>
      </c>
      <c r="J2" s="80" t="s">
        <v>1402</v>
      </c>
      <c r="K2" s="80" t="s">
        <v>1403</v>
      </c>
      <c r="L2" s="80" t="s">
        <v>2117</v>
      </c>
      <c r="M2" s="81">
        <v>0.2</v>
      </c>
      <c r="N2" s="529">
        <v>4.6199999999999998E-2</v>
      </c>
      <c r="O2" s="80">
        <v>13</v>
      </c>
      <c r="P2" s="81">
        <v>0.8</v>
      </c>
      <c r="Q2" s="80" t="str">
        <f t="array" ref="Q2">INDEX(AwayMissionRewardsAll, SMALL(IF(SMALL(IF(COUNTIF($Q$1:Q1, AwayMissionRewardsAll)+ISBLANK(AwayMissionRewardsAll)=0, COUNTIF(AwayMissionRewardsAll, "&lt;"&amp;AwayMissionRewardsAll)+1, ""), 1)=IF(ISBLANK(AwayMissionRewardsAll), "", COUNTIF(AwayMissionRewardsAll, "&lt;"&amp;AwayMissionRewardsAll)+1), ROW(AwayMissionRewardsAll)-MIN(ROW(AwayMissionRewardsAll))+1), 1), MATCH(MIN(IF(COUNTIF($Q$1:Q1, AwayMissionRewardsAll)+ISBLANK(AwayMissionRewardsAll)&gt;0, "", COUNTIF(AwayMissionRewardsAll, "&lt;"&amp;AwayMissionRewardsAll)+1)), INDEX(IF(ISBLANK(AwayMissionRewardsAll), "", COUNTIF(AwayMissionRewardsAll, "&lt;"&amp;AwayMissionRewardsAll)+1), SMALL(IF(SMALL(IF(COUNTIF($Q$1:Q1, AwayMissionRewardsAll)+ISBLANK(AwayMissionRewardsAll)=0, COUNTIF(AwayMissionRewardsAll, "&lt;"&amp;AwayMissionRewardsAll)+1, ""), 1)=IF(ISBLANK(AwayMissionRewardsAll), "", COUNTIF(AwayMissionRewardsAll, "&lt;"&amp;AwayMissionRewardsAll)+1), ROW(AwayMissionRewardsAll)-MIN(ROW(AwayMissionRewardsAll))+1), 1), ), 0), 1)</f>
        <v>3* Common Materials</v>
      </c>
      <c r="T2" s="80" t="str">
        <f t="array" ref="T2">INDEX(AwayMissionTraitsAll, SMALL(IF(SMALL(IF(COUNTIF($T$1:T1, AwayMissionTraitsAll)+ISBLANK(AwayMissionTraitsAll)=0, COUNTIF(AwayMissionTraitsAll, "&lt;"&amp;AwayMissionTraitsAll)+1, ""), 1)=IF(ISBLANK(AwayMissionTraitsAll), "", COUNTIF(AwayMissionTraitsAll, "&lt;"&amp;AwayMissionTraitsAll)+1), ROW(AwayMissionTraitsAll)-MIN(ROW(AwayMissionTraitsAll))+1), 1), MATCH(MIN(IF(COUNTIF($T$1:T1, AwayMissionTraitsAll)+ISBLANK(AwayMissionTraitsAll)&gt;0, "", COUNTIF(AwayMissionTraitsAll, "&lt;"&amp;AwayMissionTraitsAll)+1)), INDEX(IF(ISBLANK(AwayMissionTraitsAll), "", COUNTIF(AwayMissionTraitsAll, "&lt;"&amp;AwayMissionTraitsAll)+1), SMALL(IF(SMALL(IF(COUNTIF($T$1:T1, AwayMissionTraitsAll)+ISBLANK(AwayMissionTraitsAll)=0, COUNTIF(AwayMissionTraitsAll, "&lt;"&amp;AwayMissionTraitsAll)+1, ""), 1)=IF(ISBLANK(AwayMissionTraitsAll), "", COUNTIF(AwayMissionTraitsAll, "&lt;"&amp;AwayMissionTraitsAll)+1), ROW(AwayMissionTraitsAll)-MIN(ROW(AwayMissionTraitsAll))+1), 1), , 1), 0), 1)</f>
        <v>Adaptable</v>
      </c>
      <c r="U2" s="80">
        <f t="shared" ref="U2:U33" si="0">COUNTIF(AwayMissionTraitsAll,T2)</f>
        <v>1</v>
      </c>
      <c r="V2" s="67" t="str">
        <f t="array" ref="V2">IFERROR(INDEX(AwayMissionsNames, SMALL(IF(ISNUMBER(MATCH(AwayMissionTraitsAll,'ATA Analysis'!$D$5:$D$7, 0)), MATCH(ROW(AwayMissionTraitsAll), ROW(AwayMissionTraitsAll)), ""), ROWS($A$1:A1))),"")</f>
        <v/>
      </c>
      <c r="Y2" s="80">
        <v>1</v>
      </c>
      <c r="Z2" s="80" t="str">
        <f t="array" ref="Z2">INDEX(AwayMissionTraits,SMALL(IF(AwayMissionTraitsTotals=AA2,ROW(AwayMissionTraitsTotals)-ROW('AM Lookup'!$U$1)),
COUNTIF($AA$2:AA2,AA2)))</f>
        <v>Resourceful</v>
      </c>
      <c r="AA2" s="80">
        <f t="array" ref="AA2">LARGE(AwayMissionTraitsTotals,ROW(Z2)-ROW($Z$1))</f>
        <v>17</v>
      </c>
      <c r="AB2" s="80">
        <v>1</v>
      </c>
      <c r="AC2" s="80" t="str">
        <f t="array" ref="AC2">INDEX(TraitOfficers,SMALL(IF(TotalTraitsAppearance=AD2,ROW(TotalTraitsAppearance)-ROW('ATA Overview'!$N$25)),
COUNTIF($AD$2:AD2,AD2)))</f>
        <v>Mudd</v>
      </c>
      <c r="AD2" s="80">
        <f t="array" ref="AD2">LARGE(TotalTraitsAppearance,ROW(AD2)-ROW($AD$1))</f>
        <v>37</v>
      </c>
      <c r="AE2" s="80" t="str">
        <f t="array" ref="AE2">IF(AF2&lt;&gt;"",INDEX(TraitOfficers,SMALL(IF(TopATAScores=AF2,ROW(TopATAScores)-ROW('ATA Overview'!$N$25)),
COUNTIF($AF$2:AF2,AF2))),"")</f>
        <v/>
      </c>
      <c r="AF2" s="453" t="str">
        <f t="array" ref="AF2">IFERROR(LARGE(TopATAScores,ROW(AF2)-ROW($AF$1)),"")</f>
        <v/>
      </c>
      <c r="AG2" s="80" t="s">
        <v>2094</v>
      </c>
      <c r="AH2" s="80">
        <v>0</v>
      </c>
      <c r="AI2" s="80">
        <v>0</v>
      </c>
      <c r="AJ2" s="80">
        <f>AI2</f>
        <v>0</v>
      </c>
      <c r="AK2" s="80" t="str">
        <f>IFERROR(LEFT('ATA Planning'!D6,LEN('ATA Planning'!D6)-5),"")</f>
        <v/>
      </c>
      <c r="AL2" s="80" t="str">
        <f t="array" aca="1" ref="AL2" ca="1">IFERROR(INDEX(TraitOfficers, SMALL(IF(ISNUMBER(MATCH(TraitNames,$AK$2:$AK$5, 0)), MATCH(ROW(TraitNames), ROW(TraitNames)), ""), ROWS($A$1:A1))),"")</f>
        <v/>
      </c>
      <c r="AM2" s="80" t="str">
        <f t="array" aca="1" ref="AM2" ca="1">IFERROR(INDEX(Planning1Match, MATCH(0,COUNTIF($AM$1:AM1,Planning1Match), 0))," ")</f>
        <v/>
      </c>
      <c r="AN2" s="80" t="str">
        <f>IFERROR(LEFT('ATA Planning'!D9,LEN('ATA Planning'!D9)-5),"")</f>
        <v/>
      </c>
      <c r="AO2" s="67" t="str">
        <f t="array" aca="1" ref="AO2" ca="1">IFERROR(INDEX(TraitOfficers, SMALL(IF(ISNUMBER(MATCH(TraitNames,$AN$2:$AN$5, 0)), MATCH(ROW(TraitNames), ROW(TraitNames)), ""), ROWS($A$1:A1))),"")</f>
        <v/>
      </c>
      <c r="AP2" s="80" t="str">
        <f t="array" aca="1" ref="AP2" ca="1">IFERROR(INDEX(Planning2Match, MATCH(0,COUNTIF($AP$1:AP1,Planning2Match), 0))," ")</f>
        <v/>
      </c>
      <c r="AQ2" s="80" t="str">
        <f>IFERROR(LEFT('ATA Planning'!D12,LEN('ATA Planning'!D12)-5),"")</f>
        <v/>
      </c>
      <c r="AR2" s="80" t="str">
        <f t="array" aca="1" ref="AR2" ca="1">IFERROR(INDEX(TraitOfficers, SMALL(IF(ISNUMBER(MATCH(TraitNames,$AQ$2:$AQ$5, 0)), MATCH(ROW(TraitNames), ROW(TraitNames)), ""), ROWS($A$1:A1))),"")</f>
        <v/>
      </c>
      <c r="AS2" s="80" t="str">
        <f t="array" aca="1" ref="AS2" ca="1">IFERROR(INDEX(Planning3Match, MATCH(0,COUNTIF($AS$1:AS1,Planning3Match), 0))," ")</f>
        <v/>
      </c>
      <c r="AT2" s="80" t="str">
        <f>IFERROR(LEFT('ATA Planning'!D15,LEN('ATA Planning'!D15)-5),"")</f>
        <v/>
      </c>
      <c r="AU2" s="80" t="str">
        <f t="array" aca="1" ref="AU2" ca="1">IFERROR(INDEX(TraitOfficers, SMALL(IF(ISNUMBER(MATCH(TraitNames,$AT$2:$AT$5, 0)), MATCH(ROW(TraitNames), ROW(TraitNames)), ""), ROWS($A$1:A1))),"")</f>
        <v/>
      </c>
      <c r="AV2" s="80" t="str">
        <f t="array" aca="1" ref="AV2" ca="1">IFERROR(INDEX(Planning4Match, MATCH(0,COUNTIF($AV$1:AV1,Planning4Match), 0))," ")</f>
        <v/>
      </c>
      <c r="AW2" s="80" t="str">
        <f>IFERROR(LEFT('ATA Planning'!D18,LEN('ATA Planning'!D18)-5),"")</f>
        <v/>
      </c>
      <c r="AX2" s="80" t="str">
        <f t="array" aca="1" ref="AX2" ca="1">IFERROR(INDEX(TraitOfficers, SMALL(IF(ISNUMBER(MATCH(TraitNames,$AW$2:$AW$5, 0)), MATCH(ROW(TraitNames), ROW(TraitNames)), ""), ROWS($A$1:A1))),"")</f>
        <v/>
      </c>
      <c r="AY2" s="80" t="str">
        <f t="array" aca="1" ref="AY2" ca="1">IFERROR(INDEX(Planning5Match, MATCH(0,COUNTIF($AY$1:AY1,Planning5Match), 0))," ")</f>
        <v/>
      </c>
      <c r="AZ2" s="80" t="str">
        <f>IFERROR(LEFT('ATA Planning'!D21,LEN('ATA Planning'!D21)-5),"")</f>
        <v/>
      </c>
      <c r="BA2" s="80" t="str">
        <f t="array" aca="1" ref="BA2" ca="1">IFERROR(INDEX(TraitOfficers, SMALL(IF(ISNUMBER(MATCH(TraitNames,$AZ$2:$AZ$5, 0)), MATCH(ROW(TraitNames), ROW(TraitNames)), ""), ROWS($A$1:A1))),"")</f>
        <v/>
      </c>
      <c r="BB2" s="80" t="str">
        <f t="array" aca="1" ref="BB2" ca="1">IFERROR(INDEX(Planning6Match, MATCH(0,COUNTIF($BB$1:BB1,Planning6Match), 0))," ")</f>
        <v/>
      </c>
      <c r="BC2" s="80" t="str">
        <f>IFERROR(LEFT('ATA Planning'!D24,LEN('ATA Planning'!D24)-5),"")</f>
        <v/>
      </c>
      <c r="BD2" s="80" t="str">
        <f t="array" aca="1" ref="BD2" ca="1">IFERROR(INDEX(TraitOfficers, SMALL(IF(ISNUMBER(MATCH(TraitNames,$BC$2:$BC$5, 0)), MATCH(ROW(TraitNames), ROW(TraitNames)), ""), ROWS($A$1:A1))),"")</f>
        <v/>
      </c>
      <c r="BE2" s="80" t="str">
        <f t="array" aca="1" ref="BE2" ca="1">IFERROR(INDEX(Planning7Match, MATCH(0,COUNTIF($BE$1:BE1,Planning7Match), 0))," ")</f>
        <v/>
      </c>
      <c r="BF2" s="80" t="str">
        <f>IFERROR(LEFT('ATA Planning'!D27,LEN('ATA Planning'!D27)-5),"")</f>
        <v/>
      </c>
      <c r="BG2" s="80" t="str">
        <f t="array" aca="1" ref="BG2" ca="1">IFERROR(INDEX(TraitOfficers, SMALL(IF(ISNUMBER(MATCH(TraitNames,$BF$2:$BF$5, 0)), MATCH(ROW(TraitNames), ROW(TraitNames)), ""), ROWS($A$1:A1))),"")</f>
        <v/>
      </c>
      <c r="BH2" s="80" t="str">
        <f t="array" aca="1" ref="BH2" ca="1">IFERROR(INDEX(Planning8Match, MATCH(0,COUNTIF($BH$1:BH1,Planning8Match), 0))," ")</f>
        <v/>
      </c>
      <c r="BI2" s="80" t="str">
        <f>IFERROR(LEFT('ATA Planning'!D30,LEN('ATA Planning'!D30)-5),"")</f>
        <v/>
      </c>
      <c r="BJ2" s="80" t="str">
        <f t="array" aca="1" ref="BJ2" ca="1">IFERROR(INDEX(TraitOfficers, SMALL(IF(ISNUMBER(MATCH(TraitNames,$BI$2:$BI$5, 0)), MATCH(ROW(TraitNames), ROW(TraitNames)), ""), ROWS($A$1:A1))),"")</f>
        <v/>
      </c>
      <c r="BK2" s="80" t="str">
        <f t="array" aca="1" ref="BK2" ca="1">IFERROR(INDEX(Planning9Match, MATCH(0,COUNTIF($BK$1:BK1,Planning9Match), 0))," ")</f>
        <v/>
      </c>
      <c r="BL2" s="80" t="str">
        <f>IFERROR(LEFT('ATA Planning'!D33,LEN('ATA Planning'!D33)-5),"")</f>
        <v/>
      </c>
      <c r="BM2" s="80" t="str">
        <f t="array" aca="1" ref="BM2" ca="1">IFERROR(INDEX(TraitOfficers, SMALL(IF(ISNUMBER(MATCH(TraitNames,$BL$2:$BL$5, 0)), MATCH(ROW(TraitNames), ROW(TraitNames)), ""), ROWS($A$1:A1))),"")</f>
        <v/>
      </c>
      <c r="BN2" s="80" t="str">
        <f t="array" aca="1" ref="BN2" ca="1">IFERROR(INDEX(Planning10Match, MATCH(0,COUNTIF($BN$1:BN1,Planning10Match), 0))," ")</f>
        <v/>
      </c>
    </row>
    <row r="3" spans="1:66" x14ac:dyDescent="0.25">
      <c r="A3" s="80" t="s">
        <v>1404</v>
      </c>
      <c r="B3" s="80" t="s">
        <v>911</v>
      </c>
      <c r="C3" s="80" t="s">
        <v>110</v>
      </c>
      <c r="D3" s="80" t="s">
        <v>1405</v>
      </c>
      <c r="G3" s="80" t="s">
        <v>1406</v>
      </c>
      <c r="H3" s="80" t="s">
        <v>1407</v>
      </c>
      <c r="I3" s="80" t="s">
        <v>1408</v>
      </c>
      <c r="J3" s="80" t="s">
        <v>1409</v>
      </c>
      <c r="K3" s="80" t="s">
        <v>1410</v>
      </c>
      <c r="L3" s="80" t="s">
        <v>2118</v>
      </c>
      <c r="M3" s="81">
        <v>0</v>
      </c>
      <c r="N3" s="529">
        <v>0.05</v>
      </c>
      <c r="O3" s="80">
        <v>20</v>
      </c>
      <c r="P3" s="81">
        <v>1</v>
      </c>
      <c r="Q3" s="80" t="str">
        <f t="array" ref="Q3">INDEX(AwayMissionRewardsAll, SMALL(IF(SMALL(IF(COUNTIF($Q$1:Q2, AwayMissionRewardsAll)+ISBLANK(AwayMissionRewardsAll)=0, COUNTIF(AwayMissionRewardsAll, "&lt;"&amp;AwayMissionRewardsAll)+1, ""), 1)=IF(ISBLANK(AwayMissionRewardsAll), "", COUNTIF(AwayMissionRewardsAll, "&lt;"&amp;AwayMissionRewardsAll)+1), ROW(AwayMissionRewardsAll)-MIN(ROW(AwayMissionRewardsAll))+1), 1), MATCH(MIN(IF(COUNTIF($Q$1:Q2, AwayMissionRewardsAll)+ISBLANK(AwayMissionRewardsAll)&gt;0, "", COUNTIF(AwayMissionRewardsAll, "&lt;"&amp;AwayMissionRewardsAll)+1)), INDEX(IF(ISBLANK(AwayMissionRewardsAll), "", COUNTIF(AwayMissionRewardsAll, "&lt;"&amp;AwayMissionRewardsAll)+1), SMALL(IF(SMALL(IF(COUNTIF($Q$1:Q2, AwayMissionRewardsAll)+ISBLANK(AwayMissionRewardsAll)=0, COUNTIF(AwayMissionRewardsAll, "&lt;"&amp;AwayMissionRewardsAll)+1, ""), 1)=IF(ISBLANK(AwayMissionRewardsAll), "", COUNTIF(AwayMissionRewardsAll, "&lt;"&amp;AwayMissionRewardsAll)+1), ROW(AwayMissionRewardsAll)-MIN(ROW(AwayMissionRewardsAll))+1), 1), , 1), 0), 1)</f>
        <v>3* Raw Materials</v>
      </c>
      <c r="T3" s="80" t="str">
        <f t="array" ref="T3">INDEX(AwayMissionTraitsAll, SMALL(IF(SMALL(IF(COUNTIF($T$1:T2, AwayMissionTraitsAll)+ISBLANK(AwayMissionTraitsAll)=0, COUNTIF(AwayMissionTraitsAll, "&lt;"&amp;AwayMissionTraitsAll)+1, ""), 1)=IF(ISBLANK(AwayMissionTraitsAll), "", COUNTIF(AwayMissionTraitsAll, "&lt;"&amp;AwayMissionTraitsAll)+1), ROW(AwayMissionTraitsAll)-MIN(ROW(AwayMissionTraitsAll))+1), 1), MATCH(MIN(IF(COUNTIF($T$1:T2, AwayMissionTraitsAll)+ISBLANK(AwayMissionTraitsAll)&gt;0, "", COUNTIF(AwayMissionTraitsAll, "&lt;"&amp;AwayMissionTraitsAll)+1)), INDEX(IF(ISBLANK(AwayMissionTraitsAll), "", COUNTIF(AwayMissionTraitsAll, "&lt;"&amp;AwayMissionTraitsAll)+1), SMALL(IF(SMALL(IF(COUNTIF($T$1:T2, AwayMissionTraitsAll)+ISBLANK(AwayMissionTraitsAll)=0, COUNTIF(AwayMissionTraitsAll, "&lt;"&amp;AwayMissionTraitsAll)+1, ""), 1)=IF(ISBLANK(AwayMissionTraitsAll), "", COUNTIF(AwayMissionTraitsAll, "&lt;"&amp;AwayMissionTraitsAll)+1), ROW(AwayMissionTraitsAll)-MIN(ROW(AwayMissionTraitsAll))+1), 1), , 1), 0), 1)</f>
        <v>Admiral</v>
      </c>
      <c r="U3" s="80">
        <f t="shared" si="0"/>
        <v>1</v>
      </c>
      <c r="V3" s="67" t="str">
        <f t="array" ref="V3">IFERROR(INDEX(AwayMissionsNames, SMALL(IF(ISNUMBER(MATCH(AwayMissionTraitsAll,'ATA Analysis'!$D$5:$D$7, 0)), MATCH(ROW(AwayMissionTraitsAll), ROW(AwayMissionTraitsAll)), ""), ROWS($A$1:A2))),"")</f>
        <v/>
      </c>
      <c r="Y3" s="80">
        <v>2</v>
      </c>
      <c r="Z3" s="80" t="str">
        <f t="array" ref="Z3">INDEX(AwayMissionTraits,SMALL(IF(AwayMissionTraitsTotals=AA3,ROW(AwayMissionTraitsTotals)-ROW('AM Lookup'!$U$1)),
COUNTIF($AA$2:AA3,AA3)))</f>
        <v>Engineer</v>
      </c>
      <c r="AA3" s="80">
        <f t="array" ref="AA3">LARGE(AwayMissionTraitsTotals,ROW(Z3)-ROW($Z$1))</f>
        <v>16</v>
      </c>
      <c r="AB3" s="80">
        <v>2</v>
      </c>
      <c r="AC3" s="80" t="str">
        <f t="array" ref="AC3">INDEX(TraitOfficers,SMALL(IF(TotalTraitsAppearance=AD3,ROW(TotalTraitsAppearance)-ROW('ATA Overview'!$N$25)),
COUNTIF($AD$2:AD3,AD3)))</f>
        <v>T'Pring</v>
      </c>
      <c r="AD3" s="80">
        <f t="array" ref="AD3">LARGE(TotalTraitsAppearance,ROW(AD3)-ROW($AD$1))</f>
        <v>33</v>
      </c>
      <c r="AE3" s="80" t="str">
        <f t="array" ref="AE3">IF(AF3&lt;&gt;"",INDEX(TraitOfficers,SMALL(IF(TopATAScores=AF3,ROW(TopATAScores)-ROW('ATA Overview'!$N$25)),
COUNTIF($AF$2:AF3,AF3))),"")</f>
        <v/>
      </c>
      <c r="AF3" s="453" t="str">
        <f t="array" ref="AF3">IFERROR(LARGE(TopATAScores,ROW(AF3)-ROW($AF$1)),"")</f>
        <v/>
      </c>
      <c r="AG3" s="80" t="s">
        <v>2056</v>
      </c>
      <c r="AH3" s="80">
        <v>1</v>
      </c>
      <c r="AI3" s="80">
        <v>1500</v>
      </c>
      <c r="AJ3" s="80">
        <f t="shared" ref="AJ3:AJ18" si="1">AJ2+AI3</f>
        <v>1500</v>
      </c>
      <c r="AK3" s="80" t="str">
        <f>IFERROR(LEFT('ATA Planning'!F6,LEN('ATA Planning'!F6)-5),"")</f>
        <v/>
      </c>
      <c r="AL3" s="80" t="str">
        <f t="array" aca="1" ref="AL3" ca="1">IFERROR(INDEX(TraitOfficers, SMALL(IF(ISNUMBER(MATCH(TraitNames,$AK$2:$AK$5, 0)), MATCH(ROW(TraitNames), ROW(TraitNames)), ""), ROWS($A$1:A2))),"")</f>
        <v/>
      </c>
      <c r="AM3" s="80" t="str">
        <f t="array" aca="1" ref="AM3" ca="1">IFERROR(INDEX(Planning1Match, MATCH(0,COUNTIF($AM$1:AM2,Planning1Match), 0))," ")</f>
        <v xml:space="preserve"> </v>
      </c>
      <c r="AN3" s="80" t="str">
        <f>IFERROR(LEFT('ATA Planning'!F9,LEN('ATA Planning'!F9)-5),"")</f>
        <v/>
      </c>
      <c r="AO3" s="67" t="str">
        <f t="array" aca="1" ref="AO3" ca="1">IFERROR(INDEX(TraitOfficers, SMALL(IF(ISNUMBER(MATCH(TraitNames,$AN$2:$AN$5, 0)), MATCH(ROW(TraitNames), ROW(TraitNames)), ""), ROWS($A$1:A2))),"")</f>
        <v/>
      </c>
      <c r="AP3" s="80" t="str">
        <f t="array" aca="1" ref="AP3" ca="1">IFERROR(INDEX(Planning2Match, MATCH(0,COUNTIF($AP$1:AP2,Planning2Match), 0))," ")</f>
        <v xml:space="preserve"> </v>
      </c>
      <c r="AQ3" s="80" t="str">
        <f>IFERROR(LEFT('ATA Planning'!F12,LEN('ATA Planning'!F12)-5),"")</f>
        <v/>
      </c>
      <c r="AR3" s="80" t="str">
        <f t="array" aca="1" ref="AR3" ca="1">IFERROR(INDEX(TraitOfficers, SMALL(IF(ISNUMBER(MATCH(TraitNames,$AQ$2:$AQ$5, 0)), MATCH(ROW(TraitNames), ROW(TraitNames)), ""), ROWS($A$1:A2))),"")</f>
        <v/>
      </c>
      <c r="AS3" s="80" t="str">
        <f t="array" aca="1" ref="AS3" ca="1">IFERROR(INDEX(Planning3Match, MATCH(0,COUNTIF($AS$1:AS2,Planning3Match), 0))," ")</f>
        <v xml:space="preserve"> </v>
      </c>
      <c r="AT3" s="80" t="str">
        <f>IFERROR(LEFT('ATA Planning'!F15,LEN('ATA Planning'!F15)-5),"")</f>
        <v/>
      </c>
      <c r="AU3" s="80" t="str">
        <f t="array" aca="1" ref="AU3" ca="1">IFERROR(INDEX(TraitOfficers, SMALL(IF(ISNUMBER(MATCH(TraitNames,$AT$2:$AT$5, 0)), MATCH(ROW(TraitNames), ROW(TraitNames)), ""), ROWS($A$1:A2))),"")</f>
        <v/>
      </c>
      <c r="AV3" s="80" t="str">
        <f t="array" aca="1" ref="AV3" ca="1">IFERROR(INDEX(Planning4Match, MATCH(0,COUNTIF($AV$1:AV2,Planning4Match), 0))," ")</f>
        <v xml:space="preserve"> </v>
      </c>
      <c r="AW3" s="80" t="str">
        <f>IFERROR(LEFT('ATA Planning'!F18,LEN('ATA Planning'!F18)-5),"")</f>
        <v/>
      </c>
      <c r="AX3" s="80" t="str">
        <f t="array" aca="1" ref="AX3" ca="1">IFERROR(INDEX(TraitOfficers, SMALL(IF(ISNUMBER(MATCH(TraitNames,$AW$2:$AW$5, 0)), MATCH(ROW(TraitNames), ROW(TraitNames)), ""), ROWS($A$1:A2))),"")</f>
        <v/>
      </c>
      <c r="AY3" s="80" t="str">
        <f t="array" aca="1" ref="AY3" ca="1">IFERROR(INDEX(Planning5Match, MATCH(0,COUNTIF($AY$1:AY2,Planning5Match), 0))," ")</f>
        <v xml:space="preserve"> </v>
      </c>
      <c r="AZ3" s="80" t="str">
        <f>IFERROR(LEFT('ATA Planning'!F21,LEN('ATA Planning'!F21)-5),"")</f>
        <v/>
      </c>
      <c r="BA3" s="80" t="str">
        <f t="array" aca="1" ref="BA3" ca="1">IFERROR(INDEX(TraitOfficers, SMALL(IF(ISNUMBER(MATCH(TraitNames,$AZ$2:$AZ$5, 0)), MATCH(ROW(TraitNames), ROW(TraitNames)), ""), ROWS($A$1:A2))),"")</f>
        <v/>
      </c>
      <c r="BB3" s="80" t="str">
        <f t="array" aca="1" ref="BB3" ca="1">IFERROR(INDEX(Planning6Match, MATCH(0,COUNTIF($BB$1:BB2,Planning6Match), 0))," ")</f>
        <v xml:space="preserve"> </v>
      </c>
      <c r="BC3" s="80" t="str">
        <f>IFERROR(LEFT('ATA Planning'!F24,LEN('ATA Planning'!F24)-5),"")</f>
        <v/>
      </c>
      <c r="BD3" s="80" t="str">
        <f t="array" aca="1" ref="BD3" ca="1">IFERROR(INDEX(TraitOfficers, SMALL(IF(ISNUMBER(MATCH(TraitNames,$BC$2:$BC$5, 0)), MATCH(ROW(TraitNames), ROW(TraitNames)), ""), ROWS($A$1:A2))),"")</f>
        <v/>
      </c>
      <c r="BE3" s="80" t="str">
        <f t="array" aca="1" ref="BE3" ca="1">IFERROR(INDEX(Planning7Match, MATCH(0,COUNTIF($BE$1:BE2,Planning7Match), 0))," ")</f>
        <v xml:space="preserve"> </v>
      </c>
      <c r="BF3" s="80" t="str">
        <f>IFERROR(LEFT('ATA Planning'!F27,LEN('ATA Planning'!F27)-5),"")</f>
        <v/>
      </c>
      <c r="BG3" s="80" t="str">
        <f t="array" aca="1" ref="BG3" ca="1">IFERROR(INDEX(TraitOfficers, SMALL(IF(ISNUMBER(MATCH(TraitNames,$BF$2:$BF$5, 0)), MATCH(ROW(TraitNames), ROW(TraitNames)), ""), ROWS($A$1:A2))),"")</f>
        <v/>
      </c>
      <c r="BH3" s="80" t="str">
        <f t="array" aca="1" ref="BH3" ca="1">IFERROR(INDEX(Planning8Match, MATCH(0,COUNTIF($BH$1:BH2,Planning8Match), 0))," ")</f>
        <v xml:space="preserve"> </v>
      </c>
      <c r="BI3" s="80" t="str">
        <f>IFERROR(LEFT('ATA Planning'!F30,LEN('ATA Planning'!F30)-5),"")</f>
        <v/>
      </c>
      <c r="BJ3" s="80" t="str">
        <f t="array" aca="1" ref="BJ3" ca="1">IFERROR(INDEX(TraitOfficers, SMALL(IF(ISNUMBER(MATCH(TraitNames,$BI$2:$BI$5, 0)), MATCH(ROW(TraitNames), ROW(TraitNames)), ""), ROWS($A$1:A2))),"")</f>
        <v/>
      </c>
      <c r="BK3" s="80" t="str">
        <f t="array" aca="1" ref="BK3" ca="1">IFERROR(INDEX(Planning9Match, MATCH(0,COUNTIF($BK$1:BK2,Planning9Match), 0))," ")</f>
        <v xml:space="preserve"> </v>
      </c>
      <c r="BL3" s="80" t="str">
        <f>IFERROR(LEFT('ATA Planning'!F33,LEN('ATA Planning'!F33)-5),"")</f>
        <v/>
      </c>
      <c r="BM3" s="80" t="str">
        <f t="array" aca="1" ref="BM3" ca="1">IFERROR(INDEX(TraitOfficers, SMALL(IF(ISNUMBER(MATCH(TraitNames,$BL$2:$BL$5, 0)), MATCH(ROW(TraitNames), ROW(TraitNames)), ""), ROWS($A$1:A2))),"")</f>
        <v/>
      </c>
      <c r="BN3" s="80" t="str">
        <f t="array" aca="1" ref="BN3" ca="1">IFERROR(INDEX(Planning10Match, MATCH(0,COUNTIF($BN$1:BN2,Planning10Match), 0))," ")</f>
        <v xml:space="preserve"> </v>
      </c>
    </row>
    <row r="4" spans="1:66" x14ac:dyDescent="0.25">
      <c r="A4" s="80" t="s">
        <v>2165</v>
      </c>
      <c r="B4" s="80" t="s">
        <v>911</v>
      </c>
      <c r="C4" s="80" t="s">
        <v>110</v>
      </c>
      <c r="D4" s="80" t="s">
        <v>1599</v>
      </c>
      <c r="G4" s="80" t="s">
        <v>1611</v>
      </c>
      <c r="H4" s="80" t="s">
        <v>1407</v>
      </c>
      <c r="I4" s="80" t="s">
        <v>1493</v>
      </c>
      <c r="J4" s="80" t="s">
        <v>1494</v>
      </c>
      <c r="K4" s="80" t="s">
        <v>1484</v>
      </c>
      <c r="L4" s="80" t="s">
        <v>2120</v>
      </c>
      <c r="M4" s="81">
        <v>0</v>
      </c>
      <c r="N4" s="529">
        <v>0.03</v>
      </c>
      <c r="O4" s="80">
        <v>25</v>
      </c>
      <c r="P4" s="81">
        <v>0.75</v>
      </c>
      <c r="Q4" s="80" t="str">
        <f t="array" ref="Q4">INDEX(AwayMissionRewardsAll, SMALL(IF(SMALL(IF(COUNTIF($Q$1:Q3, AwayMissionRewardsAll)+ISBLANK(AwayMissionRewardsAll)=0, COUNTIF(AwayMissionRewardsAll, "&lt;"&amp;AwayMissionRewardsAll)+1, ""), 1)=IF(ISBLANK(AwayMissionRewardsAll), "", COUNTIF(AwayMissionRewardsAll, "&lt;"&amp;AwayMissionRewardsAll)+1), ROW(AwayMissionRewardsAll)-MIN(ROW(AwayMissionRewardsAll))+1), 1), MATCH(MIN(IF(COUNTIF($Q$1:Q3, AwayMissionRewardsAll)+ISBLANK(AwayMissionRewardsAll)&gt;0, "", COUNTIF(AwayMissionRewardsAll, "&lt;"&amp;AwayMissionRewardsAll)+1)), INDEX(IF(ISBLANK(AwayMissionRewardsAll), "", COUNTIF(AwayMissionRewardsAll, "&lt;"&amp;AwayMissionRewardsAll)+1), SMALL(IF(SMALL(IF(COUNTIF($Q$1:Q3, AwayMissionRewardsAll)+ISBLANK(AwayMissionRewardsAll)=0, COUNTIF(AwayMissionRewardsAll, "&lt;"&amp;AwayMissionRewardsAll)+1, ""), 1)=IF(ISBLANK(AwayMissionRewardsAll), "", COUNTIF(AwayMissionRewardsAll, "&lt;"&amp;AwayMissionRewardsAll)+1), ROW(AwayMissionRewardsAll)-MIN(ROW(AwayMissionRewardsAll))+1), 1), , 1), 0), 1)</f>
        <v>4* Common Materials</v>
      </c>
      <c r="T4" s="80" t="str">
        <f t="array" ref="T4">INDEX(AwayMissionTraitsAll, SMALL(IF(SMALL(IF(COUNTIF($T$1:T3, AwayMissionTraitsAll)+ISBLANK(AwayMissionTraitsAll)=0, COUNTIF(AwayMissionTraitsAll, "&lt;"&amp;AwayMissionTraitsAll)+1, ""), 1)=IF(ISBLANK(AwayMissionTraitsAll), "", COUNTIF(AwayMissionTraitsAll, "&lt;"&amp;AwayMissionTraitsAll)+1), ROW(AwayMissionTraitsAll)-MIN(ROW(AwayMissionTraitsAll))+1), 1), MATCH(MIN(IF(COUNTIF($T$1:T3, AwayMissionTraitsAll)+ISBLANK(AwayMissionTraitsAll)&gt;0, "", COUNTIF(AwayMissionTraitsAll, "&lt;"&amp;AwayMissionTraitsAll)+1)), INDEX(IF(ISBLANK(AwayMissionTraitsAll), "", COUNTIF(AwayMissionTraitsAll, "&lt;"&amp;AwayMissionTraitsAll)+1), SMALL(IF(SMALL(IF(COUNTIF($T$1:T3, AwayMissionTraitsAll)+ISBLANK(AwayMissionTraitsAll)=0, COUNTIF(AwayMissionTraitsAll, "&lt;"&amp;AwayMissionTraitsAll)+1, ""), 1)=IF(ISBLANK(AwayMissionTraitsAll), "", COUNTIF(AwayMissionTraitsAll, "&lt;"&amp;AwayMissionTraitsAll)+1), ROW(AwayMissionTraitsAll)-MIN(ROW(AwayMissionTraitsAll))+1), 1), , 1), 0), 1)</f>
        <v>Advisor</v>
      </c>
      <c r="U4" s="80">
        <f t="shared" si="0"/>
        <v>2</v>
      </c>
      <c r="V4" s="67" t="str">
        <f t="array" ref="V4">IFERROR(INDEX(AwayMissionsNames, SMALL(IF(ISNUMBER(MATCH(AwayMissionTraitsAll,'ATA Analysis'!$D$5:$D$7, 0)), MATCH(ROW(AwayMissionTraitsAll), ROW(AwayMissionTraitsAll)), ""), ROWS($A$1:A3))),"")</f>
        <v/>
      </c>
      <c r="Y4" s="80">
        <v>3</v>
      </c>
      <c r="Z4" s="80" t="str">
        <f t="array" ref="Z4">INDEX(AwayMissionTraits,SMALL(IF(AwayMissionTraitsTotals=AA4,ROW(AwayMissionTraitsTotals)-ROW('AM Lookup'!$U$1)),
COUNTIF($AA$2:AA4,AA4)))</f>
        <v>Miner</v>
      </c>
      <c r="AA4" s="80">
        <f t="array" ref="AA4">LARGE(AwayMissionTraitsTotals,ROW(Z4)-ROW($Z$1))</f>
        <v>16</v>
      </c>
      <c r="AB4" s="80">
        <v>3</v>
      </c>
      <c r="AC4" s="80" t="str">
        <f t="array" ref="AC4">INDEX(TraitOfficers,SMALL(IF(TotalTraitsAppearance=AD4,ROW(TotalTraitsAppearance)-ROW('ATA Overview'!$N$25)),
COUNTIF($AD$2:AD4,AD4)))</f>
        <v>Eleven Of Eleven</v>
      </c>
      <c r="AD4" s="80">
        <f t="array" ref="AD4">LARGE(TotalTraitsAppearance,ROW(AD4)-ROW($AD$1))</f>
        <v>30</v>
      </c>
      <c r="AE4" s="80" t="str">
        <f t="array" ref="AE4">IF(AF4&lt;&gt;"",INDEX(TraitOfficers,SMALL(IF(TopATAScores=AF4,ROW(TopATAScores)-ROW('ATA Overview'!$N$25)),
COUNTIF($AF$2:AF4,AF4))),"")</f>
        <v/>
      </c>
      <c r="AF4" s="453" t="str">
        <f t="array" ref="AF4">IFERROR(LARGE(TopATAScores,ROW(AF4)-ROW($AF$1)),"")</f>
        <v/>
      </c>
      <c r="AG4" s="80" t="s">
        <v>2061</v>
      </c>
      <c r="AH4" s="80">
        <v>2</v>
      </c>
      <c r="AI4" s="80">
        <v>2700</v>
      </c>
      <c r="AJ4" s="80">
        <f t="shared" si="1"/>
        <v>4200</v>
      </c>
      <c r="AK4" s="80" t="str">
        <f>IFERROR(LEFT('ATA Planning'!H6,LEN('ATA Planning'!H6)-5),"")</f>
        <v/>
      </c>
      <c r="AL4" s="80" t="str">
        <f t="array" aca="1" ref="AL4" ca="1">IFERROR(INDEX(TraitOfficers, SMALL(IF(ISNUMBER(MATCH(TraitNames,$AK$2:$AK$5, 0)), MATCH(ROW(TraitNames), ROW(TraitNames)), ""), ROWS($A$1:A3))),"")</f>
        <v/>
      </c>
      <c r="AM4" s="80" t="str">
        <f t="array" aca="1" ref="AM4" ca="1">IFERROR(INDEX(Planning1Match, MATCH(0,COUNTIF($AM$1:AM3,Planning1Match), 0))," ")</f>
        <v xml:space="preserve"> </v>
      </c>
      <c r="AN4" s="80" t="str">
        <f>IFERROR(LEFT('ATA Planning'!H9,LEN('ATA Planning'!H9)-5),"")</f>
        <v/>
      </c>
      <c r="AO4" s="67" t="str">
        <f t="array" aca="1" ref="AO4" ca="1">IFERROR(INDEX(TraitOfficers, SMALL(IF(ISNUMBER(MATCH(TraitNames,$AN$2:$AN$5, 0)), MATCH(ROW(TraitNames), ROW(TraitNames)), ""), ROWS($A$1:A3))),"")</f>
        <v/>
      </c>
      <c r="AP4" s="80" t="str">
        <f t="array" aca="1" ref="AP4" ca="1">IFERROR(INDEX(Planning2Match, MATCH(0,COUNTIF($AP$1:AP3,Planning2Match), 0))," ")</f>
        <v xml:space="preserve"> </v>
      </c>
      <c r="AQ4" s="80" t="str">
        <f>IFERROR(LEFT('ATA Planning'!H12,LEN('ATA Planning'!H12)-5),"")</f>
        <v/>
      </c>
      <c r="AR4" s="80" t="str">
        <f t="array" aca="1" ref="AR4" ca="1">IFERROR(INDEX(TraitOfficers, SMALL(IF(ISNUMBER(MATCH(TraitNames,$AQ$2:$AQ$5, 0)), MATCH(ROW(TraitNames), ROW(TraitNames)), ""), ROWS($A$1:A3))),"")</f>
        <v/>
      </c>
      <c r="AS4" s="80" t="str">
        <f t="array" aca="1" ref="AS4" ca="1">IFERROR(INDEX(Planning3Match, MATCH(0,COUNTIF($AS$1:AS3,Planning3Match), 0))," ")</f>
        <v xml:space="preserve"> </v>
      </c>
      <c r="AT4" s="80" t="str">
        <f>IFERROR(LEFT('ATA Planning'!H15,LEN('ATA Planning'!H15)-5),"")</f>
        <v/>
      </c>
      <c r="AU4" s="80" t="str">
        <f t="array" aca="1" ref="AU4" ca="1">IFERROR(INDEX(TraitOfficers, SMALL(IF(ISNUMBER(MATCH(TraitNames,$AT$2:$AT$5, 0)), MATCH(ROW(TraitNames), ROW(TraitNames)), ""), ROWS($A$1:A3))),"")</f>
        <v/>
      </c>
      <c r="AV4" s="80" t="str">
        <f t="array" aca="1" ref="AV4" ca="1">IFERROR(INDEX(Planning4Match, MATCH(0,COUNTIF($AV$1:AV3,Planning4Match), 0))," ")</f>
        <v xml:space="preserve"> </v>
      </c>
      <c r="AW4" s="80" t="str">
        <f>IFERROR(LEFT('ATA Planning'!H18,LEN('ATA Planning'!H18)-5),"")</f>
        <v/>
      </c>
      <c r="AX4" s="80" t="str">
        <f t="array" aca="1" ref="AX4" ca="1">IFERROR(INDEX(TraitOfficers, SMALL(IF(ISNUMBER(MATCH(TraitNames,$AW$2:$AW$5, 0)), MATCH(ROW(TraitNames), ROW(TraitNames)), ""), ROWS($A$1:A3))),"")</f>
        <v/>
      </c>
      <c r="AY4" s="80" t="str">
        <f t="array" aca="1" ref="AY4" ca="1">IFERROR(INDEX(Planning5Match, MATCH(0,COUNTIF($AY$1:AY3,Planning5Match), 0))," ")</f>
        <v xml:space="preserve"> </v>
      </c>
      <c r="AZ4" s="80" t="str">
        <f>IFERROR(LEFT('ATA Planning'!H21,LEN('ATA Planning'!H21)-5),"")</f>
        <v/>
      </c>
      <c r="BA4" s="80" t="str">
        <f t="array" aca="1" ref="BA4" ca="1">IFERROR(INDEX(TraitOfficers, SMALL(IF(ISNUMBER(MATCH(TraitNames,$AZ$2:$AZ$5, 0)), MATCH(ROW(TraitNames), ROW(TraitNames)), ""), ROWS($A$1:A3))),"")</f>
        <v/>
      </c>
      <c r="BB4" s="80" t="str">
        <f t="array" aca="1" ref="BB4" ca="1">IFERROR(INDEX(Planning6Match, MATCH(0,COUNTIF($BB$1:BB3,Planning6Match), 0))," ")</f>
        <v xml:space="preserve"> </v>
      </c>
      <c r="BC4" s="80" t="str">
        <f>IFERROR(LEFT('ATA Planning'!H24,LEN('ATA Planning'!H24)-5),"")</f>
        <v/>
      </c>
      <c r="BD4" s="80" t="str">
        <f t="array" aca="1" ref="BD4" ca="1">IFERROR(INDEX(TraitOfficers, SMALL(IF(ISNUMBER(MATCH(TraitNames,$BC$2:$BC$5, 0)), MATCH(ROW(TraitNames), ROW(TraitNames)), ""), ROWS($A$1:A3))),"")</f>
        <v/>
      </c>
      <c r="BE4" s="80" t="str">
        <f t="array" aca="1" ref="BE4" ca="1">IFERROR(INDEX(Planning7Match, MATCH(0,COUNTIF($BE$1:BE3,Planning7Match), 0))," ")</f>
        <v xml:space="preserve"> </v>
      </c>
      <c r="BF4" s="80" t="str">
        <f>IFERROR(LEFT('ATA Planning'!H27,LEN('ATA Planning'!H27)-5),"")</f>
        <v/>
      </c>
      <c r="BG4" s="80" t="str">
        <f t="array" aca="1" ref="BG4" ca="1">IFERROR(INDEX(TraitOfficers, SMALL(IF(ISNUMBER(MATCH(TraitNames,$BF$2:$BF$5, 0)), MATCH(ROW(TraitNames), ROW(TraitNames)), ""), ROWS($A$1:A3))),"")</f>
        <v/>
      </c>
      <c r="BH4" s="80" t="str">
        <f t="array" aca="1" ref="BH4" ca="1">IFERROR(INDEX(Planning8Match, MATCH(0,COUNTIF($BH$1:BH3,Planning8Match), 0))," ")</f>
        <v xml:space="preserve"> </v>
      </c>
      <c r="BI4" s="80" t="str">
        <f>IFERROR(LEFT('ATA Planning'!H30,LEN('ATA Planning'!H30)-5),"")</f>
        <v/>
      </c>
      <c r="BJ4" s="80" t="str">
        <f t="array" aca="1" ref="BJ4" ca="1">IFERROR(INDEX(TraitOfficers, SMALL(IF(ISNUMBER(MATCH(TraitNames,$BI$2:$BI$5, 0)), MATCH(ROW(TraitNames), ROW(TraitNames)), ""), ROWS($A$1:A3))),"")</f>
        <v/>
      </c>
      <c r="BK4" s="80" t="str">
        <f t="array" aca="1" ref="BK4" ca="1">IFERROR(INDEX(Planning9Match, MATCH(0,COUNTIF($BK$1:BK3,Planning9Match), 0))," ")</f>
        <v xml:space="preserve"> </v>
      </c>
      <c r="BL4" s="80" t="str">
        <f>IFERROR(LEFT('ATA Planning'!H33,LEN('ATA Planning'!H33)-5),"")</f>
        <v/>
      </c>
      <c r="BM4" s="80" t="str">
        <f t="array" aca="1" ref="BM4" ca="1">IFERROR(INDEX(TraitOfficers, SMALL(IF(ISNUMBER(MATCH(TraitNames,$BL$2:$BL$5, 0)), MATCH(ROW(TraitNames), ROW(TraitNames)), ""), ROWS($A$1:A3))),"")</f>
        <v/>
      </c>
      <c r="BN4" s="80" t="str">
        <f t="array" aca="1" ref="BN4" ca="1">IFERROR(INDEX(Planning10Match, MATCH(0,COUNTIF($BN$1:BN3,Planning10Match), 0))," ")</f>
        <v xml:space="preserve"> </v>
      </c>
    </row>
    <row r="5" spans="1:66" x14ac:dyDescent="0.25">
      <c r="A5" s="80" t="s">
        <v>2166</v>
      </c>
      <c r="B5" s="80" t="s">
        <v>911</v>
      </c>
      <c r="C5" s="80" t="s">
        <v>111</v>
      </c>
      <c r="D5" s="80" t="s">
        <v>1599</v>
      </c>
      <c r="G5" s="80" t="s">
        <v>1611</v>
      </c>
      <c r="H5" s="80" t="s">
        <v>1488</v>
      </c>
      <c r="I5" s="80" t="s">
        <v>1493</v>
      </c>
      <c r="J5" s="80" t="s">
        <v>1494</v>
      </c>
      <c r="K5" s="80" t="s">
        <v>1484</v>
      </c>
      <c r="L5" s="80" t="s">
        <v>2120</v>
      </c>
      <c r="M5" s="81">
        <v>0</v>
      </c>
      <c r="N5" s="529">
        <v>0.03</v>
      </c>
      <c r="O5" s="80">
        <v>25</v>
      </c>
      <c r="P5" s="81">
        <v>0.75</v>
      </c>
      <c r="Q5" s="80" t="str">
        <f t="array" ref="Q5">INDEX(AwayMissionRewardsAll, SMALL(IF(SMALL(IF(COUNTIF($Q$1:Q4, AwayMissionRewardsAll)+ISBLANK(AwayMissionRewardsAll)=0, COUNTIF(AwayMissionRewardsAll, "&lt;"&amp;AwayMissionRewardsAll)+1, ""), 1)=IF(ISBLANK(AwayMissionRewardsAll), "", COUNTIF(AwayMissionRewardsAll, "&lt;"&amp;AwayMissionRewardsAll)+1), ROW(AwayMissionRewardsAll)-MIN(ROW(AwayMissionRewardsAll))+1), 1), MATCH(MIN(IF(COUNTIF($Q$1:Q4, AwayMissionRewardsAll)+ISBLANK(AwayMissionRewardsAll)&gt;0, "", COUNTIF(AwayMissionRewardsAll, "&lt;"&amp;AwayMissionRewardsAll)+1)), INDEX(IF(ISBLANK(AwayMissionRewardsAll), "", COUNTIF(AwayMissionRewardsAll, "&lt;"&amp;AwayMissionRewardsAll)+1), SMALL(IF(SMALL(IF(COUNTIF($Q$1:Q4, AwayMissionRewardsAll)+ISBLANK(AwayMissionRewardsAll)=0, COUNTIF(AwayMissionRewardsAll, "&lt;"&amp;AwayMissionRewardsAll)+1, ""), 1)=IF(ISBLANK(AwayMissionRewardsAll), "", COUNTIF(AwayMissionRewardsAll, "&lt;"&amp;AwayMissionRewardsAll)+1), ROW(AwayMissionRewardsAll)-MIN(ROW(AwayMissionRewardsAll))+1), 1), , 1), 0), 1)</f>
        <v>4* Raw Materials</v>
      </c>
      <c r="T5" s="80" t="str">
        <f t="array" ref="T5">INDEX(AwayMissionTraitsAll, SMALL(IF(SMALL(IF(COUNTIF($T$1:T4, AwayMissionTraitsAll)+ISBLANK(AwayMissionTraitsAll)=0, COUNTIF(AwayMissionTraitsAll, "&lt;"&amp;AwayMissionTraitsAll)+1, ""), 1)=IF(ISBLANK(AwayMissionTraitsAll), "", COUNTIF(AwayMissionTraitsAll, "&lt;"&amp;AwayMissionTraitsAll)+1), ROW(AwayMissionTraitsAll)-MIN(ROW(AwayMissionTraitsAll))+1), 1), MATCH(MIN(IF(COUNTIF($T$1:T4, AwayMissionTraitsAll)+ISBLANK(AwayMissionTraitsAll)&gt;0, "", COUNTIF(AwayMissionTraitsAll, "&lt;"&amp;AwayMissionTraitsAll)+1)), INDEX(IF(ISBLANK(AwayMissionTraitsAll), "", COUNTIF(AwayMissionTraitsAll, "&lt;"&amp;AwayMissionTraitsAll)+1), SMALL(IF(SMALL(IF(COUNTIF($T$1:T4, AwayMissionTraitsAll)+ISBLANK(AwayMissionTraitsAll)=0, COUNTIF(AwayMissionTraitsAll, "&lt;"&amp;AwayMissionTraitsAll)+1, ""), 1)=IF(ISBLANK(AwayMissionTraitsAll), "", COUNTIF(AwayMissionTraitsAll, "&lt;"&amp;AwayMissionTraitsAll)+1), ROW(AwayMissionTraitsAll)-MIN(ROW(AwayMissionTraitsAll))+1), 1), , 1), 0), 1)</f>
        <v>Ambitious</v>
      </c>
      <c r="U5" s="80">
        <f t="shared" si="0"/>
        <v>1</v>
      </c>
      <c r="V5" s="67" t="str">
        <f t="array" ref="V5">IFERROR(INDEX(AwayMissionsNames, SMALL(IF(ISNUMBER(MATCH(AwayMissionTraitsAll,'ATA Analysis'!$D$5:$D$7, 0)), MATCH(ROW(AwayMissionTraitsAll), ROW(AwayMissionTraitsAll)), ""), ROWS($A$1:A4))),"")</f>
        <v/>
      </c>
      <c r="Y5" s="80">
        <v>4</v>
      </c>
      <c r="Z5" s="80" t="str">
        <f t="array" ref="Z5">INDEX(AwayMissionTraits,SMALL(IF(AwayMissionTraitsTotals=AA5,ROW(AwayMissionTraitsTotals)-ROW('AM Lookup'!$U$1)),
COUNTIF($AA$2:AA5,AA5)))</f>
        <v>Scientist</v>
      </c>
      <c r="AA5" s="80">
        <f t="array" ref="AA5">LARGE(AwayMissionTraitsTotals,ROW(Z5)-ROW($Z$1))</f>
        <v>15</v>
      </c>
      <c r="AB5" s="80">
        <v>4</v>
      </c>
      <c r="AC5" s="80" t="str">
        <f t="array" ref="AC5">INDEX(TraitOfficers,SMALL(IF(TotalTraitsAppearance=AD5,ROW(TotalTraitsAppearance)-ROW('ATA Overview'!$N$25)),
COUNTIF($AD$2:AD5,AD5)))</f>
        <v>Rom</v>
      </c>
      <c r="AD5" s="80">
        <f t="array" ref="AD5">LARGE(TotalTraitsAppearance,ROW(AD5)-ROW($AD$1))</f>
        <v>30</v>
      </c>
      <c r="AE5" s="80" t="str">
        <f t="array" ref="AE5">IF(AF5&lt;&gt;"",INDEX(TraitOfficers,SMALL(IF(TopATAScores=AF5,ROW(TopATAScores)-ROW('ATA Overview'!$N$25)),
COUNTIF($AF$2:AF5,AF5))),"")</f>
        <v/>
      </c>
      <c r="AF5" s="453" t="str">
        <f t="array" ref="AF5">IFERROR(LARGE(TopATAScores,ROW(AF5)-ROW($AF$1)),"")</f>
        <v/>
      </c>
      <c r="AG5" s="80" t="s">
        <v>2062</v>
      </c>
      <c r="AH5" s="80">
        <v>3</v>
      </c>
      <c r="AI5" s="80">
        <v>3800</v>
      </c>
      <c r="AJ5" s="80">
        <f t="shared" si="1"/>
        <v>8000</v>
      </c>
      <c r="AK5" s="80" t="str">
        <f>IFERROR(LEFT('ATA Planning'!J6,LEN('ATA Planning'!J6)-5),"")</f>
        <v/>
      </c>
      <c r="AL5" s="80" t="str">
        <f t="array" aca="1" ref="AL5" ca="1">IFERROR(INDEX(TraitOfficers, SMALL(IF(ISNUMBER(MATCH(TraitNames,$AK$2:$AK$5, 0)), MATCH(ROW(TraitNames), ROW(TraitNames)), ""), ROWS($A$1:A4))),"")</f>
        <v/>
      </c>
      <c r="AM5" s="80" t="str">
        <f t="array" aca="1" ref="AM5" ca="1">IFERROR(INDEX(Planning1Match, MATCH(0,COUNTIF($AM$1:AM4,Planning1Match), 0))," ")</f>
        <v xml:space="preserve"> </v>
      </c>
      <c r="AN5" s="80" t="str">
        <f>IFERROR(LEFT('ATA Planning'!J9,LEN('ATA Planning'!J9)-5),"")</f>
        <v/>
      </c>
      <c r="AO5" s="67" t="str">
        <f t="array" aca="1" ref="AO5" ca="1">IFERROR(INDEX(TraitOfficers, SMALL(IF(ISNUMBER(MATCH(TraitNames,$AN$2:$AN$5, 0)), MATCH(ROW(TraitNames), ROW(TraitNames)), ""), ROWS($A$1:A4))),"")</f>
        <v/>
      </c>
      <c r="AP5" s="80" t="str">
        <f t="array" aca="1" ref="AP5" ca="1">IFERROR(INDEX(Planning2Match, MATCH(0,COUNTIF($AP$1:AP4,Planning2Match), 0))," ")</f>
        <v xml:space="preserve"> </v>
      </c>
      <c r="AQ5" s="80" t="str">
        <f>IFERROR(LEFT('ATA Planning'!J12,LEN('ATA Planning'!J12)-5),"")</f>
        <v/>
      </c>
      <c r="AR5" s="80" t="str">
        <f t="array" aca="1" ref="AR5" ca="1">IFERROR(INDEX(TraitOfficers, SMALL(IF(ISNUMBER(MATCH(TraitNames,$AQ$2:$AQ$5, 0)), MATCH(ROW(TraitNames), ROW(TraitNames)), ""), ROWS($A$1:A4))),"")</f>
        <v/>
      </c>
      <c r="AS5" s="80" t="str">
        <f t="array" aca="1" ref="AS5" ca="1">IFERROR(INDEX(Planning3Match, MATCH(0,COUNTIF($AS$1:AS4,Planning3Match), 0))," ")</f>
        <v xml:space="preserve"> </v>
      </c>
      <c r="AT5" s="80" t="str">
        <f>IFERROR(LEFT('ATA Planning'!J15,LEN('ATA Planning'!J15)-5),"")</f>
        <v/>
      </c>
      <c r="AU5" s="80" t="str">
        <f t="array" aca="1" ref="AU5" ca="1">IFERROR(INDEX(TraitOfficers, SMALL(IF(ISNUMBER(MATCH(TraitNames,$AT$2:$AT$5, 0)), MATCH(ROW(TraitNames), ROW(TraitNames)), ""), ROWS($A$1:A4))),"")</f>
        <v/>
      </c>
      <c r="AV5" s="80" t="str">
        <f t="array" aca="1" ref="AV5" ca="1">IFERROR(INDEX(Planning4Match, MATCH(0,COUNTIF($AV$1:AV4,Planning4Match), 0))," ")</f>
        <v xml:space="preserve"> </v>
      </c>
      <c r="AW5" s="80" t="str">
        <f>IFERROR(LEFT('ATA Planning'!J18,LEN('ATA Planning'!J18)-5),"")</f>
        <v/>
      </c>
      <c r="AX5" s="80" t="str">
        <f t="array" aca="1" ref="AX5" ca="1">IFERROR(INDEX(TraitOfficers, SMALL(IF(ISNUMBER(MATCH(TraitNames,$AW$2:$AW$5, 0)), MATCH(ROW(TraitNames), ROW(TraitNames)), ""), ROWS($A$1:A4))),"")</f>
        <v/>
      </c>
      <c r="AY5" s="80" t="str">
        <f t="array" aca="1" ref="AY5" ca="1">IFERROR(INDEX(Planning5Match, MATCH(0,COUNTIF($AY$1:AY4,Planning5Match), 0))," ")</f>
        <v xml:space="preserve"> </v>
      </c>
      <c r="AZ5" s="80" t="str">
        <f>IFERROR(LEFT('ATA Planning'!J21,LEN('ATA Planning'!J21)-5),"")</f>
        <v/>
      </c>
      <c r="BA5" s="80" t="str">
        <f t="array" aca="1" ref="BA5" ca="1">IFERROR(INDEX(TraitOfficers, SMALL(IF(ISNUMBER(MATCH(TraitNames,$AZ$2:$AZ$5, 0)), MATCH(ROW(TraitNames), ROW(TraitNames)), ""), ROWS($A$1:A4))),"")</f>
        <v/>
      </c>
      <c r="BB5" s="80" t="str">
        <f t="array" aca="1" ref="BB5" ca="1">IFERROR(INDEX(Planning6Match, MATCH(0,COUNTIF($BB$1:BB4,Planning6Match), 0))," ")</f>
        <v xml:space="preserve"> </v>
      </c>
      <c r="BC5" s="80" t="str">
        <f>IFERROR(LEFT('ATA Planning'!J24,LEN('ATA Planning'!J24)-5),"")</f>
        <v/>
      </c>
      <c r="BD5" s="80" t="str">
        <f t="array" aca="1" ref="BD5" ca="1">IFERROR(INDEX(TraitOfficers, SMALL(IF(ISNUMBER(MATCH(TraitNames,$BC$2:$BC$5, 0)), MATCH(ROW(TraitNames), ROW(TraitNames)), ""), ROWS($A$1:A4))),"")</f>
        <v/>
      </c>
      <c r="BE5" s="80" t="str">
        <f t="array" aca="1" ref="BE5" ca="1">IFERROR(INDEX(Planning7Match, MATCH(0,COUNTIF($BE$1:BE4,Planning7Match), 0))," ")</f>
        <v xml:space="preserve"> </v>
      </c>
      <c r="BF5" s="80" t="str">
        <f>IFERROR(LEFT('ATA Planning'!J27,LEN('ATA Planning'!J27)-5),"")</f>
        <v/>
      </c>
      <c r="BG5" s="80" t="str">
        <f t="array" aca="1" ref="BG5" ca="1">IFERROR(INDEX(TraitOfficers, SMALL(IF(ISNUMBER(MATCH(TraitNames,$BF$2:$BF$5, 0)), MATCH(ROW(TraitNames), ROW(TraitNames)), ""), ROWS($A$1:A4))),"")</f>
        <v/>
      </c>
      <c r="BH5" s="80" t="str">
        <f t="array" aca="1" ref="BH5" ca="1">IFERROR(INDEX(Planning8Match, MATCH(0,COUNTIF($BH$1:BH4,Planning8Match), 0))," ")</f>
        <v xml:space="preserve"> </v>
      </c>
      <c r="BI5" s="80" t="str">
        <f>IFERROR(LEFT('ATA Planning'!J30,LEN('ATA Planning'!J30)-5),"")</f>
        <v/>
      </c>
      <c r="BJ5" s="80" t="str">
        <f t="array" aca="1" ref="BJ5" ca="1">IFERROR(INDEX(TraitOfficers, SMALL(IF(ISNUMBER(MATCH(TraitNames,$BI$2:$BI$5, 0)), MATCH(ROW(TraitNames), ROW(TraitNames)), ""), ROWS($A$1:A4))),"")</f>
        <v/>
      </c>
      <c r="BK5" s="80" t="str">
        <f t="array" aca="1" ref="BK5" ca="1">IFERROR(INDEX(Planning9Match, MATCH(0,COUNTIF($BK$1:BK4,Planning9Match), 0))," ")</f>
        <v xml:space="preserve"> </v>
      </c>
      <c r="BL5" s="80" t="str">
        <f>IFERROR(LEFT('ATA Planning'!J33,LEN('ATA Planning'!J33)-5),"")</f>
        <v/>
      </c>
      <c r="BM5" s="80" t="str">
        <f t="array" aca="1" ref="BM5" ca="1">IFERROR(INDEX(TraitOfficers, SMALL(IF(ISNUMBER(MATCH(TraitNames,$BL$2:$BL$5, 0)), MATCH(ROW(TraitNames), ROW(TraitNames)), ""), ROWS($A$1:A4))),"")</f>
        <v/>
      </c>
      <c r="BN5" s="80" t="str">
        <f t="array" aca="1" ref="BN5" ca="1">IFERROR(INDEX(Planning10Match, MATCH(0,COUNTIF($BN$1:BN4,Planning10Match), 0))," ")</f>
        <v xml:space="preserve"> </v>
      </c>
    </row>
    <row r="6" spans="1:66" x14ac:dyDescent="0.25">
      <c r="A6" s="80" t="s">
        <v>2167</v>
      </c>
      <c r="B6" s="80" t="s">
        <v>911</v>
      </c>
      <c r="C6" s="80" t="s">
        <v>112</v>
      </c>
      <c r="D6" s="80" t="s">
        <v>1599</v>
      </c>
      <c r="G6" s="80" t="s">
        <v>1611</v>
      </c>
      <c r="H6" s="80" t="s">
        <v>1468</v>
      </c>
      <c r="I6" s="80" t="s">
        <v>1493</v>
      </c>
      <c r="J6" s="80" t="s">
        <v>1494</v>
      </c>
      <c r="K6" s="80" t="s">
        <v>1484</v>
      </c>
      <c r="L6" s="80" t="s">
        <v>2120</v>
      </c>
      <c r="M6" s="81">
        <v>0</v>
      </c>
      <c r="N6" s="529">
        <v>0.03</v>
      </c>
      <c r="O6" s="80">
        <v>25</v>
      </c>
      <c r="P6" s="81">
        <v>0.75</v>
      </c>
      <c r="Q6" s="80" t="str">
        <f t="array" ref="Q6">INDEX(AwayMissionRewardsAll, SMALL(IF(SMALL(IF(COUNTIF($Q$1:Q5, AwayMissionRewardsAll)+ISBLANK(AwayMissionRewardsAll)=0, COUNTIF(AwayMissionRewardsAll, "&lt;"&amp;AwayMissionRewardsAll)+1, ""), 1)=IF(ISBLANK(AwayMissionRewardsAll), "", COUNTIF(AwayMissionRewardsAll, "&lt;"&amp;AwayMissionRewardsAll)+1), ROW(AwayMissionRewardsAll)-MIN(ROW(AwayMissionRewardsAll))+1), 1), MATCH(MIN(IF(COUNTIF($Q$1:Q5, AwayMissionRewardsAll)+ISBLANK(AwayMissionRewardsAll)&gt;0, "", COUNTIF(AwayMissionRewardsAll, "&lt;"&amp;AwayMissionRewardsAll)+1)), INDEX(IF(ISBLANK(AwayMissionRewardsAll), "", COUNTIF(AwayMissionRewardsAll, "&lt;"&amp;AwayMissionRewardsAll)+1), SMALL(IF(SMALL(IF(COUNTIF($Q$1:Q5, AwayMissionRewardsAll)+ISBLANK(AwayMissionRewardsAll)=0, COUNTIF(AwayMissionRewardsAll, "&lt;"&amp;AwayMissionRewardsAll)+1, ""), 1)=IF(ISBLANK(AwayMissionRewardsAll), "", COUNTIF(AwayMissionRewardsAll, "&lt;"&amp;AwayMissionRewardsAll)+1), ROW(AwayMissionRewardsAll)-MIN(ROW(AwayMissionRewardsAll))+1), 1), , 1), 0), 1)</f>
        <v>Active Nanoprobes</v>
      </c>
      <c r="T6" s="80" t="str">
        <f t="array" ref="T6">INDEX(AwayMissionTraitsAll, SMALL(IF(SMALL(IF(COUNTIF($T$1:T5, AwayMissionTraitsAll)+ISBLANK(AwayMissionTraitsAll)=0, COUNTIF(AwayMissionTraitsAll, "&lt;"&amp;AwayMissionTraitsAll)+1, ""), 1)=IF(ISBLANK(AwayMissionTraitsAll), "", COUNTIF(AwayMissionTraitsAll, "&lt;"&amp;AwayMissionTraitsAll)+1), ROW(AwayMissionTraitsAll)-MIN(ROW(AwayMissionTraitsAll))+1), 1), MATCH(MIN(IF(COUNTIF($T$1:T5, AwayMissionTraitsAll)+ISBLANK(AwayMissionTraitsAll)&gt;0, "", COUNTIF(AwayMissionTraitsAll, "&lt;"&amp;AwayMissionTraitsAll)+1)), INDEX(IF(ISBLANK(AwayMissionTraitsAll), "", COUNTIF(AwayMissionTraitsAll, "&lt;"&amp;AwayMissionTraitsAll)+1), SMALL(IF(SMALL(IF(COUNTIF($T$1:T5, AwayMissionTraitsAll)+ISBLANK(AwayMissionTraitsAll)=0, COUNTIF(AwayMissionTraitsAll, "&lt;"&amp;AwayMissionTraitsAll)+1, ""), 1)=IF(ISBLANK(AwayMissionTraitsAll), "", COUNTIF(AwayMissionTraitsAll, "&lt;"&amp;AwayMissionTraitsAll)+1), ROW(AwayMissionTraitsAll)-MIN(ROW(AwayMissionTraitsAll))+1), 1), , 1), 0), 1)</f>
        <v>Analytical</v>
      </c>
      <c r="U6" s="80">
        <f t="shared" si="0"/>
        <v>8</v>
      </c>
      <c r="V6" s="67" t="str">
        <f t="array" ref="V6">IFERROR(INDEX(AwayMissionsNames, SMALL(IF(ISNUMBER(MATCH(AwayMissionTraitsAll,'ATA Analysis'!$D$5:$D$7, 0)), MATCH(ROW(AwayMissionTraitsAll), ROW(AwayMissionTraitsAll)), ""), ROWS($A$1:A5))),"")</f>
        <v/>
      </c>
      <c r="Y6" s="80">
        <v>5</v>
      </c>
      <c r="Z6" s="80" t="str">
        <f t="array" ref="Z6">INDEX(AwayMissionTraits,SMALL(IF(AwayMissionTraitsTotals=AA6,ROW(AwayMissionTraitsTotals)-ROW('AM Lookup'!$U$1)),
COUNTIF($AA$2:AA6,AA6)))</f>
        <v>Charismatic</v>
      </c>
      <c r="AA6" s="80">
        <f t="array" ref="AA6">LARGE(AwayMissionTraitsTotals,ROW(Z6)-ROW($Z$1))</f>
        <v>10</v>
      </c>
      <c r="AB6" s="80">
        <v>5</v>
      </c>
      <c r="AC6" s="80" t="str">
        <f t="array" ref="AC6">INDEX(TraitOfficers,SMALL(IF(TotalTraitsAppearance=AD6,ROW(TotalTraitsAppearance)-ROW('ATA Overview'!$N$25)),
COUNTIF($AD$2:AD6,AD6)))</f>
        <v>Carol</v>
      </c>
      <c r="AD6" s="80">
        <f t="array" ref="AD6">LARGE(TotalTraitsAppearance,ROW(AD6)-ROW($AD$1))</f>
        <v>28</v>
      </c>
      <c r="AE6" s="80" t="str">
        <f t="array" ref="AE6">IF(AF6&lt;&gt;"",INDEX(TraitOfficers,SMALL(IF(TopATAScores=AF6,ROW(TopATAScores)-ROW('ATA Overview'!$N$25)),
COUNTIF($AF$2:AF6,AF6))),"")</f>
        <v/>
      </c>
      <c r="AF6" s="453" t="str">
        <f t="array" ref="AF6">IFERROR(LARGE(TopATAScores,ROW(AF6)-ROW($AF$1)),"")</f>
        <v/>
      </c>
      <c r="AG6" s="80" t="s">
        <v>2063</v>
      </c>
      <c r="AH6" s="80">
        <v>4</v>
      </c>
      <c r="AI6" s="80">
        <v>7650</v>
      </c>
      <c r="AJ6" s="80">
        <f t="shared" si="1"/>
        <v>15650</v>
      </c>
      <c r="AL6" s="80" t="str">
        <f t="array" aca="1" ref="AL6" ca="1">IFERROR(INDEX(TraitOfficers, SMALL(IF(ISNUMBER(MATCH(TraitNames,$AK$2:$AK$5, 0)), MATCH(ROW(TraitNames), ROW(TraitNames)), ""), ROWS($A$1:A5))),"")</f>
        <v/>
      </c>
      <c r="AM6" s="80" t="str">
        <f t="array" aca="1" ref="AM6" ca="1">IFERROR(INDEX(Planning1Match, MATCH(0,COUNTIF($AM$1:AM5,Planning1Match), 0))," ")</f>
        <v xml:space="preserve"> </v>
      </c>
      <c r="AO6" s="67" t="str">
        <f t="array" aca="1" ref="AO6" ca="1">IFERROR(INDEX(TraitOfficers, SMALL(IF(ISNUMBER(MATCH(TraitNames,$AN$2:$AN$5, 0)), MATCH(ROW(TraitNames), ROW(TraitNames)), ""), ROWS($A$1:A5))),"")</f>
        <v/>
      </c>
      <c r="AP6" s="80" t="str">
        <f t="array" aca="1" ref="AP6" ca="1">IFERROR(INDEX(Planning2Match, MATCH(0,COUNTIF($AP$1:AP5,Planning2Match), 0))," ")</f>
        <v xml:space="preserve"> </v>
      </c>
      <c r="AR6" s="80" t="str">
        <f t="array" aca="1" ref="AR6" ca="1">IFERROR(INDEX(TraitOfficers, SMALL(IF(ISNUMBER(MATCH(TraitNames,$AQ$2:$AQ$5, 0)), MATCH(ROW(TraitNames), ROW(TraitNames)), ""), ROWS($A$1:A5))),"")</f>
        <v/>
      </c>
      <c r="AS6" s="80" t="str">
        <f t="array" aca="1" ref="AS6" ca="1">IFERROR(INDEX(Planning3Match, MATCH(0,COUNTIF($AS$1:AS5,Planning3Match), 0))," ")</f>
        <v xml:space="preserve"> </v>
      </c>
      <c r="AU6" s="80" t="str">
        <f t="array" aca="1" ref="AU6" ca="1">IFERROR(INDEX(TraitOfficers, SMALL(IF(ISNUMBER(MATCH(TraitNames,$AT$2:$AT$5, 0)), MATCH(ROW(TraitNames), ROW(TraitNames)), ""), ROWS($A$1:A5))),"")</f>
        <v/>
      </c>
      <c r="AV6" s="80" t="str">
        <f t="array" aca="1" ref="AV6" ca="1">IFERROR(INDEX(Planning4Match, MATCH(0,COUNTIF($AV$1:AV5,Planning4Match), 0))," ")</f>
        <v xml:space="preserve"> </v>
      </c>
      <c r="AX6" s="80" t="str">
        <f t="array" aca="1" ref="AX6" ca="1">IFERROR(INDEX(TraitOfficers, SMALL(IF(ISNUMBER(MATCH(TraitNames,$AW$2:$AW$5, 0)), MATCH(ROW(TraitNames), ROW(TraitNames)), ""), ROWS($A$1:A5))),"")</f>
        <v/>
      </c>
      <c r="AY6" s="80" t="str">
        <f t="array" aca="1" ref="AY6" ca="1">IFERROR(INDEX(Planning5Match, MATCH(0,COUNTIF($AY$1:AY5,Planning5Match), 0))," ")</f>
        <v xml:space="preserve"> </v>
      </c>
      <c r="BA6" s="80" t="str">
        <f t="array" aca="1" ref="BA6" ca="1">IFERROR(INDEX(TraitOfficers, SMALL(IF(ISNUMBER(MATCH(TraitNames,$AZ$2:$AZ$5, 0)), MATCH(ROW(TraitNames), ROW(TraitNames)), ""), ROWS($A$1:A5))),"")</f>
        <v/>
      </c>
      <c r="BB6" s="80" t="str">
        <f t="array" aca="1" ref="BB6" ca="1">IFERROR(INDEX(Planning6Match, MATCH(0,COUNTIF($BB$1:BB5,Planning6Match), 0))," ")</f>
        <v xml:space="preserve"> </v>
      </c>
      <c r="BD6" s="80" t="str">
        <f t="array" aca="1" ref="BD6" ca="1">IFERROR(INDEX(TraitOfficers, SMALL(IF(ISNUMBER(MATCH(TraitNames,$BC$2:$BC$5, 0)), MATCH(ROW(TraitNames), ROW(TraitNames)), ""), ROWS($A$1:A5))),"")</f>
        <v/>
      </c>
      <c r="BE6" s="80" t="str">
        <f t="array" aca="1" ref="BE6" ca="1">IFERROR(INDEX(Planning7Match, MATCH(0,COUNTIF($BE$1:BE5,Planning7Match), 0))," ")</f>
        <v xml:space="preserve"> </v>
      </c>
      <c r="BG6" s="80" t="str">
        <f t="array" aca="1" ref="BG6" ca="1">IFERROR(INDEX(TraitOfficers, SMALL(IF(ISNUMBER(MATCH(TraitNames,$BF$2:$BF$5, 0)), MATCH(ROW(TraitNames), ROW(TraitNames)), ""), ROWS($A$1:A5))),"")</f>
        <v/>
      </c>
      <c r="BH6" s="80" t="str">
        <f t="array" aca="1" ref="BH6" ca="1">IFERROR(INDEX(Planning8Match, MATCH(0,COUNTIF($BH$1:BH5,Planning8Match), 0))," ")</f>
        <v xml:space="preserve"> </v>
      </c>
      <c r="BJ6" s="80" t="str">
        <f t="array" aca="1" ref="BJ6" ca="1">IFERROR(INDEX(TraitOfficers, SMALL(IF(ISNUMBER(MATCH(TraitNames,$BI$2:$BI$5, 0)), MATCH(ROW(TraitNames), ROW(TraitNames)), ""), ROWS($A$1:A5))),"")</f>
        <v/>
      </c>
      <c r="BK6" s="80" t="str">
        <f t="array" aca="1" ref="BK6" ca="1">IFERROR(INDEX(Planning9Match, MATCH(0,COUNTIF($BK$1:BK5,Planning9Match), 0))," ")</f>
        <v xml:space="preserve"> </v>
      </c>
      <c r="BM6" s="80" t="str">
        <f t="array" aca="1" ref="BM6" ca="1">IFERROR(INDEX(TraitOfficers, SMALL(IF(ISNUMBER(MATCH(TraitNames,$BL$2:$BL$5, 0)), MATCH(ROW(TraitNames), ROW(TraitNames)), ""), ROWS($A$1:A5))),"")</f>
        <v/>
      </c>
      <c r="BN6" s="80" t="str">
        <f t="array" aca="1" ref="BN6" ca="1">IFERROR(INDEX(Planning10Match, MATCH(0,COUNTIF($BN$1:BN5,Planning10Match), 0))," ")</f>
        <v xml:space="preserve"> </v>
      </c>
    </row>
    <row r="7" spans="1:66" x14ac:dyDescent="0.25">
      <c r="A7" s="80" t="s">
        <v>2168</v>
      </c>
      <c r="B7" s="80" t="s">
        <v>911</v>
      </c>
      <c r="C7" s="80" t="s">
        <v>110</v>
      </c>
      <c r="H7" s="80" t="s">
        <v>1407</v>
      </c>
      <c r="I7" s="80" t="s">
        <v>1493</v>
      </c>
      <c r="J7" s="80" t="s">
        <v>1494</v>
      </c>
      <c r="K7" s="80" t="s">
        <v>1484</v>
      </c>
      <c r="L7" s="80" t="s">
        <v>2120</v>
      </c>
      <c r="M7" s="81">
        <v>0.1</v>
      </c>
      <c r="N7" s="529">
        <v>0.03</v>
      </c>
      <c r="O7" s="80">
        <v>25</v>
      </c>
      <c r="P7" s="81">
        <v>0.85</v>
      </c>
      <c r="Q7" s="80" t="str">
        <f t="array" ref="Q7">INDEX(AwayMissionRewardsAll, SMALL(IF(SMALL(IF(COUNTIF($Q$1:Q6, AwayMissionRewardsAll)+ISBLANK(AwayMissionRewardsAll)=0, COUNTIF(AwayMissionRewardsAll, "&lt;"&amp;AwayMissionRewardsAll)+1, ""), 1)=IF(ISBLANK(AwayMissionRewardsAll), "", COUNTIF(AwayMissionRewardsAll, "&lt;"&amp;AwayMissionRewardsAll)+1), ROW(AwayMissionRewardsAll)-MIN(ROW(AwayMissionRewardsAll))+1), 1), MATCH(MIN(IF(COUNTIF($Q$1:Q6, AwayMissionRewardsAll)+ISBLANK(AwayMissionRewardsAll)&gt;0, "", COUNTIF(AwayMissionRewardsAll, "&lt;"&amp;AwayMissionRewardsAll)+1)), INDEX(IF(ISBLANK(AwayMissionRewardsAll), "", COUNTIF(AwayMissionRewardsAll, "&lt;"&amp;AwayMissionRewardsAll)+1), SMALL(IF(SMALL(IF(COUNTIF($Q$1:Q6, AwayMissionRewardsAll)+ISBLANK(AwayMissionRewardsAll)=0, COUNTIF(AwayMissionRewardsAll, "&lt;"&amp;AwayMissionRewardsAll)+1, ""), 1)=IF(ISBLANK(AwayMissionRewardsAll), "", COUNTIF(AwayMissionRewardsAll, "&lt;"&amp;AwayMissionRewardsAll)+1), ROW(AwayMissionRewardsAll)-MIN(ROW(AwayMissionRewardsAll))+1), 1), , 1), 0), 1)</f>
        <v>Alliance Exocomp</v>
      </c>
      <c r="T7" s="80" t="str">
        <f t="array" ref="T7">INDEX(AwayMissionTraitsAll, SMALL(IF(SMALL(IF(COUNTIF($T$1:T6, AwayMissionTraitsAll)+ISBLANK(AwayMissionTraitsAll)=0, COUNTIF(AwayMissionTraitsAll, "&lt;"&amp;AwayMissionTraitsAll)+1, ""), 1)=IF(ISBLANK(AwayMissionTraitsAll), "", COUNTIF(AwayMissionTraitsAll, "&lt;"&amp;AwayMissionTraitsAll)+1), ROW(AwayMissionTraitsAll)-MIN(ROW(AwayMissionTraitsAll))+1), 1), MATCH(MIN(IF(COUNTIF($T$1:T6, AwayMissionTraitsAll)+ISBLANK(AwayMissionTraitsAll)&gt;0, "", COUNTIF(AwayMissionTraitsAll, "&lt;"&amp;AwayMissionTraitsAll)+1)), INDEX(IF(ISBLANK(AwayMissionTraitsAll), "", COUNTIF(AwayMissionTraitsAll, "&lt;"&amp;AwayMissionTraitsAll)+1), SMALL(IF(SMALL(IF(COUNTIF($T$1:T6, AwayMissionTraitsAll)+ISBLANK(AwayMissionTraitsAll)=0, COUNTIF(AwayMissionTraitsAll, "&lt;"&amp;AwayMissionTraitsAll)+1, ""), 1)=IF(ISBLANK(AwayMissionTraitsAll), "", COUNTIF(AwayMissionTraitsAll, "&lt;"&amp;AwayMissionTraitsAll)+1), ROW(AwayMissionTraitsAll)-MIN(ROW(AwayMissionTraitsAll))+1), 1), , 1), 0), 1)</f>
        <v>Android</v>
      </c>
      <c r="U7" s="80">
        <f t="shared" si="0"/>
        <v>2</v>
      </c>
      <c r="V7" s="67" t="str">
        <f t="array" ref="V7">IFERROR(INDEX(AwayMissionsNames, SMALL(IF(ISNUMBER(MATCH(AwayMissionTraitsAll,'ATA Analysis'!$D$5:$D$7, 0)), MATCH(ROW(AwayMissionTraitsAll), ROW(AwayMissionTraitsAll)), ""), ROWS($A$1:A6))),"")</f>
        <v/>
      </c>
      <c r="Y7" s="80">
        <v>6</v>
      </c>
      <c r="Z7" s="80" t="str">
        <f t="array" ref="Z7">INDEX(AwayMissionTraits,SMALL(IF(AwayMissionTraitsTotals=AA7,ROW(AwayMissionTraitsTotals)-ROW('AM Lookup'!$U$1)),
COUNTIF($AA$2:AA7,AA7)))</f>
        <v>Rogue</v>
      </c>
      <c r="AA7" s="80">
        <f t="array" ref="AA7">LARGE(AwayMissionTraitsTotals,ROW(Z7)-ROW($Z$1))</f>
        <v>10</v>
      </c>
      <c r="AB7" s="80">
        <v>6</v>
      </c>
      <c r="AC7" s="80" t="str">
        <f t="array" ref="AC7">INDEX(TraitOfficers,SMALL(IF(TotalTraitsAppearance=AD7,ROW(TotalTraitsAppearance)-ROW('ATA Overview'!$N$25)),
COUNTIF($AD$2:AD7,AD7)))</f>
        <v>Geordi La Forge</v>
      </c>
      <c r="AD7" s="80">
        <f t="array" ref="AD7">LARGE(TotalTraitsAppearance,ROW(AD7)-ROW($AD$1))</f>
        <v>26</v>
      </c>
      <c r="AE7" s="80" t="str">
        <f t="array" ref="AE7">IF(AF7&lt;&gt;"",INDEX(TraitOfficers,SMALL(IF(TopATAScores=AF7,ROW(TopATAScores)-ROW('ATA Overview'!$N$25)),
COUNTIF($AF$2:AF7,AF7))),"")</f>
        <v/>
      </c>
      <c r="AF7" s="453" t="str">
        <f t="array" ref="AF7">IFERROR(LARGE(TopATAScores,ROW(AF7)-ROW($AF$1)),"")</f>
        <v/>
      </c>
      <c r="AG7" s="80" t="s">
        <v>2064</v>
      </c>
      <c r="AH7" s="80">
        <v>5</v>
      </c>
      <c r="AI7" s="80">
        <v>6000</v>
      </c>
      <c r="AJ7" s="80">
        <f t="shared" si="1"/>
        <v>21650</v>
      </c>
      <c r="AL7" s="80" t="str">
        <f t="array" aca="1" ref="AL7" ca="1">IFERROR(INDEX(TraitOfficers, SMALL(IF(ISNUMBER(MATCH(TraitNames,$AK$2:$AK$5, 0)), MATCH(ROW(TraitNames), ROW(TraitNames)), ""), ROWS($A$1:A6))),"")</f>
        <v/>
      </c>
      <c r="AM7" s="80" t="str">
        <f t="array" aca="1" ref="AM7" ca="1">IFERROR(INDEX(Planning1Match, MATCH(0,COUNTIF($AM$1:AM6,Planning1Match), 0))," ")</f>
        <v xml:space="preserve"> </v>
      </c>
      <c r="AO7" s="67" t="str">
        <f t="array" aca="1" ref="AO7" ca="1">IFERROR(INDEX(TraitOfficers, SMALL(IF(ISNUMBER(MATCH(TraitNames,$AN$2:$AN$5, 0)), MATCH(ROW(TraitNames), ROW(TraitNames)), ""), ROWS($A$1:A6))),"")</f>
        <v/>
      </c>
      <c r="AP7" s="80" t="str">
        <f t="array" aca="1" ref="AP7" ca="1">IFERROR(INDEX(Planning2Match, MATCH(0,COUNTIF($AP$1:AP6,Planning2Match), 0))," ")</f>
        <v xml:space="preserve"> </v>
      </c>
      <c r="AR7" s="80" t="str">
        <f t="array" aca="1" ref="AR7" ca="1">IFERROR(INDEX(TraitOfficers, SMALL(IF(ISNUMBER(MATCH(TraitNames,$AQ$2:$AQ$5, 0)), MATCH(ROW(TraitNames), ROW(TraitNames)), ""), ROWS($A$1:A6))),"")</f>
        <v/>
      </c>
      <c r="AS7" s="80" t="str">
        <f t="array" aca="1" ref="AS7" ca="1">IFERROR(INDEX(Planning3Match, MATCH(0,COUNTIF($AS$1:AS6,Planning3Match), 0))," ")</f>
        <v xml:space="preserve"> </v>
      </c>
      <c r="AU7" s="80" t="str">
        <f t="array" aca="1" ref="AU7" ca="1">IFERROR(INDEX(TraitOfficers, SMALL(IF(ISNUMBER(MATCH(TraitNames,$AT$2:$AT$5, 0)), MATCH(ROW(TraitNames), ROW(TraitNames)), ""), ROWS($A$1:A6))),"")</f>
        <v/>
      </c>
      <c r="AV7" s="80" t="str">
        <f t="array" aca="1" ref="AV7" ca="1">IFERROR(INDEX(Planning4Match, MATCH(0,COUNTIF($AV$1:AV6,Planning4Match), 0))," ")</f>
        <v xml:space="preserve"> </v>
      </c>
      <c r="AX7" s="80" t="str">
        <f t="array" aca="1" ref="AX7" ca="1">IFERROR(INDEX(TraitOfficers, SMALL(IF(ISNUMBER(MATCH(TraitNames,$AW$2:$AW$5, 0)), MATCH(ROW(TraitNames), ROW(TraitNames)), ""), ROWS($A$1:A6))),"")</f>
        <v/>
      </c>
      <c r="AY7" s="80" t="str">
        <f t="array" aca="1" ref="AY7" ca="1">IFERROR(INDEX(Planning5Match, MATCH(0,COUNTIF($AY$1:AY6,Planning5Match), 0))," ")</f>
        <v xml:space="preserve"> </v>
      </c>
      <c r="BA7" s="80" t="str">
        <f t="array" aca="1" ref="BA7" ca="1">IFERROR(INDEX(TraitOfficers, SMALL(IF(ISNUMBER(MATCH(TraitNames,$AZ$2:$AZ$5, 0)), MATCH(ROW(TraitNames), ROW(TraitNames)), ""), ROWS($A$1:A6))),"")</f>
        <v/>
      </c>
      <c r="BB7" s="80" t="str">
        <f t="array" aca="1" ref="BB7" ca="1">IFERROR(INDEX(Planning6Match, MATCH(0,COUNTIF($BB$1:BB6,Planning6Match), 0))," ")</f>
        <v xml:space="preserve"> </v>
      </c>
      <c r="BD7" s="80" t="str">
        <f t="array" aca="1" ref="BD7" ca="1">IFERROR(INDEX(TraitOfficers, SMALL(IF(ISNUMBER(MATCH(TraitNames,$BC$2:$BC$5, 0)), MATCH(ROW(TraitNames), ROW(TraitNames)), ""), ROWS($A$1:A6))),"")</f>
        <v/>
      </c>
      <c r="BE7" s="80" t="str">
        <f t="array" aca="1" ref="BE7" ca="1">IFERROR(INDEX(Planning7Match, MATCH(0,COUNTIF($BE$1:BE6,Planning7Match), 0))," ")</f>
        <v xml:space="preserve"> </v>
      </c>
      <c r="BG7" s="80" t="str">
        <f t="array" aca="1" ref="BG7" ca="1">IFERROR(INDEX(TraitOfficers, SMALL(IF(ISNUMBER(MATCH(TraitNames,$BF$2:$BF$5, 0)), MATCH(ROW(TraitNames), ROW(TraitNames)), ""), ROWS($A$1:A6))),"")</f>
        <v/>
      </c>
      <c r="BH7" s="80" t="str">
        <f t="array" aca="1" ref="BH7" ca="1">IFERROR(INDEX(Planning8Match, MATCH(0,COUNTIF($BH$1:BH6,Planning8Match), 0))," ")</f>
        <v xml:space="preserve"> </v>
      </c>
      <c r="BJ7" s="80" t="str">
        <f t="array" aca="1" ref="BJ7" ca="1">IFERROR(INDEX(TraitOfficers, SMALL(IF(ISNUMBER(MATCH(TraitNames,$BI$2:$BI$5, 0)), MATCH(ROW(TraitNames), ROW(TraitNames)), ""), ROWS($A$1:A6))),"")</f>
        <v/>
      </c>
      <c r="BK7" s="80" t="str">
        <f t="array" aca="1" ref="BK7" ca="1">IFERROR(INDEX(Planning9Match, MATCH(0,COUNTIF($BK$1:BK6,Planning9Match), 0))," ")</f>
        <v xml:space="preserve"> </v>
      </c>
      <c r="BM7" s="80" t="str">
        <f t="array" aca="1" ref="BM7" ca="1">IFERROR(INDEX(TraitOfficers, SMALL(IF(ISNUMBER(MATCH(TraitNames,$BL$2:$BL$5, 0)), MATCH(ROW(TraitNames), ROW(TraitNames)), ""), ROWS($A$1:A6))),"")</f>
        <v/>
      </c>
      <c r="BN7" s="80" t="str">
        <f t="array" aca="1" ref="BN7" ca="1">IFERROR(INDEX(Planning10Match, MATCH(0,COUNTIF($BN$1:BN6,Planning10Match), 0))," ")</f>
        <v xml:space="preserve"> </v>
      </c>
    </row>
    <row r="8" spans="1:66" x14ac:dyDescent="0.25">
      <c r="A8" s="80" t="s">
        <v>2169</v>
      </c>
      <c r="B8" s="80" t="s">
        <v>911</v>
      </c>
      <c r="C8" s="80" t="s">
        <v>111</v>
      </c>
      <c r="H8" s="80" t="s">
        <v>1488</v>
      </c>
      <c r="I8" s="80" t="s">
        <v>1493</v>
      </c>
      <c r="J8" s="80" t="s">
        <v>1494</v>
      </c>
      <c r="K8" s="80" t="s">
        <v>1484</v>
      </c>
      <c r="L8" s="80" t="s">
        <v>2120</v>
      </c>
      <c r="M8" s="81">
        <v>0.1</v>
      </c>
      <c r="N8" s="529">
        <v>0.03</v>
      </c>
      <c r="O8" s="80">
        <v>25</v>
      </c>
      <c r="P8" s="81">
        <v>0.85</v>
      </c>
      <c r="Q8" s="80" t="str">
        <f t="array" ref="Q8">INDEX(AwayMissionRewardsAll, SMALL(IF(SMALL(IF(COUNTIF($Q$1:Q7, AwayMissionRewardsAll)+ISBLANK(AwayMissionRewardsAll)=0, COUNTIF(AwayMissionRewardsAll, "&lt;"&amp;AwayMissionRewardsAll)+1, ""), 1)=IF(ISBLANK(AwayMissionRewardsAll), "", COUNTIF(AwayMissionRewardsAll, "&lt;"&amp;AwayMissionRewardsAll)+1), ROW(AwayMissionRewardsAll)-MIN(ROW(AwayMissionRewardsAll))+1), 1), MATCH(MIN(IF(COUNTIF($Q$1:Q7, AwayMissionRewardsAll)+ISBLANK(AwayMissionRewardsAll)&gt;0, "", COUNTIF(AwayMissionRewardsAll, "&lt;"&amp;AwayMissionRewardsAll)+1)), INDEX(IF(ISBLANK(AwayMissionRewardsAll), "", COUNTIF(AwayMissionRewardsAll, "&lt;"&amp;AwayMissionRewardsAll)+1), SMALL(IF(SMALL(IF(COUNTIF($Q$1:Q7, AwayMissionRewardsAll)+ISBLANK(AwayMissionRewardsAll)=0, COUNTIF(AwayMissionRewardsAll, "&lt;"&amp;AwayMissionRewardsAll)+1, ""), 1)=IF(ISBLANK(AwayMissionRewardsAll), "", COUNTIF(AwayMissionRewardsAll, "&lt;"&amp;AwayMissionRewardsAll)+1), ROW(AwayMissionRewardsAll)-MIN(ROW(AwayMissionRewardsAll))+1), 1), , 1), 0), 1)</f>
        <v>Away Teams Credits</v>
      </c>
      <c r="T8" s="80" t="str">
        <f t="array" ref="T8">INDEX(AwayMissionTraitsAll, SMALL(IF(SMALL(IF(COUNTIF($T$1:T7, AwayMissionTraitsAll)+ISBLANK(AwayMissionTraitsAll)=0, COUNTIF(AwayMissionTraitsAll, "&lt;"&amp;AwayMissionTraitsAll)+1, ""), 1)=IF(ISBLANK(AwayMissionTraitsAll), "", COUNTIF(AwayMissionTraitsAll, "&lt;"&amp;AwayMissionTraitsAll)+1), ROW(AwayMissionTraitsAll)-MIN(ROW(AwayMissionTraitsAll))+1), 1), MATCH(MIN(IF(COUNTIF($T$1:T7, AwayMissionTraitsAll)+ISBLANK(AwayMissionTraitsAll)&gt;0, "", COUNTIF(AwayMissionTraitsAll, "&lt;"&amp;AwayMissionTraitsAll)+1)), INDEX(IF(ISBLANK(AwayMissionTraitsAll), "", COUNTIF(AwayMissionTraitsAll, "&lt;"&amp;AwayMissionTraitsAll)+1), SMALL(IF(SMALL(IF(COUNTIF($T$1:T7, AwayMissionTraitsAll)+ISBLANK(AwayMissionTraitsAll)=0, COUNTIF(AwayMissionTraitsAll, "&lt;"&amp;AwayMissionTraitsAll)+1, ""), 1)=IF(ISBLANK(AwayMissionTraitsAll), "", COUNTIF(AwayMissionTraitsAll, "&lt;"&amp;AwayMissionTraitsAll)+1), ROW(AwayMissionTraitsAll)-MIN(ROW(AwayMissionTraitsAll))+1), 1), , 1), 0), 1)</f>
        <v>Archaeologist</v>
      </c>
      <c r="U8" s="80">
        <f t="shared" si="0"/>
        <v>2</v>
      </c>
      <c r="V8" s="67" t="str">
        <f t="array" ref="V8">IFERROR(INDEX(AwayMissionsNames, SMALL(IF(ISNUMBER(MATCH(AwayMissionTraitsAll,'ATA Analysis'!$D$5:$D$7, 0)), MATCH(ROW(AwayMissionTraitsAll), ROW(AwayMissionTraitsAll)), ""), ROWS($A$1:A7))),"")</f>
        <v/>
      </c>
      <c r="Y8" s="80">
        <v>7</v>
      </c>
      <c r="Z8" s="80" t="str">
        <f t="array" ref="Z8">INDEX(AwayMissionTraits,SMALL(IF(AwayMissionTraitsTotals=AA8,ROW(AwayMissionTraitsTotals)-ROW('AM Lookup'!$U$1)),
COUNTIF($AA$2:AA8,AA8)))</f>
        <v>Thief</v>
      </c>
      <c r="AA8" s="80">
        <f t="array" ref="AA8">LARGE(AwayMissionTraitsTotals,ROW(Z8)-ROW($Z$1))</f>
        <v>10</v>
      </c>
      <c r="AB8" s="80">
        <v>7</v>
      </c>
      <c r="AC8" s="80" t="str">
        <f t="array" ref="AC8">INDEX(TraitOfficers,SMALL(IF(TotalTraitsAppearance=AD8,ROW(TotalTraitsAppearance)-ROW('ATA Overview'!$N$25)),
COUNTIF($AD$2:AD8,AD8)))</f>
        <v>Michael Burnham</v>
      </c>
      <c r="AD8" s="80">
        <f t="array" ref="AD8">LARGE(TotalTraitsAppearance,ROW(AD8)-ROW($AD$1))</f>
        <v>26</v>
      </c>
      <c r="AE8" s="80" t="str">
        <f t="array" ref="AE8">IF(AF8&lt;&gt;"",INDEX(TraitOfficers,SMALL(IF(TopATAScores=AF8,ROW(TopATAScores)-ROW('ATA Overview'!$N$25)),
COUNTIF($AF$2:AF8,AF8))),"")</f>
        <v/>
      </c>
      <c r="AF8" s="453" t="str">
        <f t="array" ref="AF8">IFERROR(LARGE(TopATAScores,ROW(AF8)-ROW($AF$1)),"")</f>
        <v/>
      </c>
      <c r="AG8" s="80" t="s">
        <v>2065</v>
      </c>
      <c r="AH8" s="80">
        <v>6</v>
      </c>
      <c r="AI8" s="80">
        <v>7000</v>
      </c>
      <c r="AJ8" s="80">
        <f t="shared" si="1"/>
        <v>28650</v>
      </c>
      <c r="AL8" s="80" t="str">
        <f t="array" aca="1" ref="AL8" ca="1">IFERROR(INDEX(TraitOfficers, SMALL(IF(ISNUMBER(MATCH(TraitNames,$AK$2:$AK$5, 0)), MATCH(ROW(TraitNames), ROW(TraitNames)), ""), ROWS($A$1:A7))),"")</f>
        <v/>
      </c>
      <c r="AM8" s="80" t="str">
        <f t="array" aca="1" ref="AM8" ca="1">IFERROR(INDEX(Planning1Match, MATCH(0,COUNTIF($AM$1:AM7,Planning1Match), 0))," ")</f>
        <v xml:space="preserve"> </v>
      </c>
      <c r="AO8" s="67" t="str">
        <f t="array" aca="1" ref="AO8" ca="1">IFERROR(INDEX(TraitOfficers, SMALL(IF(ISNUMBER(MATCH(TraitNames,$AN$2:$AN$5, 0)), MATCH(ROW(TraitNames), ROW(TraitNames)), ""), ROWS($A$1:A7))),"")</f>
        <v/>
      </c>
      <c r="AP8" s="80" t="str">
        <f t="array" aca="1" ref="AP8" ca="1">IFERROR(INDEX(Planning2Match, MATCH(0,COUNTIF($AP$1:AP7,Planning2Match), 0))," ")</f>
        <v xml:space="preserve"> </v>
      </c>
      <c r="AR8" s="80" t="str">
        <f t="array" aca="1" ref="AR8" ca="1">IFERROR(INDEX(TraitOfficers, SMALL(IF(ISNUMBER(MATCH(TraitNames,$AQ$2:$AQ$5, 0)), MATCH(ROW(TraitNames), ROW(TraitNames)), ""), ROWS($A$1:A7))),"")</f>
        <v/>
      </c>
      <c r="AS8" s="80" t="str">
        <f t="array" aca="1" ref="AS8" ca="1">IFERROR(INDEX(Planning3Match, MATCH(0,COUNTIF($AS$1:AS7,Planning3Match), 0))," ")</f>
        <v xml:space="preserve"> </v>
      </c>
      <c r="AU8" s="80" t="str">
        <f t="array" aca="1" ref="AU8" ca="1">IFERROR(INDEX(TraitOfficers, SMALL(IF(ISNUMBER(MATCH(TraitNames,$AT$2:$AT$5, 0)), MATCH(ROW(TraitNames), ROW(TraitNames)), ""), ROWS($A$1:A7))),"")</f>
        <v/>
      </c>
      <c r="AV8" s="80" t="str">
        <f t="array" aca="1" ref="AV8" ca="1">IFERROR(INDEX(Planning4Match, MATCH(0,COUNTIF($AV$1:AV7,Planning4Match), 0))," ")</f>
        <v xml:space="preserve"> </v>
      </c>
      <c r="AX8" s="80" t="str">
        <f t="array" aca="1" ref="AX8" ca="1">IFERROR(INDEX(TraitOfficers, SMALL(IF(ISNUMBER(MATCH(TraitNames,$AW$2:$AW$5, 0)), MATCH(ROW(TraitNames), ROW(TraitNames)), ""), ROWS($A$1:A7))),"")</f>
        <v/>
      </c>
      <c r="AY8" s="80" t="str">
        <f t="array" aca="1" ref="AY8" ca="1">IFERROR(INDEX(Planning5Match, MATCH(0,COUNTIF($AY$1:AY7,Planning5Match), 0))," ")</f>
        <v xml:space="preserve"> </v>
      </c>
      <c r="BA8" s="80" t="str">
        <f t="array" aca="1" ref="BA8" ca="1">IFERROR(INDEX(TraitOfficers, SMALL(IF(ISNUMBER(MATCH(TraitNames,$AZ$2:$AZ$5, 0)), MATCH(ROW(TraitNames), ROW(TraitNames)), ""), ROWS($A$1:A7))),"")</f>
        <v/>
      </c>
      <c r="BB8" s="80" t="str">
        <f t="array" aca="1" ref="BB8" ca="1">IFERROR(INDEX(Planning6Match, MATCH(0,COUNTIF($BB$1:BB7,Planning6Match), 0))," ")</f>
        <v xml:space="preserve"> </v>
      </c>
      <c r="BD8" s="80" t="str">
        <f t="array" aca="1" ref="BD8" ca="1">IFERROR(INDEX(TraitOfficers, SMALL(IF(ISNUMBER(MATCH(TraitNames,$BC$2:$BC$5, 0)), MATCH(ROW(TraitNames), ROW(TraitNames)), ""), ROWS($A$1:A7))),"")</f>
        <v/>
      </c>
      <c r="BE8" s="80" t="str">
        <f t="array" aca="1" ref="BE8" ca="1">IFERROR(INDEX(Planning7Match, MATCH(0,COUNTIF($BE$1:BE7,Planning7Match), 0))," ")</f>
        <v xml:space="preserve"> </v>
      </c>
      <c r="BG8" s="80" t="str">
        <f t="array" aca="1" ref="BG8" ca="1">IFERROR(INDEX(TraitOfficers, SMALL(IF(ISNUMBER(MATCH(TraitNames,$BF$2:$BF$5, 0)), MATCH(ROW(TraitNames), ROW(TraitNames)), ""), ROWS($A$1:A7))),"")</f>
        <v/>
      </c>
      <c r="BH8" s="80" t="str">
        <f t="array" aca="1" ref="BH8" ca="1">IFERROR(INDEX(Planning8Match, MATCH(0,COUNTIF($BH$1:BH7,Planning8Match), 0))," ")</f>
        <v xml:space="preserve"> </v>
      </c>
      <c r="BJ8" s="80" t="str">
        <f t="array" aca="1" ref="BJ8" ca="1">IFERROR(INDEX(TraitOfficers, SMALL(IF(ISNUMBER(MATCH(TraitNames,$BI$2:$BI$5, 0)), MATCH(ROW(TraitNames), ROW(TraitNames)), ""), ROWS($A$1:A7))),"")</f>
        <v/>
      </c>
      <c r="BK8" s="80" t="str">
        <f t="array" aca="1" ref="BK8" ca="1">IFERROR(INDEX(Planning9Match, MATCH(0,COUNTIF($BK$1:BK7,Planning9Match), 0))," ")</f>
        <v xml:space="preserve"> </v>
      </c>
      <c r="BM8" s="80" t="str">
        <f t="array" aca="1" ref="BM8" ca="1">IFERROR(INDEX(TraitOfficers, SMALL(IF(ISNUMBER(MATCH(TraitNames,$BL$2:$BL$5, 0)), MATCH(ROW(TraitNames), ROW(TraitNames)), ""), ROWS($A$1:A7))),"")</f>
        <v/>
      </c>
      <c r="BN8" s="80" t="str">
        <f t="array" aca="1" ref="BN8" ca="1">IFERROR(INDEX(Planning10Match, MATCH(0,COUNTIF($BN$1:BN7,Planning10Match), 0))," ")</f>
        <v xml:space="preserve"> </v>
      </c>
    </row>
    <row r="9" spans="1:66" x14ac:dyDescent="0.25">
      <c r="A9" s="80" t="s">
        <v>2170</v>
      </c>
      <c r="B9" s="80" t="s">
        <v>911</v>
      </c>
      <c r="C9" s="80" t="s">
        <v>112</v>
      </c>
      <c r="H9" s="80" t="s">
        <v>1468</v>
      </c>
      <c r="I9" s="80" t="s">
        <v>1493</v>
      </c>
      <c r="J9" s="80" t="s">
        <v>1494</v>
      </c>
      <c r="K9" s="80" t="s">
        <v>1484</v>
      </c>
      <c r="L9" s="80" t="s">
        <v>2120</v>
      </c>
      <c r="M9" s="81">
        <v>0.1</v>
      </c>
      <c r="N9" s="529">
        <v>0.03</v>
      </c>
      <c r="O9" s="80">
        <v>25</v>
      </c>
      <c r="P9" s="81">
        <v>0.85</v>
      </c>
      <c r="Q9" s="80" t="str">
        <f t="array" ref="Q9">INDEX(AwayMissionRewardsAll, SMALL(IF(SMALL(IF(COUNTIF($Q$1:Q8, AwayMissionRewardsAll)+ISBLANK(AwayMissionRewardsAll)=0, COUNTIF(AwayMissionRewardsAll, "&lt;"&amp;AwayMissionRewardsAll)+1, ""), 1)=IF(ISBLANK(AwayMissionRewardsAll), "", COUNTIF(AwayMissionRewardsAll, "&lt;"&amp;AwayMissionRewardsAll)+1), ROW(AwayMissionRewardsAll)-MIN(ROW(AwayMissionRewardsAll))+1), 1), MATCH(MIN(IF(COUNTIF($Q$1:Q8, AwayMissionRewardsAll)+ISBLANK(AwayMissionRewardsAll)&gt;0, "", COUNTIF(AwayMissionRewardsAll, "&lt;"&amp;AwayMissionRewardsAll)+1)), INDEX(IF(ISBLANK(AwayMissionRewardsAll), "", COUNTIF(AwayMissionRewardsAll, "&lt;"&amp;AwayMissionRewardsAll)+1), SMALL(IF(SMALL(IF(COUNTIF($Q$1:Q8, AwayMissionRewardsAll)+ISBLANK(AwayMissionRewardsAll)=0, COUNTIF(AwayMissionRewardsAll, "&lt;"&amp;AwayMissionRewardsAll)+1, ""), 1)=IF(ISBLANK(AwayMissionRewardsAll), "", COUNTIF(AwayMissionRewardsAll, "&lt;"&amp;AwayMissionRewardsAll)+1), ROW(AwayMissionRewardsAll)-MIN(ROW(AwayMissionRewardsAll))+1), 1), , 1), 0), 1)</f>
        <v>Axionic Biochips</v>
      </c>
      <c r="T9" s="80" t="str">
        <f t="array" ref="T9">INDEX(AwayMissionTraitsAll, SMALL(IF(SMALL(IF(COUNTIF($T$1:T8, AwayMissionTraitsAll)+ISBLANK(AwayMissionTraitsAll)=0, COUNTIF(AwayMissionTraitsAll, "&lt;"&amp;AwayMissionTraitsAll)+1, ""), 1)=IF(ISBLANK(AwayMissionTraitsAll), "", COUNTIF(AwayMissionTraitsAll, "&lt;"&amp;AwayMissionTraitsAll)+1), ROW(AwayMissionTraitsAll)-MIN(ROW(AwayMissionTraitsAll))+1), 1), MATCH(MIN(IF(COUNTIF($T$1:T8, AwayMissionTraitsAll)+ISBLANK(AwayMissionTraitsAll)&gt;0, "", COUNTIF(AwayMissionTraitsAll, "&lt;"&amp;AwayMissionTraitsAll)+1)), INDEX(IF(ISBLANK(AwayMissionTraitsAll), "", COUNTIF(AwayMissionTraitsAll, "&lt;"&amp;AwayMissionTraitsAll)+1), SMALL(IF(SMALL(IF(COUNTIF($T$1:T8, AwayMissionTraitsAll)+ISBLANK(AwayMissionTraitsAll)=0, COUNTIF(AwayMissionTraitsAll, "&lt;"&amp;AwayMissionTraitsAll)+1, ""), 1)=IF(ISBLANK(AwayMissionTraitsAll), "", COUNTIF(AwayMissionTraitsAll, "&lt;"&amp;AwayMissionTraitsAll)+1), ROW(AwayMissionTraitsAll)-MIN(ROW(AwayMissionTraitsAll))+1), 1), , 1), 0), 1)</f>
        <v>Assimilated</v>
      </c>
      <c r="U9" s="80">
        <f t="shared" si="0"/>
        <v>6</v>
      </c>
      <c r="V9" s="67" t="str">
        <f t="array" ref="V9">IFERROR(INDEX(AwayMissionsNames, SMALL(IF(ISNUMBER(MATCH(AwayMissionTraitsAll,'ATA Analysis'!$D$5:$D$7, 0)), MATCH(ROW(AwayMissionTraitsAll), ROW(AwayMissionTraitsAll)), ""), ROWS($A$1:A8))),"")</f>
        <v/>
      </c>
      <c r="Y9" s="80">
        <v>8</v>
      </c>
      <c r="Z9" s="80" t="str">
        <f t="array" ref="Z9">INDEX(AwayMissionTraits,SMALL(IF(AwayMissionTraitsTotals=AA9,ROW(AwayMissionTraitsTotals)-ROW('AM Lookup'!$U$1)),
COUNTIF($AA$2:AA9,AA9)))</f>
        <v>Physicist</v>
      </c>
      <c r="AA9" s="80">
        <f t="array" ref="AA9">LARGE(AwayMissionTraitsTotals,ROW(Z9)-ROW($Z$1))</f>
        <v>9</v>
      </c>
      <c r="AB9" s="80">
        <v>8</v>
      </c>
      <c r="AC9" s="80" t="str">
        <f t="array" ref="AC9">INDEX(TraitOfficers,SMALL(IF(TotalTraitsAppearance=AD9,ROW(TotalTraitsAppearance)-ROW('ATA Overview'!$N$25)),
COUNTIF($AD$2:AD9,AD9)))</f>
        <v>TOS Uhura</v>
      </c>
      <c r="AD9" s="80">
        <f t="array" ref="AD9">LARGE(TotalTraitsAppearance,ROW(AD9)-ROW($AD$1))</f>
        <v>25</v>
      </c>
      <c r="AE9" s="80" t="str">
        <f t="array" ref="AE9">IF(AF9&lt;&gt;"",INDEX(TraitOfficers,SMALL(IF(TopATAScores=AF9,ROW(TopATAScores)-ROW('ATA Overview'!$N$25)),
COUNTIF($AF$2:AF9,AF9))),"")</f>
        <v/>
      </c>
      <c r="AF9" s="453" t="str">
        <f t="array" ref="AF9">IFERROR(LARGE(TopATAScores,ROW(AF9)-ROW($AF$1)),"")</f>
        <v/>
      </c>
      <c r="AG9" s="80" t="s">
        <v>2066</v>
      </c>
      <c r="AH9" s="80">
        <v>7</v>
      </c>
      <c r="AI9" s="80">
        <v>8850</v>
      </c>
      <c r="AJ9" s="80">
        <f t="shared" si="1"/>
        <v>37500</v>
      </c>
      <c r="AL9" s="80" t="str">
        <f t="array" aca="1" ref="AL9" ca="1">IFERROR(INDEX(TraitOfficers, SMALL(IF(ISNUMBER(MATCH(TraitNames,$AK$2:$AK$5, 0)), MATCH(ROW(TraitNames), ROW(TraitNames)), ""), ROWS($A$1:A8))),"")</f>
        <v/>
      </c>
      <c r="AM9" s="80" t="str">
        <f t="array" aca="1" ref="AM9" ca="1">IFERROR(INDEX(Planning1Match, MATCH(0,COUNTIF($AM$1:AM8,Planning1Match), 0))," ")</f>
        <v xml:space="preserve"> </v>
      </c>
      <c r="AO9" s="67" t="str">
        <f t="array" aca="1" ref="AO9" ca="1">IFERROR(INDEX(TraitOfficers, SMALL(IF(ISNUMBER(MATCH(TraitNames,$AN$2:$AN$5, 0)), MATCH(ROW(TraitNames), ROW(TraitNames)), ""), ROWS($A$1:A8))),"")</f>
        <v/>
      </c>
      <c r="AP9" s="80" t="str">
        <f t="array" aca="1" ref="AP9" ca="1">IFERROR(INDEX(Planning2Match, MATCH(0,COUNTIF($AP$1:AP8,Planning2Match), 0))," ")</f>
        <v xml:space="preserve"> </v>
      </c>
      <c r="AR9" s="80" t="str">
        <f t="array" aca="1" ref="AR9" ca="1">IFERROR(INDEX(TraitOfficers, SMALL(IF(ISNUMBER(MATCH(TraitNames,$AQ$2:$AQ$5, 0)), MATCH(ROW(TraitNames), ROW(TraitNames)), ""), ROWS($A$1:A8))),"")</f>
        <v/>
      </c>
      <c r="AS9" s="80" t="str">
        <f t="array" aca="1" ref="AS9" ca="1">IFERROR(INDEX(Planning3Match, MATCH(0,COUNTIF($AS$1:AS8,Planning3Match), 0))," ")</f>
        <v xml:space="preserve"> </v>
      </c>
      <c r="AU9" s="80" t="str">
        <f t="array" aca="1" ref="AU9" ca="1">IFERROR(INDEX(TraitOfficers, SMALL(IF(ISNUMBER(MATCH(TraitNames,$AT$2:$AT$5, 0)), MATCH(ROW(TraitNames), ROW(TraitNames)), ""), ROWS($A$1:A8))),"")</f>
        <v/>
      </c>
      <c r="AV9" s="80" t="str">
        <f t="array" aca="1" ref="AV9" ca="1">IFERROR(INDEX(Planning4Match, MATCH(0,COUNTIF($AV$1:AV8,Planning4Match), 0))," ")</f>
        <v xml:space="preserve"> </v>
      </c>
      <c r="AX9" s="80" t="str">
        <f t="array" aca="1" ref="AX9" ca="1">IFERROR(INDEX(TraitOfficers, SMALL(IF(ISNUMBER(MATCH(TraitNames,$AW$2:$AW$5, 0)), MATCH(ROW(TraitNames), ROW(TraitNames)), ""), ROWS($A$1:A8))),"")</f>
        <v/>
      </c>
      <c r="AY9" s="80" t="str">
        <f t="array" aca="1" ref="AY9" ca="1">IFERROR(INDEX(Planning5Match, MATCH(0,COUNTIF($AY$1:AY8,Planning5Match), 0))," ")</f>
        <v xml:space="preserve"> </v>
      </c>
      <c r="BA9" s="80" t="str">
        <f t="array" aca="1" ref="BA9" ca="1">IFERROR(INDEX(TraitOfficers, SMALL(IF(ISNUMBER(MATCH(TraitNames,$AZ$2:$AZ$5, 0)), MATCH(ROW(TraitNames), ROW(TraitNames)), ""), ROWS($A$1:A8))),"")</f>
        <v/>
      </c>
      <c r="BB9" s="80" t="str">
        <f t="array" aca="1" ref="BB9" ca="1">IFERROR(INDEX(Planning6Match, MATCH(0,COUNTIF($BB$1:BB8,Planning6Match), 0))," ")</f>
        <v xml:space="preserve"> </v>
      </c>
      <c r="BD9" s="80" t="str">
        <f t="array" aca="1" ref="BD9" ca="1">IFERROR(INDEX(TraitOfficers, SMALL(IF(ISNUMBER(MATCH(TraitNames,$BC$2:$BC$5, 0)), MATCH(ROW(TraitNames), ROW(TraitNames)), ""), ROWS($A$1:A8))),"")</f>
        <v/>
      </c>
      <c r="BE9" s="80" t="str">
        <f t="array" aca="1" ref="BE9" ca="1">IFERROR(INDEX(Planning7Match, MATCH(0,COUNTIF($BE$1:BE8,Planning7Match), 0))," ")</f>
        <v xml:space="preserve"> </v>
      </c>
      <c r="BG9" s="80" t="str">
        <f t="array" aca="1" ref="BG9" ca="1">IFERROR(INDEX(TraitOfficers, SMALL(IF(ISNUMBER(MATCH(TraitNames,$BF$2:$BF$5, 0)), MATCH(ROW(TraitNames), ROW(TraitNames)), ""), ROWS($A$1:A8))),"")</f>
        <v/>
      </c>
      <c r="BH9" s="80" t="str">
        <f t="array" aca="1" ref="BH9" ca="1">IFERROR(INDEX(Planning8Match, MATCH(0,COUNTIF($BH$1:BH8,Planning8Match), 0))," ")</f>
        <v xml:space="preserve"> </v>
      </c>
      <c r="BJ9" s="80" t="str">
        <f t="array" aca="1" ref="BJ9" ca="1">IFERROR(INDEX(TraitOfficers, SMALL(IF(ISNUMBER(MATCH(TraitNames,$BI$2:$BI$5, 0)), MATCH(ROW(TraitNames), ROW(TraitNames)), ""), ROWS($A$1:A8))),"")</f>
        <v/>
      </c>
      <c r="BK9" s="80" t="str">
        <f t="array" aca="1" ref="BK9" ca="1">IFERROR(INDEX(Planning9Match, MATCH(0,COUNTIF($BK$1:BK8,Planning9Match), 0))," ")</f>
        <v xml:space="preserve"> </v>
      </c>
      <c r="BM9" s="80" t="str">
        <f t="array" aca="1" ref="BM9" ca="1">IFERROR(INDEX(TraitOfficers, SMALL(IF(ISNUMBER(MATCH(TraitNames,$BL$2:$BL$5, 0)), MATCH(ROW(TraitNames), ROW(TraitNames)), ""), ROWS($A$1:A8))),"")</f>
        <v/>
      </c>
      <c r="BN9" s="80" t="str">
        <f t="array" aca="1" ref="BN9" ca="1">IFERROR(INDEX(Planning10Match, MATCH(0,COUNTIF($BN$1:BN8,Planning10Match), 0))," ")</f>
        <v xml:space="preserve"> </v>
      </c>
    </row>
    <row r="10" spans="1:66" x14ac:dyDescent="0.25">
      <c r="A10" s="80" t="s">
        <v>2171</v>
      </c>
      <c r="B10" s="80" t="s">
        <v>911</v>
      </c>
      <c r="C10" s="80" t="s">
        <v>110</v>
      </c>
      <c r="H10" s="80" t="s">
        <v>1407</v>
      </c>
      <c r="I10" s="80" t="s">
        <v>1493</v>
      </c>
      <c r="J10" s="80" t="s">
        <v>1494</v>
      </c>
      <c r="K10" s="80" t="s">
        <v>1484</v>
      </c>
      <c r="L10" s="80" t="s">
        <v>2120</v>
      </c>
      <c r="M10" s="81">
        <v>0.1</v>
      </c>
      <c r="N10" s="529">
        <v>0.03</v>
      </c>
      <c r="O10" s="80">
        <v>25</v>
      </c>
      <c r="P10" s="81">
        <v>0.85</v>
      </c>
      <c r="Q10" s="80" t="str">
        <f t="array" ref="Q10">INDEX(AwayMissionRewardsAll, SMALL(IF(SMALL(IF(COUNTIF($Q$1:Q9, AwayMissionRewardsAll)+ISBLANK(AwayMissionRewardsAll)=0, COUNTIF(AwayMissionRewardsAll, "&lt;"&amp;AwayMissionRewardsAll)+1, ""), 1)=IF(ISBLANK(AwayMissionRewardsAll), "", COUNTIF(AwayMissionRewardsAll, "&lt;"&amp;AwayMissionRewardsAll)+1), ROW(AwayMissionRewardsAll)-MIN(ROW(AwayMissionRewardsAll))+1), 1), MATCH(MIN(IF(COUNTIF($Q$1:Q9, AwayMissionRewardsAll)+ISBLANK(AwayMissionRewardsAll)&gt;0, "", COUNTIF(AwayMissionRewardsAll, "&lt;"&amp;AwayMissionRewardsAll)+1)), INDEX(IF(ISBLANK(AwayMissionRewardsAll), "", COUNTIF(AwayMissionRewardsAll, "&lt;"&amp;AwayMissionRewardsAll)+1), SMALL(IF(SMALL(IF(COUNTIF($Q$1:Q9, AwayMissionRewardsAll)+ISBLANK(AwayMissionRewardsAll)=0, COUNTIF(AwayMissionRewardsAll, "&lt;"&amp;AwayMissionRewardsAll)+1, ""), 1)=IF(ISBLANK(AwayMissionRewardsAll), "", COUNTIF(AwayMissionRewardsAll, "&lt;"&amp;AwayMissionRewardsAll)+1), ROW(AwayMissionRewardsAll)-MIN(ROW(AwayMissionRewardsAll))+1), 1), , 1), 0), 1)</f>
        <v>Axionic Chips</v>
      </c>
      <c r="T10" s="80" t="str">
        <f t="array" ref="T10">INDEX(AwayMissionTraitsAll, SMALL(IF(SMALL(IF(COUNTIF($T$1:T9, AwayMissionTraitsAll)+ISBLANK(AwayMissionTraitsAll)=0, COUNTIF(AwayMissionTraitsAll, "&lt;"&amp;AwayMissionTraitsAll)+1, ""), 1)=IF(ISBLANK(AwayMissionTraitsAll), "", COUNTIF(AwayMissionTraitsAll, "&lt;"&amp;AwayMissionTraitsAll)+1), ROW(AwayMissionTraitsAll)-MIN(ROW(AwayMissionTraitsAll))+1), 1), MATCH(MIN(IF(COUNTIF($T$1:T9, AwayMissionTraitsAll)+ISBLANK(AwayMissionTraitsAll)&gt;0, "", COUNTIF(AwayMissionTraitsAll, "&lt;"&amp;AwayMissionTraitsAll)+1)), INDEX(IF(ISBLANK(AwayMissionTraitsAll), "", COUNTIF(AwayMissionTraitsAll, "&lt;"&amp;AwayMissionTraitsAll)+1), SMALL(IF(SMALL(IF(COUNTIF($T$1:T9, AwayMissionTraitsAll)+ISBLANK(AwayMissionTraitsAll)=0, COUNTIF(AwayMissionTraitsAll, "&lt;"&amp;AwayMissionTraitsAll)+1, ""), 1)=IF(ISBLANK(AwayMissionTraitsAll), "", COUNTIF(AwayMissionTraitsAll, "&lt;"&amp;AwayMissionTraitsAll)+1), ROW(AwayMissionTraitsAll)-MIN(ROW(AwayMissionTraitsAll))+1), 1), , 1), 0), 1)</f>
        <v>Astronomer</v>
      </c>
      <c r="U10" s="80">
        <f t="shared" si="0"/>
        <v>1</v>
      </c>
      <c r="V10" s="67" t="str">
        <f t="array" ref="V10">IFERROR(INDEX(AwayMissionsNames, SMALL(IF(ISNUMBER(MATCH(AwayMissionTraitsAll,'ATA Analysis'!$D$5:$D$7, 0)), MATCH(ROW(AwayMissionTraitsAll), ROW(AwayMissionTraitsAll)), ""), ROWS($A$1:A9))),"")</f>
        <v/>
      </c>
      <c r="Y10" s="80">
        <v>9</v>
      </c>
      <c r="Z10" s="80" t="str">
        <f t="array" ref="Z10">INDEX(AwayMissionTraits,SMALL(IF(AwayMissionTraitsTotals=AA10,ROW(AwayMissionTraitsTotals)-ROW('AM Lookup'!$U$1)),
COUNTIF($AA$2:AA10,AA10)))</f>
        <v>Analytical</v>
      </c>
      <c r="AA10" s="80">
        <f t="array" ref="AA10">LARGE(AwayMissionTraitsTotals,ROW(Z10)-ROW($Z$1))</f>
        <v>8</v>
      </c>
      <c r="AB10" s="80">
        <v>9</v>
      </c>
      <c r="AC10" s="80" t="str">
        <f t="array" ref="AC10">INDEX(TraitOfficers,SMALL(IF(TotalTraitsAppearance=AD10,ROW(TotalTraitsAppearance)-ROW('ATA Overview'!$N$25)),
COUNTIF($AD$2:AD10,AD10)))</f>
        <v>Uhura</v>
      </c>
      <c r="AD10" s="80">
        <f t="array" ref="AD10">LARGE(TotalTraitsAppearance,ROW(AD10)-ROW($AD$1))</f>
        <v>25</v>
      </c>
      <c r="AE10" s="80" t="str">
        <f t="array" ref="AE10">IF(AF10&lt;&gt;"",INDEX(TraitOfficers,SMALL(IF(TopATAScores=AF10,ROW(TopATAScores)-ROW('ATA Overview'!$N$25)),
COUNTIF($AF$2:AF10,AF10))),"")</f>
        <v/>
      </c>
      <c r="AF10" s="453" t="str">
        <f t="array" ref="AF10">IFERROR(LARGE(TopATAScores,ROW(AF10)-ROW($AF$1)),"")</f>
        <v/>
      </c>
      <c r="AG10" s="80" t="s">
        <v>2067</v>
      </c>
      <c r="AH10" s="80">
        <v>8</v>
      </c>
      <c r="AI10" s="80">
        <v>10000</v>
      </c>
      <c r="AJ10" s="80">
        <f t="shared" si="1"/>
        <v>47500</v>
      </c>
      <c r="AL10" s="80" t="str">
        <f t="array" aca="1" ref="AL10" ca="1">IFERROR(INDEX(TraitOfficers, SMALL(IF(ISNUMBER(MATCH(TraitNames,$AK$2:$AK$5, 0)), MATCH(ROW(TraitNames), ROW(TraitNames)), ""), ROWS($A$1:A9))),"")</f>
        <v/>
      </c>
      <c r="AM10" s="80" t="str">
        <f t="array" aca="1" ref="AM10" ca="1">IFERROR(INDEX(Planning1Match, MATCH(0,COUNTIF($AM$1:AM9,Planning1Match), 0))," ")</f>
        <v xml:space="preserve"> </v>
      </c>
      <c r="AO10" s="67" t="str">
        <f t="array" aca="1" ref="AO10" ca="1">IFERROR(INDEX(TraitOfficers, SMALL(IF(ISNUMBER(MATCH(TraitNames,$AN$2:$AN$5, 0)), MATCH(ROW(TraitNames), ROW(TraitNames)), ""), ROWS($A$1:A9))),"")</f>
        <v/>
      </c>
      <c r="AP10" s="80" t="str">
        <f t="array" aca="1" ref="AP10" ca="1">IFERROR(INDEX(Planning2Match, MATCH(0,COUNTIF($AP$1:AP9,Planning2Match), 0))," ")</f>
        <v xml:space="preserve"> </v>
      </c>
      <c r="AR10" s="80" t="str">
        <f t="array" aca="1" ref="AR10" ca="1">IFERROR(INDEX(TraitOfficers, SMALL(IF(ISNUMBER(MATCH(TraitNames,$AQ$2:$AQ$5, 0)), MATCH(ROW(TraitNames), ROW(TraitNames)), ""), ROWS($A$1:A9))),"")</f>
        <v/>
      </c>
      <c r="AS10" s="80" t="str">
        <f t="array" aca="1" ref="AS10" ca="1">IFERROR(INDEX(Planning3Match, MATCH(0,COUNTIF($AS$1:AS9,Planning3Match), 0))," ")</f>
        <v xml:space="preserve"> </v>
      </c>
      <c r="AU10" s="80" t="str">
        <f t="array" aca="1" ref="AU10" ca="1">IFERROR(INDEX(TraitOfficers, SMALL(IF(ISNUMBER(MATCH(TraitNames,$AT$2:$AT$5, 0)), MATCH(ROW(TraitNames), ROW(TraitNames)), ""), ROWS($A$1:A9))),"")</f>
        <v/>
      </c>
      <c r="AV10" s="80" t="str">
        <f t="array" aca="1" ref="AV10" ca="1">IFERROR(INDEX(Planning4Match, MATCH(0,COUNTIF($AV$1:AV9,Planning4Match), 0))," ")</f>
        <v xml:space="preserve"> </v>
      </c>
      <c r="AX10" s="80" t="str">
        <f t="array" aca="1" ref="AX10" ca="1">IFERROR(INDEX(TraitOfficers, SMALL(IF(ISNUMBER(MATCH(TraitNames,$AW$2:$AW$5, 0)), MATCH(ROW(TraitNames), ROW(TraitNames)), ""), ROWS($A$1:A9))),"")</f>
        <v/>
      </c>
      <c r="AY10" s="80" t="str">
        <f t="array" aca="1" ref="AY10" ca="1">IFERROR(INDEX(Planning5Match, MATCH(0,COUNTIF($AY$1:AY9,Planning5Match), 0))," ")</f>
        <v xml:space="preserve"> </v>
      </c>
      <c r="BA10" s="80" t="str">
        <f t="array" aca="1" ref="BA10" ca="1">IFERROR(INDEX(TraitOfficers, SMALL(IF(ISNUMBER(MATCH(TraitNames,$AZ$2:$AZ$5, 0)), MATCH(ROW(TraitNames), ROW(TraitNames)), ""), ROWS($A$1:A9))),"")</f>
        <v/>
      </c>
      <c r="BB10" s="80" t="str">
        <f t="array" aca="1" ref="BB10" ca="1">IFERROR(INDEX(Planning6Match, MATCH(0,COUNTIF($BB$1:BB9,Planning6Match), 0))," ")</f>
        <v xml:space="preserve"> </v>
      </c>
      <c r="BD10" s="80" t="str">
        <f t="array" aca="1" ref="BD10" ca="1">IFERROR(INDEX(TraitOfficers, SMALL(IF(ISNUMBER(MATCH(TraitNames,$BC$2:$BC$5, 0)), MATCH(ROW(TraitNames), ROW(TraitNames)), ""), ROWS($A$1:A9))),"")</f>
        <v/>
      </c>
      <c r="BE10" s="80" t="str">
        <f t="array" aca="1" ref="BE10" ca="1">IFERROR(INDEX(Planning7Match, MATCH(0,COUNTIF($BE$1:BE9,Planning7Match), 0))," ")</f>
        <v xml:space="preserve"> </v>
      </c>
      <c r="BG10" s="80" t="str">
        <f t="array" aca="1" ref="BG10" ca="1">IFERROR(INDEX(TraitOfficers, SMALL(IF(ISNUMBER(MATCH(TraitNames,$BF$2:$BF$5, 0)), MATCH(ROW(TraitNames), ROW(TraitNames)), ""), ROWS($A$1:A9))),"")</f>
        <v/>
      </c>
      <c r="BH10" s="80" t="str">
        <f t="array" aca="1" ref="BH10" ca="1">IFERROR(INDEX(Planning8Match, MATCH(0,COUNTIF($BH$1:BH9,Planning8Match), 0))," ")</f>
        <v xml:space="preserve"> </v>
      </c>
      <c r="BJ10" s="80" t="str">
        <f t="array" aca="1" ref="BJ10" ca="1">IFERROR(INDEX(TraitOfficers, SMALL(IF(ISNUMBER(MATCH(TraitNames,$BI$2:$BI$5, 0)), MATCH(ROW(TraitNames), ROW(TraitNames)), ""), ROWS($A$1:A9))),"")</f>
        <v/>
      </c>
      <c r="BK10" s="80" t="str">
        <f t="array" aca="1" ref="BK10" ca="1">IFERROR(INDEX(Planning9Match, MATCH(0,COUNTIF($BK$1:BK9,Planning9Match), 0))," ")</f>
        <v xml:space="preserve"> </v>
      </c>
      <c r="BM10" s="80" t="str">
        <f t="array" aca="1" ref="BM10" ca="1">IFERROR(INDEX(TraitOfficers, SMALL(IF(ISNUMBER(MATCH(TraitNames,$BL$2:$BL$5, 0)), MATCH(ROW(TraitNames), ROW(TraitNames)), ""), ROWS($A$1:A9))),"")</f>
        <v/>
      </c>
      <c r="BN10" s="80" t="str">
        <f t="array" aca="1" ref="BN10" ca="1">IFERROR(INDEX(Planning10Match, MATCH(0,COUNTIF($BN$1:BN9,Planning10Match), 0))," ")</f>
        <v xml:space="preserve"> </v>
      </c>
    </row>
    <row r="11" spans="1:66" x14ac:dyDescent="0.25">
      <c r="A11" s="80" t="s">
        <v>2172</v>
      </c>
      <c r="B11" s="80" t="s">
        <v>911</v>
      </c>
      <c r="C11" s="80" t="s">
        <v>111</v>
      </c>
      <c r="H11" s="80" t="s">
        <v>1488</v>
      </c>
      <c r="I11" s="80" t="s">
        <v>1493</v>
      </c>
      <c r="J11" s="80" t="s">
        <v>1494</v>
      </c>
      <c r="K11" s="80" t="s">
        <v>1484</v>
      </c>
      <c r="L11" s="80" t="s">
        <v>2120</v>
      </c>
      <c r="M11" s="81">
        <v>0.1</v>
      </c>
      <c r="N11" s="529">
        <v>0.03</v>
      </c>
      <c r="O11" s="80">
        <v>25</v>
      </c>
      <c r="P11" s="81">
        <v>0.85</v>
      </c>
      <c r="Q11" s="80" t="str">
        <f t="array" ref="Q11">INDEX(AwayMissionRewardsAll, SMALL(IF(SMALL(IF(COUNTIF($Q$1:Q10, AwayMissionRewardsAll)+ISBLANK(AwayMissionRewardsAll)=0, COUNTIF(AwayMissionRewardsAll, "&lt;"&amp;AwayMissionRewardsAll)+1, ""), 1)=IF(ISBLANK(AwayMissionRewardsAll), "", COUNTIF(AwayMissionRewardsAll, "&lt;"&amp;AwayMissionRewardsAll)+1), ROW(AwayMissionRewardsAll)-MIN(ROW(AwayMissionRewardsAll))+1), 1), MATCH(MIN(IF(COUNTIF($Q$1:Q10, AwayMissionRewardsAll)+ISBLANK(AwayMissionRewardsAll)&gt;0, "", COUNTIF(AwayMissionRewardsAll, "&lt;"&amp;AwayMissionRewardsAll)+1)), INDEX(IF(ISBLANK(AwayMissionRewardsAll), "", COUNTIF(AwayMissionRewardsAll, "&lt;"&amp;AwayMissionRewardsAll)+1), SMALL(IF(SMALL(IF(COUNTIF($Q$1:Q10, AwayMissionRewardsAll)+ISBLANK(AwayMissionRewardsAll)=0, COUNTIF(AwayMissionRewardsAll, "&lt;"&amp;AwayMissionRewardsAll)+1, ""), 1)=IF(ISBLANK(AwayMissionRewardsAll), "", COUNTIF(AwayMissionRewardsAll, "&lt;"&amp;AwayMissionRewardsAll)+1), ROW(AwayMissionRewardsAll)-MIN(ROW(AwayMissionRewardsAll))+1), 1), , 1), 0), 1)</f>
        <v>Broken Battleship Parts</v>
      </c>
      <c r="T11" s="80" t="str">
        <f t="array" ref="T11">INDEX(AwayMissionTraitsAll, SMALL(IF(SMALL(IF(COUNTIF($T$1:T10, AwayMissionTraitsAll)+ISBLANK(AwayMissionTraitsAll)=0, COUNTIF(AwayMissionTraitsAll, "&lt;"&amp;AwayMissionTraitsAll)+1, ""), 1)=IF(ISBLANK(AwayMissionTraitsAll), "", COUNTIF(AwayMissionTraitsAll, "&lt;"&amp;AwayMissionTraitsAll)+1), ROW(AwayMissionTraitsAll)-MIN(ROW(AwayMissionTraitsAll))+1), 1), MATCH(MIN(IF(COUNTIF($T$1:T10, AwayMissionTraitsAll)+ISBLANK(AwayMissionTraitsAll)&gt;0, "", COUNTIF(AwayMissionTraitsAll, "&lt;"&amp;AwayMissionTraitsAll)+1)), INDEX(IF(ISBLANK(AwayMissionTraitsAll), "", COUNTIF(AwayMissionTraitsAll, "&lt;"&amp;AwayMissionTraitsAll)+1), SMALL(IF(SMALL(IF(COUNTIF($T$1:T10, AwayMissionTraitsAll)+ISBLANK(AwayMissionTraitsAll)=0, COUNTIF(AwayMissionTraitsAll, "&lt;"&amp;AwayMissionTraitsAll)+1, ""), 1)=IF(ISBLANK(AwayMissionTraitsAll), "", COUNTIF(AwayMissionTraitsAll, "&lt;"&amp;AwayMissionTraitsAll)+1), ROW(AwayMissionTraitsAll)-MIN(ROW(AwayMissionTraitsAll))+1), 1), , 1), 0), 1)</f>
        <v>Augment</v>
      </c>
      <c r="U11" s="80">
        <f t="shared" si="0"/>
        <v>7</v>
      </c>
      <c r="V11" s="67" t="str">
        <f t="array" ref="V11">IFERROR(INDEX(AwayMissionsNames, SMALL(IF(ISNUMBER(MATCH(AwayMissionTraitsAll,'ATA Analysis'!$D$5:$D$7, 0)), MATCH(ROW(AwayMissionTraitsAll), ROW(AwayMissionTraitsAll)), ""), ROWS($A$1:A10))),"")</f>
        <v/>
      </c>
      <c r="Y11" s="80">
        <v>10</v>
      </c>
      <c r="Z11" s="80" t="str">
        <f t="array" ref="Z11">INDEX(AwayMissionTraits,SMALL(IF(AwayMissionTraitsTotals=AA11,ROW(AwayMissionTraitsTotals)-ROW('AM Lookup'!$U$1)),
COUNTIF($AA$2:AA11,AA11)))</f>
        <v>Specialist</v>
      </c>
      <c r="AA11" s="80">
        <f t="array" ref="AA11">LARGE(AwayMissionTraitsTotals,ROW(Z11)-ROW($Z$1))</f>
        <v>8</v>
      </c>
      <c r="AB11" s="80">
        <v>10</v>
      </c>
      <c r="AC11" s="80" t="str">
        <f t="array" ref="AC11">INDEX(TraitOfficers,SMALL(IF(TotalTraitsAppearance=AD11,ROW(TotalTraitsAppearance)-ROW('ATA Overview'!$N$25)),
COUNTIF($AD$2:AD11,AD11)))</f>
        <v>Quark</v>
      </c>
      <c r="AD11" s="80">
        <f t="array" ref="AD11">LARGE(TotalTraitsAppearance,ROW(AD11)-ROW($AD$1))</f>
        <v>24</v>
      </c>
      <c r="AE11" s="80" t="str">
        <f t="array" ref="AE11">IF(AF11&lt;&gt;"",INDEX(TraitOfficers,SMALL(IF(TopATAScores=AF11,ROW(TopATAScores)-ROW('ATA Overview'!$N$25)),
COUNTIF($AF$2:AF11,AF11))),"")</f>
        <v/>
      </c>
      <c r="AF11" s="453" t="str">
        <f t="array" ref="AF11">IFERROR(LARGE(TopATAScores,ROW(AF11)-ROW($AF$1)),"")</f>
        <v/>
      </c>
      <c r="AG11" s="80" t="s">
        <v>2068</v>
      </c>
      <c r="AH11" s="80">
        <v>9</v>
      </c>
      <c r="AI11" s="80">
        <v>4000</v>
      </c>
      <c r="AJ11" s="80">
        <f t="shared" si="1"/>
        <v>51500</v>
      </c>
      <c r="AL11" s="80" t="str">
        <f t="array" aca="1" ref="AL11" ca="1">IFERROR(INDEX(TraitOfficers, SMALL(IF(ISNUMBER(MATCH(TraitNames,$AK$2:$AK$5, 0)), MATCH(ROW(TraitNames), ROW(TraitNames)), ""), ROWS($A$1:A10))),"")</f>
        <v/>
      </c>
      <c r="AM11" s="80" t="str">
        <f t="array" aca="1" ref="AM11" ca="1">IFERROR(INDEX(Planning1Match, MATCH(0,COUNTIF($AM$1:AM10,Planning1Match), 0))," ")</f>
        <v xml:space="preserve"> </v>
      </c>
      <c r="AO11" s="67" t="str">
        <f t="array" aca="1" ref="AO11" ca="1">IFERROR(INDEX(TraitOfficers, SMALL(IF(ISNUMBER(MATCH(TraitNames,$AN$2:$AN$5, 0)), MATCH(ROW(TraitNames), ROW(TraitNames)), ""), ROWS($A$1:A10))),"")</f>
        <v/>
      </c>
      <c r="AP11" s="80" t="str">
        <f t="array" aca="1" ref="AP11" ca="1">IFERROR(INDEX(Planning2Match, MATCH(0,COUNTIF($AP$1:AP10,Planning2Match), 0))," ")</f>
        <v xml:space="preserve"> </v>
      </c>
      <c r="AR11" s="80" t="str">
        <f t="array" aca="1" ref="AR11" ca="1">IFERROR(INDEX(TraitOfficers, SMALL(IF(ISNUMBER(MATCH(TraitNames,$AQ$2:$AQ$5, 0)), MATCH(ROW(TraitNames), ROW(TraitNames)), ""), ROWS($A$1:A10))),"")</f>
        <v/>
      </c>
      <c r="AS11" s="80" t="str">
        <f t="array" aca="1" ref="AS11" ca="1">IFERROR(INDEX(Planning3Match, MATCH(0,COUNTIF($AS$1:AS10,Planning3Match), 0))," ")</f>
        <v xml:space="preserve"> </v>
      </c>
      <c r="AU11" s="80" t="str">
        <f t="array" aca="1" ref="AU11" ca="1">IFERROR(INDEX(TraitOfficers, SMALL(IF(ISNUMBER(MATCH(TraitNames,$AT$2:$AT$5, 0)), MATCH(ROW(TraitNames), ROW(TraitNames)), ""), ROWS($A$1:A10))),"")</f>
        <v/>
      </c>
      <c r="AV11" s="80" t="str">
        <f t="array" aca="1" ref="AV11" ca="1">IFERROR(INDEX(Planning4Match, MATCH(0,COUNTIF($AV$1:AV10,Planning4Match), 0))," ")</f>
        <v xml:space="preserve"> </v>
      </c>
      <c r="AX11" s="80" t="str">
        <f t="array" aca="1" ref="AX11" ca="1">IFERROR(INDEX(TraitOfficers, SMALL(IF(ISNUMBER(MATCH(TraitNames,$AW$2:$AW$5, 0)), MATCH(ROW(TraitNames), ROW(TraitNames)), ""), ROWS($A$1:A10))),"")</f>
        <v/>
      </c>
      <c r="AY11" s="80" t="str">
        <f t="array" aca="1" ref="AY11" ca="1">IFERROR(INDEX(Planning5Match, MATCH(0,COUNTIF($AY$1:AY10,Planning5Match), 0))," ")</f>
        <v xml:space="preserve"> </v>
      </c>
      <c r="BA11" s="80" t="str">
        <f t="array" aca="1" ref="BA11" ca="1">IFERROR(INDEX(TraitOfficers, SMALL(IF(ISNUMBER(MATCH(TraitNames,$AZ$2:$AZ$5, 0)), MATCH(ROW(TraitNames), ROW(TraitNames)), ""), ROWS($A$1:A10))),"")</f>
        <v/>
      </c>
      <c r="BB11" s="80" t="str">
        <f t="array" aca="1" ref="BB11" ca="1">IFERROR(INDEX(Planning6Match, MATCH(0,COUNTIF($BB$1:BB10,Planning6Match), 0))," ")</f>
        <v xml:space="preserve"> </v>
      </c>
      <c r="BD11" s="80" t="str">
        <f t="array" aca="1" ref="BD11" ca="1">IFERROR(INDEX(TraitOfficers, SMALL(IF(ISNUMBER(MATCH(TraitNames,$BC$2:$BC$5, 0)), MATCH(ROW(TraitNames), ROW(TraitNames)), ""), ROWS($A$1:A10))),"")</f>
        <v/>
      </c>
      <c r="BE11" s="80" t="str">
        <f t="array" aca="1" ref="BE11" ca="1">IFERROR(INDEX(Planning7Match, MATCH(0,COUNTIF($BE$1:BE10,Planning7Match), 0))," ")</f>
        <v xml:space="preserve"> </v>
      </c>
      <c r="BG11" s="80" t="str">
        <f t="array" aca="1" ref="BG11" ca="1">IFERROR(INDEX(TraitOfficers, SMALL(IF(ISNUMBER(MATCH(TraitNames,$BF$2:$BF$5, 0)), MATCH(ROW(TraitNames), ROW(TraitNames)), ""), ROWS($A$1:A10))),"")</f>
        <v/>
      </c>
      <c r="BH11" s="80" t="str">
        <f t="array" aca="1" ref="BH11" ca="1">IFERROR(INDEX(Planning8Match, MATCH(0,COUNTIF($BH$1:BH10,Planning8Match), 0))," ")</f>
        <v xml:space="preserve"> </v>
      </c>
      <c r="BJ11" s="80" t="str">
        <f t="array" aca="1" ref="BJ11" ca="1">IFERROR(INDEX(TraitOfficers, SMALL(IF(ISNUMBER(MATCH(TraitNames,$BI$2:$BI$5, 0)), MATCH(ROW(TraitNames), ROW(TraitNames)), ""), ROWS($A$1:A10))),"")</f>
        <v/>
      </c>
      <c r="BK11" s="80" t="str">
        <f t="array" aca="1" ref="BK11" ca="1">IFERROR(INDEX(Planning9Match, MATCH(0,COUNTIF($BK$1:BK10,Planning9Match), 0))," ")</f>
        <v xml:space="preserve"> </v>
      </c>
      <c r="BM11" s="80" t="str">
        <f t="array" aca="1" ref="BM11" ca="1">IFERROR(INDEX(TraitOfficers, SMALL(IF(ISNUMBER(MATCH(TraitNames,$BL$2:$BL$5, 0)), MATCH(ROW(TraitNames), ROW(TraitNames)), ""), ROWS($A$1:A10))),"")</f>
        <v/>
      </c>
      <c r="BN11" s="80" t="str">
        <f t="array" aca="1" ref="BN11" ca="1">IFERROR(INDEX(Planning10Match, MATCH(0,COUNTIF($BN$1:BN10,Planning10Match), 0))," ")</f>
        <v xml:space="preserve"> </v>
      </c>
    </row>
    <row r="12" spans="1:66" x14ac:dyDescent="0.25">
      <c r="A12" s="80" t="s">
        <v>2173</v>
      </c>
      <c r="B12" s="80" t="s">
        <v>911</v>
      </c>
      <c r="C12" s="80" t="s">
        <v>112</v>
      </c>
      <c r="H12" s="80" t="s">
        <v>1468</v>
      </c>
      <c r="I12" s="80" t="s">
        <v>1493</v>
      </c>
      <c r="J12" s="80" t="s">
        <v>1494</v>
      </c>
      <c r="K12" s="80" t="s">
        <v>1484</v>
      </c>
      <c r="L12" s="80" t="s">
        <v>2120</v>
      </c>
      <c r="M12" s="81">
        <v>0.25</v>
      </c>
      <c r="N12" s="529">
        <v>0.03</v>
      </c>
      <c r="O12" s="80">
        <v>25</v>
      </c>
      <c r="P12" s="81">
        <v>1</v>
      </c>
      <c r="Q12" s="80" t="str">
        <f t="array" ref="Q12">INDEX(AwayMissionRewardsAll, SMALL(IF(SMALL(IF(COUNTIF($Q$1:Q11, AwayMissionRewardsAll)+ISBLANK(AwayMissionRewardsAll)=0, COUNTIF(AwayMissionRewardsAll, "&lt;"&amp;AwayMissionRewardsAll)+1, ""), 1)=IF(ISBLANK(AwayMissionRewardsAll), "", COUNTIF(AwayMissionRewardsAll, "&lt;"&amp;AwayMissionRewardsAll)+1), ROW(AwayMissionRewardsAll)-MIN(ROW(AwayMissionRewardsAll))+1), 1), MATCH(MIN(IF(COUNTIF($Q$1:Q11, AwayMissionRewardsAll)+ISBLANK(AwayMissionRewardsAll)&gt;0, "", COUNTIF(AwayMissionRewardsAll, "&lt;"&amp;AwayMissionRewardsAll)+1)), INDEX(IF(ISBLANK(AwayMissionRewardsAll), "", COUNTIF(AwayMissionRewardsAll, "&lt;"&amp;AwayMissionRewardsAll)+1), SMALL(IF(SMALL(IF(COUNTIF($Q$1:Q11, AwayMissionRewardsAll)+ISBLANK(AwayMissionRewardsAll)=0, COUNTIF(AwayMissionRewardsAll, "&lt;"&amp;AwayMissionRewardsAll)+1, ""), 1)=IF(ISBLANK(AwayMissionRewardsAll), "", COUNTIF(AwayMissionRewardsAll, "&lt;"&amp;AwayMissionRewardsAll)+1), ROW(AwayMissionRewardsAll)-MIN(ROW(AwayMissionRewardsAll))+1), 1), , 1), 0), 1)</f>
        <v>Broken Explorer Parts</v>
      </c>
      <c r="T12" s="80" t="str">
        <f t="array" ref="T12">INDEX(AwayMissionTraitsAll, SMALL(IF(SMALL(IF(COUNTIF($T$1:T11, AwayMissionTraitsAll)+ISBLANK(AwayMissionTraitsAll)=0, COUNTIF(AwayMissionTraitsAll, "&lt;"&amp;AwayMissionTraitsAll)+1, ""), 1)=IF(ISBLANK(AwayMissionTraitsAll), "", COUNTIF(AwayMissionTraitsAll, "&lt;"&amp;AwayMissionTraitsAll)+1), ROW(AwayMissionTraitsAll)-MIN(ROW(AwayMissionTraitsAll))+1), 1), MATCH(MIN(IF(COUNTIF($T$1:T11, AwayMissionTraitsAll)+ISBLANK(AwayMissionTraitsAll)&gt;0, "", COUNTIF(AwayMissionTraitsAll, "&lt;"&amp;AwayMissionTraitsAll)+1)), INDEX(IF(ISBLANK(AwayMissionTraitsAll), "", COUNTIF(AwayMissionTraitsAll, "&lt;"&amp;AwayMissionTraitsAll)+1), SMALL(IF(SMALL(IF(COUNTIF($T$1:T11, AwayMissionTraitsAll)+ISBLANK(AwayMissionTraitsAll)=0, COUNTIF(AwayMissionTraitsAll, "&lt;"&amp;AwayMissionTraitsAll)+1, ""), 1)=IF(ISBLANK(AwayMissionTraitsAll), "", COUNTIF(AwayMissionTraitsAll, "&lt;"&amp;AwayMissionTraitsAll)+1), ROW(AwayMissionTraitsAll)-MIN(ROW(AwayMissionTraitsAll))+1), 1), , 1), 0), 1)</f>
        <v>Calculated</v>
      </c>
      <c r="U12" s="80">
        <f t="shared" si="0"/>
        <v>2</v>
      </c>
      <c r="V12" s="67" t="str">
        <f t="array" ref="V12">IFERROR(INDEX(AwayMissionsNames, SMALL(IF(ISNUMBER(MATCH(AwayMissionTraitsAll,'ATA Analysis'!$D$5:$D$7, 0)), MATCH(ROW(AwayMissionTraitsAll), ROW(AwayMissionTraitsAll)), ""), ROWS($A$1:A11))),"")</f>
        <v/>
      </c>
      <c r="Y12" s="80">
        <v>11</v>
      </c>
      <c r="Z12" s="80" t="str">
        <f t="array" ref="Z12">INDEX(AwayMissionTraits,SMALL(IF(AwayMissionTraitsTotals=AA12,ROW(AwayMissionTraitsTotals)-ROW('AM Lookup'!$U$1)),
COUNTIF($AA$2:AA12,AA12)))</f>
        <v>Tactical</v>
      </c>
      <c r="AA12" s="80">
        <f t="array" ref="AA12">LARGE(AwayMissionTraitsTotals,ROW(Z12)-ROW($Z$1))</f>
        <v>8</v>
      </c>
      <c r="AB12" s="80">
        <v>11</v>
      </c>
      <c r="AC12" s="80" t="str">
        <f t="array" ref="AC12">INDEX(TraitOfficers,SMALL(IF(TotalTraitsAppearance=AD12,ROW(TotalTraitsAppearance)-ROW('ATA Overview'!$N$25)),
COUNTIF($AD$2:AD12,AD12)))</f>
        <v>Three Of Eleven</v>
      </c>
      <c r="AD12" s="80">
        <f t="array" ref="AD12">LARGE(TotalTraitsAppearance,ROW(AD12)-ROW($AD$1))</f>
        <v>24</v>
      </c>
      <c r="AE12" s="80" t="str">
        <f t="array" ref="AE12">IF(AF12&lt;&gt;"",INDEX(TraitOfficers,SMALL(IF(TopATAScores=AF12,ROW(TopATAScores)-ROW('ATA Overview'!$N$25)),
COUNTIF($AF$2:AF12,AF12))),"")</f>
        <v/>
      </c>
      <c r="AF12" s="453" t="str">
        <f t="array" ref="AF12">IFERROR(LARGE(TopATAScores,ROW(AF12)-ROW($AF$1)),"")</f>
        <v/>
      </c>
      <c r="AG12" s="80" t="s">
        <v>2069</v>
      </c>
      <c r="AH12" s="80">
        <v>10</v>
      </c>
      <c r="AI12" s="80">
        <v>7000</v>
      </c>
      <c r="AJ12" s="80">
        <f t="shared" si="1"/>
        <v>58500</v>
      </c>
      <c r="AL12" s="80" t="str">
        <f t="array" aca="1" ref="AL12" ca="1">IFERROR(INDEX(TraitOfficers, SMALL(IF(ISNUMBER(MATCH(TraitNames,$AK$2:$AK$5, 0)), MATCH(ROW(TraitNames), ROW(TraitNames)), ""), ROWS($A$1:A11))),"")</f>
        <v/>
      </c>
      <c r="AM12" s="80" t="str">
        <f t="array" aca="1" ref="AM12" ca="1">IFERROR(INDEX(Planning1Match, MATCH(0,COUNTIF($AM$1:AM11,Planning1Match), 0))," ")</f>
        <v xml:space="preserve"> </v>
      </c>
      <c r="AO12" s="67" t="str">
        <f t="array" aca="1" ref="AO12" ca="1">IFERROR(INDEX(TraitOfficers, SMALL(IF(ISNUMBER(MATCH(TraitNames,$AN$2:$AN$5, 0)), MATCH(ROW(TraitNames), ROW(TraitNames)), ""), ROWS($A$1:A11))),"")</f>
        <v/>
      </c>
      <c r="AP12" s="80" t="str">
        <f t="array" aca="1" ref="AP12" ca="1">IFERROR(INDEX(Planning2Match, MATCH(0,COUNTIF($AP$1:AP11,Planning2Match), 0))," ")</f>
        <v xml:space="preserve"> </v>
      </c>
      <c r="AR12" s="80" t="str">
        <f t="array" aca="1" ref="AR12" ca="1">IFERROR(INDEX(TraitOfficers, SMALL(IF(ISNUMBER(MATCH(TraitNames,$AQ$2:$AQ$5, 0)), MATCH(ROW(TraitNames), ROW(TraitNames)), ""), ROWS($A$1:A11))),"")</f>
        <v/>
      </c>
      <c r="AS12" s="80" t="str">
        <f t="array" aca="1" ref="AS12" ca="1">IFERROR(INDEX(Planning3Match, MATCH(0,COUNTIF($AS$1:AS11,Planning3Match), 0))," ")</f>
        <v xml:space="preserve"> </v>
      </c>
      <c r="AU12" s="80" t="str">
        <f t="array" aca="1" ref="AU12" ca="1">IFERROR(INDEX(TraitOfficers, SMALL(IF(ISNUMBER(MATCH(TraitNames,$AT$2:$AT$5, 0)), MATCH(ROW(TraitNames), ROW(TraitNames)), ""), ROWS($A$1:A11))),"")</f>
        <v/>
      </c>
      <c r="AV12" s="80" t="str">
        <f t="array" aca="1" ref="AV12" ca="1">IFERROR(INDEX(Planning4Match, MATCH(0,COUNTIF($AV$1:AV11,Planning4Match), 0))," ")</f>
        <v xml:space="preserve"> </v>
      </c>
      <c r="AX12" s="80" t="str">
        <f t="array" aca="1" ref="AX12" ca="1">IFERROR(INDEX(TraitOfficers, SMALL(IF(ISNUMBER(MATCH(TraitNames,$AW$2:$AW$5, 0)), MATCH(ROW(TraitNames), ROW(TraitNames)), ""), ROWS($A$1:A11))),"")</f>
        <v/>
      </c>
      <c r="AY12" s="80" t="str">
        <f t="array" aca="1" ref="AY12" ca="1">IFERROR(INDEX(Planning5Match, MATCH(0,COUNTIF($AY$1:AY11,Planning5Match), 0))," ")</f>
        <v xml:space="preserve"> </v>
      </c>
      <c r="BA12" s="80" t="str">
        <f t="array" aca="1" ref="BA12" ca="1">IFERROR(INDEX(TraitOfficers, SMALL(IF(ISNUMBER(MATCH(TraitNames,$AZ$2:$AZ$5, 0)), MATCH(ROW(TraitNames), ROW(TraitNames)), ""), ROWS($A$1:A11))),"")</f>
        <v/>
      </c>
      <c r="BB12" s="80" t="str">
        <f t="array" aca="1" ref="BB12" ca="1">IFERROR(INDEX(Planning6Match, MATCH(0,COUNTIF($BB$1:BB11,Planning6Match), 0))," ")</f>
        <v xml:space="preserve"> </v>
      </c>
      <c r="BD12" s="80" t="str">
        <f t="array" aca="1" ref="BD12" ca="1">IFERROR(INDEX(TraitOfficers, SMALL(IF(ISNUMBER(MATCH(TraitNames,$BC$2:$BC$5, 0)), MATCH(ROW(TraitNames), ROW(TraitNames)), ""), ROWS($A$1:A11))),"")</f>
        <v/>
      </c>
      <c r="BE12" s="80" t="str">
        <f t="array" aca="1" ref="BE12" ca="1">IFERROR(INDEX(Planning7Match, MATCH(0,COUNTIF($BE$1:BE11,Planning7Match), 0))," ")</f>
        <v xml:space="preserve"> </v>
      </c>
      <c r="BG12" s="80" t="str">
        <f t="array" aca="1" ref="BG12" ca="1">IFERROR(INDEX(TraitOfficers, SMALL(IF(ISNUMBER(MATCH(TraitNames,$BF$2:$BF$5, 0)), MATCH(ROW(TraitNames), ROW(TraitNames)), ""), ROWS($A$1:A11))),"")</f>
        <v/>
      </c>
      <c r="BH12" s="80" t="str">
        <f t="array" aca="1" ref="BH12" ca="1">IFERROR(INDEX(Planning8Match, MATCH(0,COUNTIF($BH$1:BH11,Planning8Match), 0))," ")</f>
        <v xml:space="preserve"> </v>
      </c>
      <c r="BJ12" s="80" t="str">
        <f t="array" aca="1" ref="BJ12" ca="1">IFERROR(INDEX(TraitOfficers, SMALL(IF(ISNUMBER(MATCH(TraitNames,$BI$2:$BI$5, 0)), MATCH(ROW(TraitNames), ROW(TraitNames)), ""), ROWS($A$1:A11))),"")</f>
        <v/>
      </c>
      <c r="BK12" s="80" t="str">
        <f t="array" aca="1" ref="BK12" ca="1">IFERROR(INDEX(Planning9Match, MATCH(0,COUNTIF($BK$1:BK11,Planning9Match), 0))," ")</f>
        <v xml:space="preserve"> </v>
      </c>
      <c r="BM12" s="80" t="str">
        <f t="array" aca="1" ref="BM12" ca="1">IFERROR(INDEX(TraitOfficers, SMALL(IF(ISNUMBER(MATCH(TraitNames,$BL$2:$BL$5, 0)), MATCH(ROW(TraitNames), ROW(TraitNames)), ""), ROWS($A$1:A11))),"")</f>
        <v/>
      </c>
      <c r="BN12" s="80" t="str">
        <f t="array" aca="1" ref="BN12" ca="1">IFERROR(INDEX(Planning10Match, MATCH(0,COUNTIF($BN$1:BN11,Planning10Match), 0))," ")</f>
        <v xml:space="preserve"> </v>
      </c>
    </row>
    <row r="13" spans="1:66" x14ac:dyDescent="0.25">
      <c r="A13" s="80" t="s">
        <v>1560</v>
      </c>
      <c r="B13" s="80" t="s">
        <v>912</v>
      </c>
      <c r="C13" s="80" t="s">
        <v>111</v>
      </c>
      <c r="D13" s="80" t="s">
        <v>1418</v>
      </c>
      <c r="G13" s="80" t="s">
        <v>1406</v>
      </c>
      <c r="H13" s="80" t="s">
        <v>1471</v>
      </c>
      <c r="I13" s="80" t="s">
        <v>1424</v>
      </c>
      <c r="J13" s="80" t="s">
        <v>1481</v>
      </c>
      <c r="K13" s="80" t="s">
        <v>1410</v>
      </c>
      <c r="L13" s="80" t="s">
        <v>2117</v>
      </c>
      <c r="M13" s="81">
        <v>0.2</v>
      </c>
      <c r="N13" s="529">
        <v>2.1100000000000001E-2</v>
      </c>
      <c r="O13" s="80">
        <v>19</v>
      </c>
      <c r="P13" s="81">
        <v>0.6</v>
      </c>
      <c r="Q13" s="80" t="str">
        <f t="array" ref="Q13">INDEX(AwayMissionRewardsAll, SMALL(IF(SMALL(IF(COUNTIF($Q$1:Q12, AwayMissionRewardsAll)+ISBLANK(AwayMissionRewardsAll)=0, COUNTIF(AwayMissionRewardsAll, "&lt;"&amp;AwayMissionRewardsAll)+1, ""), 1)=IF(ISBLANK(AwayMissionRewardsAll), "", COUNTIF(AwayMissionRewardsAll, "&lt;"&amp;AwayMissionRewardsAll)+1), ROW(AwayMissionRewardsAll)-MIN(ROW(AwayMissionRewardsAll))+1), 1), MATCH(MIN(IF(COUNTIF($Q$1:Q12, AwayMissionRewardsAll)+ISBLANK(AwayMissionRewardsAll)&gt;0, "", COUNTIF(AwayMissionRewardsAll, "&lt;"&amp;AwayMissionRewardsAll)+1)), INDEX(IF(ISBLANK(AwayMissionRewardsAll), "", COUNTIF(AwayMissionRewardsAll, "&lt;"&amp;AwayMissionRewardsAll)+1), SMALL(IF(SMALL(IF(COUNTIF($Q$1:Q12, AwayMissionRewardsAll)+ISBLANK(AwayMissionRewardsAll)=0, COUNTIF(AwayMissionRewardsAll, "&lt;"&amp;AwayMissionRewardsAll)+1, ""), 1)=IF(ISBLANK(AwayMissionRewardsAll), "", COUNTIF(AwayMissionRewardsAll, "&lt;"&amp;AwayMissionRewardsAll)+1), ROW(AwayMissionRewardsAll)-MIN(ROW(AwayMissionRewardsAll))+1), 1), , 1), 0), 1)</f>
        <v>Broken Interceptor Parts</v>
      </c>
      <c r="T13" s="80" t="str">
        <f t="array" ref="T13">INDEX(AwayMissionTraitsAll, SMALL(IF(SMALL(IF(COUNTIF($T$1:T12, AwayMissionTraitsAll)+ISBLANK(AwayMissionTraitsAll)=0, COUNTIF(AwayMissionTraitsAll, "&lt;"&amp;AwayMissionTraitsAll)+1, ""), 1)=IF(ISBLANK(AwayMissionTraitsAll), "", COUNTIF(AwayMissionTraitsAll, "&lt;"&amp;AwayMissionTraitsAll)+1), ROW(AwayMissionTraitsAll)-MIN(ROW(AwayMissionTraitsAll))+1), 1), MATCH(MIN(IF(COUNTIF($T$1:T12, AwayMissionTraitsAll)+ISBLANK(AwayMissionTraitsAll)&gt;0, "", COUNTIF(AwayMissionTraitsAll, "&lt;"&amp;AwayMissionTraitsAll)+1)), INDEX(IF(ISBLANK(AwayMissionTraitsAll), "", COUNTIF(AwayMissionTraitsAll, "&lt;"&amp;AwayMissionTraitsAll)+1), SMALL(IF(SMALL(IF(COUNTIF($T$1:T12, AwayMissionTraitsAll)+ISBLANK(AwayMissionTraitsAll)=0, COUNTIF(AwayMissionTraitsAll, "&lt;"&amp;AwayMissionTraitsAll)+1, ""), 1)=IF(ISBLANK(AwayMissionTraitsAll), "", COUNTIF(AwayMissionTraitsAll, "&lt;"&amp;AwayMissionTraitsAll)+1), ROW(AwayMissionTraitsAll)-MIN(ROW(AwayMissionTraitsAll))+1), 1), , 1), 0), 1)</f>
        <v>Cap[tain</v>
      </c>
      <c r="U13" s="80">
        <f t="shared" si="0"/>
        <v>1</v>
      </c>
      <c r="V13" s="67" t="str">
        <f t="array" ref="V13">IFERROR(INDEX(AwayMissionsNames, SMALL(IF(ISNUMBER(MATCH(AwayMissionTraitsAll,'ATA Analysis'!$D$5:$D$7, 0)), MATCH(ROW(AwayMissionTraitsAll), ROW(AwayMissionTraitsAll)), ""), ROWS($A$1:A12))),"")</f>
        <v/>
      </c>
      <c r="Y13" s="80">
        <v>12</v>
      </c>
      <c r="Z13" s="80" t="str">
        <f t="array" ref="Z13">INDEX(AwayMissionTraits,SMALL(IF(AwayMissionTraitsTotals=AA13,ROW(AwayMissionTraitsTotals)-ROW('AM Lookup'!$U$1)),
COUNTIF($AA$2:AA13,AA13)))</f>
        <v>Augment</v>
      </c>
      <c r="AA13" s="80">
        <f t="array" ref="AA13">LARGE(AwayMissionTraitsTotals,ROW(Z13)-ROW($Z$1))</f>
        <v>7</v>
      </c>
      <c r="AB13" s="80">
        <v>12</v>
      </c>
      <c r="AC13" s="80" t="str">
        <f t="array" ref="AC13">INDEX(TraitOfficers,SMALL(IF(TotalTraitsAppearance=AD13,ROW(TotalTraitsAppearance)-ROW('ATA Overview'!$N$25)),
COUNTIF($AD$2:AD13,AD13)))</f>
        <v>TOS Spock</v>
      </c>
      <c r="AD13" s="80">
        <f t="array" ref="AD13">LARGE(TotalTraitsAppearance,ROW(AD13)-ROW($AD$1))</f>
        <v>24</v>
      </c>
      <c r="AE13" s="80" t="str">
        <f t="array" ref="AE13">IF(AF13&lt;&gt;"",INDEX(TraitOfficers,SMALL(IF(TopATAScores=AF13,ROW(TopATAScores)-ROW('ATA Overview'!$N$25)),
COUNTIF($AF$2:AF13,AF13))),"")</f>
        <v/>
      </c>
      <c r="AF13" s="453" t="str">
        <f t="array" ref="AF13">IFERROR(LARGE(TopATAScores,ROW(AF13)-ROW($AF$1)),"")</f>
        <v/>
      </c>
      <c r="AG13" s="80" t="s">
        <v>2070</v>
      </c>
      <c r="AH13" s="80">
        <v>11</v>
      </c>
      <c r="AI13" s="80">
        <v>10000</v>
      </c>
      <c r="AJ13" s="80">
        <f t="shared" si="1"/>
        <v>68500</v>
      </c>
      <c r="AL13" s="80" t="str">
        <f t="array" aca="1" ref="AL13" ca="1">IFERROR(INDEX(TraitOfficers, SMALL(IF(ISNUMBER(MATCH(TraitNames,$AK$2:$AK$5, 0)), MATCH(ROW(TraitNames), ROW(TraitNames)), ""), ROWS($A$1:A12))),"")</f>
        <v/>
      </c>
      <c r="AM13" s="80" t="str">
        <f t="array" aca="1" ref="AM13" ca="1">IFERROR(INDEX(Planning1Match, MATCH(0,COUNTIF($AM$1:AM12,Planning1Match), 0))," ")</f>
        <v xml:space="preserve"> </v>
      </c>
      <c r="AO13" s="67" t="str">
        <f t="array" aca="1" ref="AO13" ca="1">IFERROR(INDEX(TraitOfficers, SMALL(IF(ISNUMBER(MATCH(TraitNames,$AN$2:$AN$5, 0)), MATCH(ROW(TraitNames), ROW(TraitNames)), ""), ROWS($A$1:A12))),"")</f>
        <v/>
      </c>
      <c r="AP13" s="80" t="str">
        <f t="array" aca="1" ref="AP13" ca="1">IFERROR(INDEX(Planning2Match, MATCH(0,COUNTIF($AP$1:AP12,Planning2Match), 0))," ")</f>
        <v xml:space="preserve"> </v>
      </c>
      <c r="AR13" s="80" t="str">
        <f t="array" aca="1" ref="AR13" ca="1">IFERROR(INDEX(TraitOfficers, SMALL(IF(ISNUMBER(MATCH(TraitNames,$AQ$2:$AQ$5, 0)), MATCH(ROW(TraitNames), ROW(TraitNames)), ""), ROWS($A$1:A12))),"")</f>
        <v/>
      </c>
      <c r="AS13" s="80" t="str">
        <f t="array" aca="1" ref="AS13" ca="1">IFERROR(INDEX(Planning3Match, MATCH(0,COUNTIF($AS$1:AS12,Planning3Match), 0))," ")</f>
        <v xml:space="preserve"> </v>
      </c>
      <c r="AU13" s="80" t="str">
        <f t="array" aca="1" ref="AU13" ca="1">IFERROR(INDEX(TraitOfficers, SMALL(IF(ISNUMBER(MATCH(TraitNames,$AT$2:$AT$5, 0)), MATCH(ROW(TraitNames), ROW(TraitNames)), ""), ROWS($A$1:A12))),"")</f>
        <v/>
      </c>
      <c r="AV13" s="80" t="str">
        <f t="array" aca="1" ref="AV13" ca="1">IFERROR(INDEX(Planning4Match, MATCH(0,COUNTIF($AV$1:AV12,Planning4Match), 0))," ")</f>
        <v xml:space="preserve"> </v>
      </c>
      <c r="AX13" s="80" t="str">
        <f t="array" aca="1" ref="AX13" ca="1">IFERROR(INDEX(TraitOfficers, SMALL(IF(ISNUMBER(MATCH(TraitNames,$AW$2:$AW$5, 0)), MATCH(ROW(TraitNames), ROW(TraitNames)), ""), ROWS($A$1:A12))),"")</f>
        <v/>
      </c>
      <c r="AY13" s="80" t="str">
        <f t="array" aca="1" ref="AY13" ca="1">IFERROR(INDEX(Planning5Match, MATCH(0,COUNTIF($AY$1:AY12,Planning5Match), 0))," ")</f>
        <v xml:space="preserve"> </v>
      </c>
      <c r="BA13" s="80" t="str">
        <f t="array" aca="1" ref="BA13" ca="1">IFERROR(INDEX(TraitOfficers, SMALL(IF(ISNUMBER(MATCH(TraitNames,$AZ$2:$AZ$5, 0)), MATCH(ROW(TraitNames), ROW(TraitNames)), ""), ROWS($A$1:A12))),"")</f>
        <v/>
      </c>
      <c r="BB13" s="80" t="str">
        <f t="array" aca="1" ref="BB13" ca="1">IFERROR(INDEX(Planning6Match, MATCH(0,COUNTIF($BB$1:BB12,Planning6Match), 0))," ")</f>
        <v xml:space="preserve"> </v>
      </c>
      <c r="BD13" s="80" t="str">
        <f t="array" aca="1" ref="BD13" ca="1">IFERROR(INDEX(TraitOfficers, SMALL(IF(ISNUMBER(MATCH(TraitNames,$BC$2:$BC$5, 0)), MATCH(ROW(TraitNames), ROW(TraitNames)), ""), ROWS($A$1:A12))),"")</f>
        <v/>
      </c>
      <c r="BE13" s="80" t="str">
        <f t="array" aca="1" ref="BE13" ca="1">IFERROR(INDEX(Planning7Match, MATCH(0,COUNTIF($BE$1:BE12,Planning7Match), 0))," ")</f>
        <v xml:space="preserve"> </v>
      </c>
      <c r="BG13" s="80" t="str">
        <f t="array" aca="1" ref="BG13" ca="1">IFERROR(INDEX(TraitOfficers, SMALL(IF(ISNUMBER(MATCH(TraitNames,$BF$2:$BF$5, 0)), MATCH(ROW(TraitNames), ROW(TraitNames)), ""), ROWS($A$1:A12))),"")</f>
        <v/>
      </c>
      <c r="BH13" s="80" t="str">
        <f t="array" aca="1" ref="BH13" ca="1">IFERROR(INDEX(Planning8Match, MATCH(0,COUNTIF($BH$1:BH12,Planning8Match), 0))," ")</f>
        <v xml:space="preserve"> </v>
      </c>
      <c r="BJ13" s="80" t="str">
        <f t="array" aca="1" ref="BJ13" ca="1">IFERROR(INDEX(TraitOfficers, SMALL(IF(ISNUMBER(MATCH(TraitNames,$BI$2:$BI$5, 0)), MATCH(ROW(TraitNames), ROW(TraitNames)), ""), ROWS($A$1:A12))),"")</f>
        <v/>
      </c>
      <c r="BK13" s="80" t="str">
        <f t="array" aca="1" ref="BK13" ca="1">IFERROR(INDEX(Planning9Match, MATCH(0,COUNTIF($BK$1:BK12,Planning9Match), 0))," ")</f>
        <v xml:space="preserve"> </v>
      </c>
      <c r="BM13" s="80" t="str">
        <f t="array" aca="1" ref="BM13" ca="1">IFERROR(INDEX(TraitOfficers, SMALL(IF(ISNUMBER(MATCH(TraitNames,$BL$2:$BL$5, 0)), MATCH(ROW(TraitNames), ROW(TraitNames)), ""), ROWS($A$1:A12))),"")</f>
        <v/>
      </c>
      <c r="BN13" s="80" t="str">
        <f t="array" aca="1" ref="BN13" ca="1">IFERROR(INDEX(Planning10Match, MATCH(0,COUNTIF($BN$1:BN12,Planning10Match), 0))," ")</f>
        <v xml:space="preserve"> </v>
      </c>
    </row>
    <row r="14" spans="1:66" x14ac:dyDescent="0.25">
      <c r="A14" s="80" t="s">
        <v>1674</v>
      </c>
      <c r="B14" s="80" t="s">
        <v>910</v>
      </c>
      <c r="C14" s="80" t="s">
        <v>111</v>
      </c>
      <c r="D14" s="80" t="s">
        <v>1411</v>
      </c>
      <c r="G14" s="80" t="s">
        <v>1411</v>
      </c>
      <c r="H14" s="80" t="s">
        <v>1412</v>
      </c>
      <c r="I14" s="80" t="s">
        <v>1413</v>
      </c>
      <c r="J14" s="80" t="s">
        <v>1414</v>
      </c>
      <c r="L14" s="80" t="s">
        <v>2118</v>
      </c>
      <c r="M14" s="81">
        <v>0.1</v>
      </c>
      <c r="N14" s="529">
        <v>0.05</v>
      </c>
      <c r="O14" s="80">
        <v>10</v>
      </c>
      <c r="P14" s="81">
        <v>0.6</v>
      </c>
      <c r="Q14" s="80" t="str">
        <f t="array" ref="Q14">INDEX(AwayMissionRewardsAll, SMALL(IF(SMALL(IF(COUNTIF($Q$1:Q13, AwayMissionRewardsAll)+ISBLANK(AwayMissionRewardsAll)=0, COUNTIF(AwayMissionRewardsAll, "&lt;"&amp;AwayMissionRewardsAll)+1, ""), 1)=IF(ISBLANK(AwayMissionRewardsAll), "", COUNTIF(AwayMissionRewardsAll, "&lt;"&amp;AwayMissionRewardsAll)+1), ROW(AwayMissionRewardsAll)-MIN(ROW(AwayMissionRewardsAll))+1), 1), MATCH(MIN(IF(COUNTIF($Q$1:Q13, AwayMissionRewardsAll)+ISBLANK(AwayMissionRewardsAll)&gt;0, "", COUNTIF(AwayMissionRewardsAll, "&lt;"&amp;AwayMissionRewardsAll)+1)), INDEX(IF(ISBLANK(AwayMissionRewardsAll), "", COUNTIF(AwayMissionRewardsAll, "&lt;"&amp;AwayMissionRewardsAll)+1), SMALL(IF(SMALL(IF(COUNTIF($Q$1:Q13, AwayMissionRewardsAll)+ISBLANK(AwayMissionRewardsAll)=0, COUNTIF(AwayMissionRewardsAll, "&lt;"&amp;AwayMissionRewardsAll)+1, ""), 1)=IF(ISBLANK(AwayMissionRewardsAll), "", COUNTIF(AwayMissionRewardsAll, "&lt;"&amp;AwayMissionRewardsAll)+1), ROW(AwayMissionRewardsAll)-MIN(ROW(AwayMissionRewardsAll))+1), 1), , 1), 0), 1)</f>
        <v>Broken Survey Parts</v>
      </c>
      <c r="T14" s="80" t="str">
        <f t="array" ref="T14">INDEX(AwayMissionTraitsAll, SMALL(IF(SMALL(IF(COUNTIF($T$1:T13, AwayMissionTraitsAll)+ISBLANK(AwayMissionTraitsAll)=0, COUNTIF(AwayMissionTraitsAll, "&lt;"&amp;AwayMissionTraitsAll)+1, ""), 1)=IF(ISBLANK(AwayMissionTraitsAll), "", COUNTIF(AwayMissionTraitsAll, "&lt;"&amp;AwayMissionTraitsAll)+1), ROW(AwayMissionTraitsAll)-MIN(ROW(AwayMissionTraitsAll))+1), 1), MATCH(MIN(IF(COUNTIF($T$1:T13, AwayMissionTraitsAll)+ISBLANK(AwayMissionTraitsAll)&gt;0, "", COUNTIF(AwayMissionTraitsAll, "&lt;"&amp;AwayMissionTraitsAll)+1)), INDEX(IF(ISBLANK(AwayMissionTraitsAll), "", COUNTIF(AwayMissionTraitsAll, "&lt;"&amp;AwayMissionTraitsAll)+1), SMALL(IF(SMALL(IF(COUNTIF($T$1:T13, AwayMissionTraitsAll)+ISBLANK(AwayMissionTraitsAll)=0, COUNTIF(AwayMissionTraitsAll, "&lt;"&amp;AwayMissionTraitsAll)+1, ""), 1)=IF(ISBLANK(AwayMissionTraitsAll), "", COUNTIF(AwayMissionTraitsAll, "&lt;"&amp;AwayMissionTraitsAll)+1), ROW(AwayMissionTraitsAll)-MIN(ROW(AwayMissionTraitsAll))+1), 1), , 1), 0), 1)</f>
        <v>Captain</v>
      </c>
      <c r="U14" s="80">
        <f t="shared" si="0"/>
        <v>3</v>
      </c>
      <c r="V14" s="67" t="str">
        <f t="array" ref="V14">IFERROR(INDEX(AwayMissionsNames, SMALL(IF(ISNUMBER(MATCH(AwayMissionTraitsAll,'ATA Analysis'!$D$5:$D$7, 0)), MATCH(ROW(AwayMissionTraitsAll), ROW(AwayMissionTraitsAll)), ""), ROWS($A$1:A13))),"")</f>
        <v/>
      </c>
      <c r="Y14" s="80">
        <v>13</v>
      </c>
      <c r="Z14" s="80" t="str">
        <f t="array" ref="Z14">INDEX(AwayMissionTraits,SMALL(IF(AwayMissionTraitsTotals=AA14,ROW(AwayMissionTraitsTotals)-ROW('AM Lookup'!$U$1)),
COUNTIF($AA$2:AA14,AA14)))</f>
        <v>Dedicated</v>
      </c>
      <c r="AA14" s="80">
        <f t="array" ref="AA14">LARGE(AwayMissionTraitsTotals,ROW(Z14)-ROW($Z$1))</f>
        <v>7</v>
      </c>
      <c r="AB14" s="80">
        <v>13</v>
      </c>
      <c r="AC14" s="80" t="str">
        <f t="array" ref="AC14">INDEX(TraitOfficers,SMALL(IF(TotalTraitsAppearance=AD14,ROW(TotalTraitsAppearance)-ROW('ATA Overview'!$N$25)),
COUNTIF($AD$2:AD14,AD14)))</f>
        <v>Wesley Crusher</v>
      </c>
      <c r="AD14" s="80">
        <f t="array" ref="AD14">LARGE(TotalTraitsAppearance,ROW(AD14)-ROW($AD$1))</f>
        <v>24</v>
      </c>
      <c r="AE14" s="80" t="str">
        <f t="array" ref="AE14">IF(AF14&lt;&gt;"",INDEX(TraitOfficers,SMALL(IF(TopATAScores=AF14,ROW(TopATAScores)-ROW('ATA Overview'!$N$25)),
COUNTIF($AF$2:AF14,AF14))),"")</f>
        <v/>
      </c>
      <c r="AF14" s="453" t="str">
        <f t="array" ref="AF14">IFERROR(LARGE(TopATAScores,ROW(AF14)-ROW($AF$1)),"")</f>
        <v/>
      </c>
      <c r="AG14" s="80" t="s">
        <v>2054</v>
      </c>
      <c r="AH14" s="80">
        <v>12</v>
      </c>
      <c r="AI14" s="80">
        <v>15000</v>
      </c>
      <c r="AJ14" s="80">
        <f t="shared" si="1"/>
        <v>83500</v>
      </c>
      <c r="AL14" s="80" t="str">
        <f t="array" aca="1" ref="AL14" ca="1">IFERROR(INDEX(TraitOfficers, SMALL(IF(ISNUMBER(MATCH(TraitNames,$AK$2:$AK$5, 0)), MATCH(ROW(TraitNames), ROW(TraitNames)), ""), ROWS($A$1:A13))),"")</f>
        <v/>
      </c>
      <c r="AM14" s="80" t="str">
        <f t="array" aca="1" ref="AM14" ca="1">IFERROR(INDEX(Planning1Match, MATCH(0,COUNTIF($AM$1:AM13,Planning1Match), 0))," ")</f>
        <v xml:space="preserve"> </v>
      </c>
      <c r="AO14" s="67" t="str">
        <f t="array" aca="1" ref="AO14" ca="1">IFERROR(INDEX(TraitOfficers, SMALL(IF(ISNUMBER(MATCH(TraitNames,$AN$2:$AN$5, 0)), MATCH(ROW(TraitNames), ROW(TraitNames)), ""), ROWS($A$1:A13))),"")</f>
        <v/>
      </c>
      <c r="AP14" s="80" t="str">
        <f t="array" aca="1" ref="AP14" ca="1">IFERROR(INDEX(Planning2Match, MATCH(0,COUNTIF($AP$1:AP13,Planning2Match), 0))," ")</f>
        <v xml:space="preserve"> </v>
      </c>
      <c r="AR14" s="80" t="str">
        <f t="array" aca="1" ref="AR14" ca="1">IFERROR(INDEX(TraitOfficers, SMALL(IF(ISNUMBER(MATCH(TraitNames,$AQ$2:$AQ$5, 0)), MATCH(ROW(TraitNames), ROW(TraitNames)), ""), ROWS($A$1:A13))),"")</f>
        <v/>
      </c>
      <c r="AS14" s="80" t="str">
        <f t="array" aca="1" ref="AS14" ca="1">IFERROR(INDEX(Planning3Match, MATCH(0,COUNTIF($AS$1:AS13,Planning3Match), 0))," ")</f>
        <v xml:space="preserve"> </v>
      </c>
      <c r="AU14" s="80" t="str">
        <f t="array" aca="1" ref="AU14" ca="1">IFERROR(INDEX(TraitOfficers, SMALL(IF(ISNUMBER(MATCH(TraitNames,$AT$2:$AT$5, 0)), MATCH(ROW(TraitNames), ROW(TraitNames)), ""), ROWS($A$1:A13))),"")</f>
        <v/>
      </c>
      <c r="AV14" s="80" t="str">
        <f t="array" aca="1" ref="AV14" ca="1">IFERROR(INDEX(Planning4Match, MATCH(0,COUNTIF($AV$1:AV13,Planning4Match), 0))," ")</f>
        <v xml:space="preserve"> </v>
      </c>
      <c r="AX14" s="80" t="str">
        <f t="array" aca="1" ref="AX14" ca="1">IFERROR(INDEX(TraitOfficers, SMALL(IF(ISNUMBER(MATCH(TraitNames,$AW$2:$AW$5, 0)), MATCH(ROW(TraitNames), ROW(TraitNames)), ""), ROWS($A$1:A13))),"")</f>
        <v/>
      </c>
      <c r="AY14" s="80" t="str">
        <f t="array" aca="1" ref="AY14" ca="1">IFERROR(INDEX(Planning5Match, MATCH(0,COUNTIF($AY$1:AY13,Planning5Match), 0))," ")</f>
        <v xml:space="preserve"> </v>
      </c>
      <c r="BA14" s="80" t="str">
        <f t="array" aca="1" ref="BA14" ca="1">IFERROR(INDEX(TraitOfficers, SMALL(IF(ISNUMBER(MATCH(TraitNames,$AZ$2:$AZ$5, 0)), MATCH(ROW(TraitNames), ROW(TraitNames)), ""), ROWS($A$1:A13))),"")</f>
        <v/>
      </c>
      <c r="BB14" s="80" t="str">
        <f t="array" aca="1" ref="BB14" ca="1">IFERROR(INDEX(Planning6Match, MATCH(0,COUNTIF($BB$1:BB13,Planning6Match), 0))," ")</f>
        <v xml:space="preserve"> </v>
      </c>
      <c r="BD14" s="80" t="str">
        <f t="array" aca="1" ref="BD14" ca="1">IFERROR(INDEX(TraitOfficers, SMALL(IF(ISNUMBER(MATCH(TraitNames,$BC$2:$BC$5, 0)), MATCH(ROW(TraitNames), ROW(TraitNames)), ""), ROWS($A$1:A13))),"")</f>
        <v/>
      </c>
      <c r="BE14" s="80" t="str">
        <f t="array" aca="1" ref="BE14" ca="1">IFERROR(INDEX(Planning7Match, MATCH(0,COUNTIF($BE$1:BE13,Planning7Match), 0))," ")</f>
        <v xml:space="preserve"> </v>
      </c>
      <c r="BG14" s="80" t="str">
        <f t="array" aca="1" ref="BG14" ca="1">IFERROR(INDEX(TraitOfficers, SMALL(IF(ISNUMBER(MATCH(TraitNames,$BF$2:$BF$5, 0)), MATCH(ROW(TraitNames), ROW(TraitNames)), ""), ROWS($A$1:A13))),"")</f>
        <v/>
      </c>
      <c r="BH14" s="80" t="str">
        <f t="array" aca="1" ref="BH14" ca="1">IFERROR(INDEX(Planning8Match, MATCH(0,COUNTIF($BH$1:BH13,Planning8Match), 0))," ")</f>
        <v xml:space="preserve"> </v>
      </c>
      <c r="BJ14" s="80" t="str">
        <f t="array" aca="1" ref="BJ14" ca="1">IFERROR(INDEX(TraitOfficers, SMALL(IF(ISNUMBER(MATCH(TraitNames,$BI$2:$BI$5, 0)), MATCH(ROW(TraitNames), ROW(TraitNames)), ""), ROWS($A$1:A13))),"")</f>
        <v/>
      </c>
      <c r="BK14" s="80" t="str">
        <f t="array" aca="1" ref="BK14" ca="1">IFERROR(INDEX(Planning9Match, MATCH(0,COUNTIF($BK$1:BK13,Planning9Match), 0))," ")</f>
        <v xml:space="preserve"> </v>
      </c>
      <c r="BM14" s="80" t="str">
        <f t="array" aca="1" ref="BM14" ca="1">IFERROR(INDEX(TraitOfficers, SMALL(IF(ISNUMBER(MATCH(TraitNames,$BL$2:$BL$5, 0)), MATCH(ROW(TraitNames), ROW(TraitNames)), ""), ROWS($A$1:A13))),"")</f>
        <v/>
      </c>
      <c r="BN14" s="80" t="str">
        <f t="array" aca="1" ref="BN14" ca="1">IFERROR(INDEX(Planning10Match, MATCH(0,COUNTIF($BN$1:BN13,Planning10Match), 0))," ")</f>
        <v xml:space="preserve"> </v>
      </c>
    </row>
    <row r="15" spans="1:66" x14ac:dyDescent="0.25">
      <c r="A15" s="80" t="s">
        <v>1675</v>
      </c>
      <c r="B15" s="80" t="s">
        <v>910</v>
      </c>
      <c r="C15" s="80" t="s">
        <v>111</v>
      </c>
      <c r="D15" s="80" t="s">
        <v>1411</v>
      </c>
      <c r="E15" s="80" t="s">
        <v>1398</v>
      </c>
      <c r="G15" s="80" t="s">
        <v>1411</v>
      </c>
      <c r="H15" s="80" t="s">
        <v>1412</v>
      </c>
      <c r="I15" s="80" t="s">
        <v>1413</v>
      </c>
      <c r="J15" s="80" t="s">
        <v>1414</v>
      </c>
      <c r="L15" s="80" t="s">
        <v>2118</v>
      </c>
      <c r="M15" s="81">
        <v>0.1</v>
      </c>
      <c r="N15" s="529">
        <v>0.05</v>
      </c>
      <c r="O15" s="80">
        <v>10</v>
      </c>
      <c r="P15" s="81">
        <v>0.6</v>
      </c>
      <c r="Q15" s="80" t="str">
        <f t="array" ref="Q15">INDEX(AwayMissionRewardsAll, SMALL(IF(SMALL(IF(COUNTIF($Q$1:Q14, AwayMissionRewardsAll)+ISBLANK(AwayMissionRewardsAll)=0, COUNTIF(AwayMissionRewardsAll, "&lt;"&amp;AwayMissionRewardsAll)+1, ""), 1)=IF(ISBLANK(AwayMissionRewardsAll), "", COUNTIF(AwayMissionRewardsAll, "&lt;"&amp;AwayMissionRewardsAll)+1), ROW(AwayMissionRewardsAll)-MIN(ROW(AwayMissionRewardsAll))+1), 1), MATCH(MIN(IF(COUNTIF($Q$1:Q14, AwayMissionRewardsAll)+ISBLANK(AwayMissionRewardsAll)&gt;0, "", COUNTIF(AwayMissionRewardsAll, "&lt;"&amp;AwayMissionRewardsAll)+1)), INDEX(IF(ISBLANK(AwayMissionRewardsAll), "", COUNTIF(AwayMissionRewardsAll, "&lt;"&amp;AwayMissionRewardsAll)+1), SMALL(IF(SMALL(IF(COUNTIF($Q$1:Q14, AwayMissionRewardsAll)+ISBLANK(AwayMissionRewardsAll)=0, COUNTIF(AwayMissionRewardsAll, "&lt;"&amp;AwayMissionRewardsAll)+1, ""), 1)=IF(ISBLANK(AwayMissionRewardsAll), "", COUNTIF(AwayMissionRewardsAll, "&lt;"&amp;AwayMissionRewardsAll)+1), ROW(AwayMissionRewardsAll)-MIN(ROW(AwayMissionRewardsAll))+1), 1), , 1), 0), 1)</f>
        <v>Common Crystal</v>
      </c>
      <c r="T15" s="80" t="str">
        <f t="array" ref="T15">INDEX(AwayMissionTraitsAll, SMALL(IF(SMALL(IF(COUNTIF($T$1:T14, AwayMissionTraitsAll)+ISBLANK(AwayMissionTraitsAll)=0, COUNTIF(AwayMissionTraitsAll, "&lt;"&amp;AwayMissionTraitsAll)+1, ""), 1)=IF(ISBLANK(AwayMissionTraitsAll), "", COUNTIF(AwayMissionTraitsAll, "&lt;"&amp;AwayMissionTraitsAll)+1), ROW(AwayMissionTraitsAll)-MIN(ROW(AwayMissionTraitsAll))+1), 1), MATCH(MIN(IF(COUNTIF($T$1:T14, AwayMissionTraitsAll)+ISBLANK(AwayMissionTraitsAll)&gt;0, "", COUNTIF(AwayMissionTraitsAll, "&lt;"&amp;AwayMissionTraitsAll)+1)), INDEX(IF(ISBLANK(AwayMissionTraitsAll), "", COUNTIF(AwayMissionTraitsAll, "&lt;"&amp;AwayMissionTraitsAll)+1), SMALL(IF(SMALL(IF(COUNTIF($T$1:T14, AwayMissionTraitsAll)+ISBLANK(AwayMissionTraitsAll)=0, COUNTIF(AwayMissionTraitsAll, "&lt;"&amp;AwayMissionTraitsAll)+1, ""), 1)=IF(ISBLANK(AwayMissionTraitsAll), "", COUNTIF(AwayMissionTraitsAll, "&lt;"&amp;AwayMissionTraitsAll)+1), ROW(AwayMissionTraitsAll)-MIN(ROW(AwayMissionTraitsAll))+1), 1), , 1), 0), 1)</f>
        <v>Cautious</v>
      </c>
      <c r="U15" s="80">
        <f t="shared" si="0"/>
        <v>3</v>
      </c>
      <c r="V15" s="67" t="str">
        <f t="array" ref="V15">IFERROR(INDEX(AwayMissionsNames, SMALL(IF(ISNUMBER(MATCH(AwayMissionTraitsAll,'ATA Analysis'!$D$5:$D$7, 0)), MATCH(ROW(AwayMissionTraitsAll), ROW(AwayMissionTraitsAll)), ""), ROWS($A$1:A14))),"")</f>
        <v/>
      </c>
      <c r="Y15" s="80">
        <v>14</v>
      </c>
      <c r="Z15" s="80" t="str">
        <f t="array" ref="Z15">INDEX(AwayMissionTraits,SMALL(IF(AwayMissionTraitsTotals=AA15,ROW(AwayMissionTraitsTotals)-ROW('AM Lookup'!$U$1)),
COUNTIF($AA$2:AA15,AA15)))</f>
        <v>Genius</v>
      </c>
      <c r="AA15" s="80">
        <f t="array" ref="AA15">LARGE(AwayMissionTraitsTotals,ROW(Z15)-ROW($Z$1))</f>
        <v>7</v>
      </c>
      <c r="AB15" s="80">
        <v>14</v>
      </c>
      <c r="AC15" s="80" t="str">
        <f t="array" ref="AC15">INDEX(TraitOfficers,SMALL(IF(TotalTraitsAppearance=AD15,ROW(TotalTraitsAppearance)-ROW('ATA Overview'!$N$25)),
COUNTIF($AD$2:AD15,AD15)))</f>
        <v>Barot</v>
      </c>
      <c r="AD15" s="80">
        <f t="array" ref="AD15">LARGE(TotalTraitsAppearance,ROW(AD15)-ROW($AD$1))</f>
        <v>23</v>
      </c>
      <c r="AE15" s="80" t="str">
        <f t="array" ref="AE15">IF(AF15&lt;&gt;"",INDEX(TraitOfficers,SMALL(IF(TopATAScores=AF15,ROW(TopATAScores)-ROW('ATA Overview'!$N$25)),
COUNTIF($AF$2:AF15,AF15))),"")</f>
        <v/>
      </c>
      <c r="AF15" s="453" t="str">
        <f t="array" ref="AF15">IFERROR(LARGE(TopATAScores,ROW(AF15)-ROW($AF$1)),"")</f>
        <v/>
      </c>
      <c r="AG15" s="80" t="s">
        <v>2071</v>
      </c>
      <c r="AH15" s="80">
        <v>13</v>
      </c>
      <c r="AI15" s="80">
        <v>23000</v>
      </c>
      <c r="AJ15" s="80">
        <f t="shared" si="1"/>
        <v>106500</v>
      </c>
      <c r="AL15" s="80" t="str">
        <f t="array" aca="1" ref="AL15" ca="1">IFERROR(INDEX(TraitOfficers, SMALL(IF(ISNUMBER(MATCH(TraitNames,$AK$2:$AK$5, 0)), MATCH(ROW(TraitNames), ROW(TraitNames)), ""), ROWS($A$1:A14))),"")</f>
        <v/>
      </c>
      <c r="AM15" s="80" t="str">
        <f t="array" aca="1" ref="AM15" ca="1">IFERROR(INDEX(Planning1Match, MATCH(0,COUNTIF($AM$1:AM14,Planning1Match), 0))," ")</f>
        <v xml:space="preserve"> </v>
      </c>
      <c r="AO15" s="67" t="str">
        <f t="array" aca="1" ref="AO15" ca="1">IFERROR(INDEX(TraitOfficers, SMALL(IF(ISNUMBER(MATCH(TraitNames,$AN$2:$AN$5, 0)), MATCH(ROW(TraitNames), ROW(TraitNames)), ""), ROWS($A$1:A14))),"")</f>
        <v/>
      </c>
      <c r="AP15" s="80" t="str">
        <f t="array" aca="1" ref="AP15" ca="1">IFERROR(INDEX(Planning2Match, MATCH(0,COUNTIF($AP$1:AP14,Planning2Match), 0))," ")</f>
        <v xml:space="preserve"> </v>
      </c>
      <c r="AR15" s="80" t="str">
        <f t="array" aca="1" ref="AR15" ca="1">IFERROR(INDEX(TraitOfficers, SMALL(IF(ISNUMBER(MATCH(TraitNames,$AQ$2:$AQ$5, 0)), MATCH(ROW(TraitNames), ROW(TraitNames)), ""), ROWS($A$1:A14))),"")</f>
        <v/>
      </c>
      <c r="AS15" s="80" t="str">
        <f t="array" aca="1" ref="AS15" ca="1">IFERROR(INDEX(Planning3Match, MATCH(0,COUNTIF($AS$1:AS14,Planning3Match), 0))," ")</f>
        <v xml:space="preserve"> </v>
      </c>
      <c r="AU15" s="80" t="str">
        <f t="array" aca="1" ref="AU15" ca="1">IFERROR(INDEX(TraitOfficers, SMALL(IF(ISNUMBER(MATCH(TraitNames,$AT$2:$AT$5, 0)), MATCH(ROW(TraitNames), ROW(TraitNames)), ""), ROWS($A$1:A14))),"")</f>
        <v/>
      </c>
      <c r="AV15" s="80" t="str">
        <f t="array" aca="1" ref="AV15" ca="1">IFERROR(INDEX(Planning4Match, MATCH(0,COUNTIF($AV$1:AV14,Planning4Match), 0))," ")</f>
        <v xml:space="preserve"> </v>
      </c>
      <c r="AX15" s="80" t="str">
        <f t="array" aca="1" ref="AX15" ca="1">IFERROR(INDEX(TraitOfficers, SMALL(IF(ISNUMBER(MATCH(TraitNames,$AW$2:$AW$5, 0)), MATCH(ROW(TraitNames), ROW(TraitNames)), ""), ROWS($A$1:A14))),"")</f>
        <v/>
      </c>
      <c r="AY15" s="80" t="str">
        <f t="array" aca="1" ref="AY15" ca="1">IFERROR(INDEX(Planning5Match, MATCH(0,COUNTIF($AY$1:AY14,Planning5Match), 0))," ")</f>
        <v xml:space="preserve"> </v>
      </c>
      <c r="BA15" s="80" t="str">
        <f t="array" aca="1" ref="BA15" ca="1">IFERROR(INDEX(TraitOfficers, SMALL(IF(ISNUMBER(MATCH(TraitNames,$AZ$2:$AZ$5, 0)), MATCH(ROW(TraitNames), ROW(TraitNames)), ""), ROWS($A$1:A14))),"")</f>
        <v/>
      </c>
      <c r="BB15" s="80" t="str">
        <f t="array" aca="1" ref="BB15" ca="1">IFERROR(INDEX(Planning6Match, MATCH(0,COUNTIF($BB$1:BB14,Planning6Match), 0))," ")</f>
        <v xml:space="preserve"> </v>
      </c>
      <c r="BD15" s="80" t="str">
        <f t="array" aca="1" ref="BD15" ca="1">IFERROR(INDEX(TraitOfficers, SMALL(IF(ISNUMBER(MATCH(TraitNames,$BC$2:$BC$5, 0)), MATCH(ROW(TraitNames), ROW(TraitNames)), ""), ROWS($A$1:A14))),"")</f>
        <v/>
      </c>
      <c r="BE15" s="80" t="str">
        <f t="array" aca="1" ref="BE15" ca="1">IFERROR(INDEX(Planning7Match, MATCH(0,COUNTIF($BE$1:BE14,Planning7Match), 0))," ")</f>
        <v xml:space="preserve"> </v>
      </c>
      <c r="BG15" s="80" t="str">
        <f t="array" aca="1" ref="BG15" ca="1">IFERROR(INDEX(TraitOfficers, SMALL(IF(ISNUMBER(MATCH(TraitNames,$BF$2:$BF$5, 0)), MATCH(ROW(TraitNames), ROW(TraitNames)), ""), ROWS($A$1:A14))),"")</f>
        <v/>
      </c>
      <c r="BH15" s="80" t="str">
        <f t="array" aca="1" ref="BH15" ca="1">IFERROR(INDEX(Planning8Match, MATCH(0,COUNTIF($BH$1:BH14,Planning8Match), 0))," ")</f>
        <v xml:space="preserve"> </v>
      </c>
      <c r="BJ15" s="80" t="str">
        <f t="array" aca="1" ref="BJ15" ca="1">IFERROR(INDEX(TraitOfficers, SMALL(IF(ISNUMBER(MATCH(TraitNames,$BI$2:$BI$5, 0)), MATCH(ROW(TraitNames), ROW(TraitNames)), ""), ROWS($A$1:A14))),"")</f>
        <v/>
      </c>
      <c r="BK15" s="80" t="str">
        <f t="array" aca="1" ref="BK15" ca="1">IFERROR(INDEX(Planning9Match, MATCH(0,COUNTIF($BK$1:BK14,Planning9Match), 0))," ")</f>
        <v xml:space="preserve"> </v>
      </c>
      <c r="BM15" s="80" t="str">
        <f t="array" aca="1" ref="BM15" ca="1">IFERROR(INDEX(TraitOfficers, SMALL(IF(ISNUMBER(MATCH(TraitNames,$BL$2:$BL$5, 0)), MATCH(ROW(TraitNames), ROW(TraitNames)), ""), ROWS($A$1:A14))),"")</f>
        <v/>
      </c>
      <c r="BN15" s="80" t="str">
        <f t="array" aca="1" ref="BN15" ca="1">IFERROR(INDEX(Planning10Match, MATCH(0,COUNTIF($BN$1:BN14,Planning10Match), 0))," ")</f>
        <v xml:space="preserve"> </v>
      </c>
    </row>
    <row r="16" spans="1:66" x14ac:dyDescent="0.25">
      <c r="A16" s="80" t="s">
        <v>1415</v>
      </c>
      <c r="B16" s="80" t="s">
        <v>911</v>
      </c>
      <c r="C16" s="80" t="s">
        <v>110</v>
      </c>
      <c r="D16" s="80" t="s">
        <v>1416</v>
      </c>
      <c r="G16" s="80" t="s">
        <v>2119</v>
      </c>
      <c r="H16" s="80" t="s">
        <v>1409</v>
      </c>
      <c r="I16" s="80" t="s">
        <v>1414</v>
      </c>
      <c r="L16" s="80" t="s">
        <v>2120</v>
      </c>
      <c r="M16" s="81">
        <v>0.1</v>
      </c>
      <c r="N16" s="529">
        <v>7.1400000000000005E-2</v>
      </c>
      <c r="O16" s="80">
        <v>7</v>
      </c>
      <c r="P16" s="81">
        <v>0.6</v>
      </c>
      <c r="Q16" s="80" t="str">
        <f t="array" ref="Q16">INDEX(AwayMissionRewardsAll, SMALL(IF(SMALL(IF(COUNTIF($Q$1:Q15, AwayMissionRewardsAll)+ISBLANK(AwayMissionRewardsAll)=0, COUNTIF(AwayMissionRewardsAll, "&lt;"&amp;AwayMissionRewardsAll)+1, ""), 1)=IF(ISBLANK(AwayMissionRewardsAll), "", COUNTIF(AwayMissionRewardsAll, "&lt;"&amp;AwayMissionRewardsAll)+1), ROW(AwayMissionRewardsAll)-MIN(ROW(AwayMissionRewardsAll))+1), 1), MATCH(MIN(IF(COUNTIF($Q$1:Q15, AwayMissionRewardsAll)+ISBLANK(AwayMissionRewardsAll)&gt;0, "", COUNTIF(AwayMissionRewardsAll, "&lt;"&amp;AwayMissionRewardsAll)+1)), INDEX(IF(ISBLANK(AwayMissionRewardsAll), "", COUNTIF(AwayMissionRewardsAll, "&lt;"&amp;AwayMissionRewardsAll)+1), SMALL(IF(SMALL(IF(COUNTIF($Q$1:Q15, AwayMissionRewardsAll)+ISBLANK(AwayMissionRewardsAll)=0, COUNTIF(AwayMissionRewardsAll, "&lt;"&amp;AwayMissionRewardsAll)+1, ""), 1)=IF(ISBLANK(AwayMissionRewardsAll), "", COUNTIF(AwayMissionRewardsAll, "&lt;"&amp;AwayMissionRewardsAll)+1), ROW(AwayMissionRewardsAll)-MIN(ROW(AwayMissionRewardsAll))+1), 1), , 1), 0), 1)</f>
        <v>Common Gas</v>
      </c>
      <c r="T16" s="80" t="str">
        <f t="array" ref="T16">INDEX(AwayMissionTraitsAll, SMALL(IF(SMALL(IF(COUNTIF($T$1:T15, AwayMissionTraitsAll)+ISBLANK(AwayMissionTraitsAll)=0, COUNTIF(AwayMissionTraitsAll, "&lt;"&amp;AwayMissionTraitsAll)+1, ""), 1)=IF(ISBLANK(AwayMissionTraitsAll), "", COUNTIF(AwayMissionTraitsAll, "&lt;"&amp;AwayMissionTraitsAll)+1), ROW(AwayMissionTraitsAll)-MIN(ROW(AwayMissionTraitsAll))+1), 1), MATCH(MIN(IF(COUNTIF($T$1:T15, AwayMissionTraitsAll)+ISBLANK(AwayMissionTraitsAll)&gt;0, "", COUNTIF(AwayMissionTraitsAll, "&lt;"&amp;AwayMissionTraitsAll)+1)), INDEX(IF(ISBLANK(AwayMissionTraitsAll), "", COUNTIF(AwayMissionTraitsAll, "&lt;"&amp;AwayMissionTraitsAll)+1), SMALL(IF(SMALL(IF(COUNTIF($T$1:T15, AwayMissionTraitsAll)+ISBLANK(AwayMissionTraitsAll)=0, COUNTIF(AwayMissionTraitsAll, "&lt;"&amp;AwayMissionTraitsAll)+1, ""), 1)=IF(ISBLANK(AwayMissionTraitsAll), "", COUNTIF(AwayMissionTraitsAll, "&lt;"&amp;AwayMissionTraitsAll)+1), ROW(AwayMissionTraitsAll)-MIN(ROW(AwayMissionTraitsAll))+1), 1), , 1), 0), 1)</f>
        <v>Chancellor</v>
      </c>
      <c r="U16" s="80">
        <f t="shared" si="0"/>
        <v>4</v>
      </c>
      <c r="V16" s="67" t="str">
        <f t="array" ref="V16">IFERROR(INDEX(AwayMissionsNames, SMALL(IF(ISNUMBER(MATCH(AwayMissionTraitsAll,'ATA Analysis'!$D$5:$D$7, 0)), MATCH(ROW(AwayMissionTraitsAll), ROW(AwayMissionTraitsAll)), ""), ROWS($A$1:A15))),"")</f>
        <v/>
      </c>
      <c r="Y16" s="80">
        <v>15</v>
      </c>
      <c r="Z16" s="80" t="str">
        <f t="array" ref="Z16">INDEX(AwayMissionTraits,SMALL(IF(AwayMissionTraitsTotals=AA16,ROW(AwayMissionTraitsTotals)-ROW('AM Lookup'!$U$1)),
COUNTIF($AA$2:AA16,AA16)))</f>
        <v>Leader</v>
      </c>
      <c r="AA16" s="80">
        <f t="array" ref="AA16">LARGE(AwayMissionTraitsTotals,ROW(Z16)-ROW($Z$1))</f>
        <v>7</v>
      </c>
      <c r="AB16" s="80">
        <v>15</v>
      </c>
      <c r="AC16" s="80" t="str">
        <f t="array" ref="AC16">INDEX(TraitOfficers,SMALL(IF(TotalTraitsAppearance=AD16,ROW(TotalTraitsAppearance)-ROW('ATA Overview'!$N$25)),
COUNTIF($AD$2:AD16,AD16)))</f>
        <v>Keenser</v>
      </c>
      <c r="AD16" s="80">
        <f t="array" ref="AD16">LARGE(TotalTraitsAppearance,ROW(AD16)-ROW($AD$1))</f>
        <v>23</v>
      </c>
      <c r="AE16" s="80" t="str">
        <f t="array" ref="AE16">IF(AF16&lt;&gt;"",INDEX(TraitOfficers,SMALL(IF(TopATAScores=AF16,ROW(TopATAScores)-ROW('ATA Overview'!$N$25)),
COUNTIF($AF$2:AF16,AF16))),"")</f>
        <v/>
      </c>
      <c r="AF16" s="453" t="str">
        <f t="array" ref="AF16">IFERROR(LARGE(TopATAScores,ROW(AF16)-ROW($AF$1)),"")</f>
        <v/>
      </c>
      <c r="AG16" s="80" t="s">
        <v>2072</v>
      </c>
      <c r="AH16" s="80">
        <v>14</v>
      </c>
      <c r="AI16" s="80">
        <v>42000</v>
      </c>
      <c r="AJ16" s="80">
        <f t="shared" si="1"/>
        <v>148500</v>
      </c>
      <c r="AL16" s="80" t="str">
        <f t="array" aca="1" ref="AL16" ca="1">IFERROR(INDEX(TraitOfficers, SMALL(IF(ISNUMBER(MATCH(TraitNames,$AK$2:$AK$5, 0)), MATCH(ROW(TraitNames), ROW(TraitNames)), ""), ROWS($A$1:A15))),"")</f>
        <v/>
      </c>
      <c r="AM16" s="80" t="str">
        <f t="array" aca="1" ref="AM16" ca="1">IFERROR(INDEX(Planning1Match, MATCH(0,COUNTIF($AM$1:AM15,Planning1Match), 0))," ")</f>
        <v xml:space="preserve"> </v>
      </c>
      <c r="AO16" s="67" t="str">
        <f t="array" aca="1" ref="AO16" ca="1">IFERROR(INDEX(TraitOfficers, SMALL(IF(ISNUMBER(MATCH(TraitNames,$AN$2:$AN$5, 0)), MATCH(ROW(TraitNames), ROW(TraitNames)), ""), ROWS($A$1:A15))),"")</f>
        <v/>
      </c>
      <c r="AP16" s="80" t="str">
        <f t="array" aca="1" ref="AP16" ca="1">IFERROR(INDEX(Planning2Match, MATCH(0,COUNTIF($AP$1:AP15,Planning2Match), 0))," ")</f>
        <v xml:space="preserve"> </v>
      </c>
      <c r="AR16" s="80" t="str">
        <f t="array" aca="1" ref="AR16" ca="1">IFERROR(INDEX(TraitOfficers, SMALL(IF(ISNUMBER(MATCH(TraitNames,$AQ$2:$AQ$5, 0)), MATCH(ROW(TraitNames), ROW(TraitNames)), ""), ROWS($A$1:A15))),"")</f>
        <v/>
      </c>
      <c r="AS16" s="80" t="str">
        <f t="array" aca="1" ref="AS16" ca="1">IFERROR(INDEX(Planning3Match, MATCH(0,COUNTIF($AS$1:AS15,Planning3Match), 0))," ")</f>
        <v xml:space="preserve"> </v>
      </c>
      <c r="AU16" s="80" t="str">
        <f t="array" aca="1" ref="AU16" ca="1">IFERROR(INDEX(TraitOfficers, SMALL(IF(ISNUMBER(MATCH(TraitNames,$AT$2:$AT$5, 0)), MATCH(ROW(TraitNames), ROW(TraitNames)), ""), ROWS($A$1:A15))),"")</f>
        <v/>
      </c>
      <c r="AV16" s="80" t="str">
        <f t="array" aca="1" ref="AV16" ca="1">IFERROR(INDEX(Planning4Match, MATCH(0,COUNTIF($AV$1:AV15,Planning4Match), 0))," ")</f>
        <v xml:space="preserve"> </v>
      </c>
      <c r="AX16" s="80" t="str">
        <f t="array" aca="1" ref="AX16" ca="1">IFERROR(INDEX(TraitOfficers, SMALL(IF(ISNUMBER(MATCH(TraitNames,$AW$2:$AW$5, 0)), MATCH(ROW(TraitNames), ROW(TraitNames)), ""), ROWS($A$1:A15))),"")</f>
        <v/>
      </c>
      <c r="AY16" s="80" t="str">
        <f t="array" aca="1" ref="AY16" ca="1">IFERROR(INDEX(Planning5Match, MATCH(0,COUNTIF($AY$1:AY15,Planning5Match), 0))," ")</f>
        <v xml:space="preserve"> </v>
      </c>
      <c r="BA16" s="80" t="str">
        <f t="array" aca="1" ref="BA16" ca="1">IFERROR(INDEX(TraitOfficers, SMALL(IF(ISNUMBER(MATCH(TraitNames,$AZ$2:$AZ$5, 0)), MATCH(ROW(TraitNames), ROW(TraitNames)), ""), ROWS($A$1:A15))),"")</f>
        <v/>
      </c>
      <c r="BB16" s="80" t="str">
        <f t="array" aca="1" ref="BB16" ca="1">IFERROR(INDEX(Planning6Match, MATCH(0,COUNTIF($BB$1:BB15,Planning6Match), 0))," ")</f>
        <v xml:space="preserve"> </v>
      </c>
      <c r="BD16" s="80" t="str">
        <f t="array" aca="1" ref="BD16" ca="1">IFERROR(INDEX(TraitOfficers, SMALL(IF(ISNUMBER(MATCH(TraitNames,$BC$2:$BC$5, 0)), MATCH(ROW(TraitNames), ROW(TraitNames)), ""), ROWS($A$1:A15))),"")</f>
        <v/>
      </c>
      <c r="BE16" s="80" t="str">
        <f t="array" aca="1" ref="BE16" ca="1">IFERROR(INDEX(Planning7Match, MATCH(0,COUNTIF($BE$1:BE15,Planning7Match), 0))," ")</f>
        <v xml:space="preserve"> </v>
      </c>
      <c r="BG16" s="80" t="str">
        <f t="array" aca="1" ref="BG16" ca="1">IFERROR(INDEX(TraitOfficers, SMALL(IF(ISNUMBER(MATCH(TraitNames,$BF$2:$BF$5, 0)), MATCH(ROW(TraitNames), ROW(TraitNames)), ""), ROWS($A$1:A15))),"")</f>
        <v/>
      </c>
      <c r="BH16" s="80" t="str">
        <f t="array" aca="1" ref="BH16" ca="1">IFERROR(INDEX(Planning8Match, MATCH(0,COUNTIF($BH$1:BH15,Planning8Match), 0))," ")</f>
        <v xml:space="preserve"> </v>
      </c>
      <c r="BJ16" s="80" t="str">
        <f t="array" aca="1" ref="BJ16" ca="1">IFERROR(INDEX(TraitOfficers, SMALL(IF(ISNUMBER(MATCH(TraitNames,$BI$2:$BI$5, 0)), MATCH(ROW(TraitNames), ROW(TraitNames)), ""), ROWS($A$1:A15))),"")</f>
        <v/>
      </c>
      <c r="BK16" s="80" t="str">
        <f t="array" aca="1" ref="BK16" ca="1">IFERROR(INDEX(Planning9Match, MATCH(0,COUNTIF($BK$1:BK15,Planning9Match), 0))," ")</f>
        <v xml:space="preserve"> </v>
      </c>
      <c r="BM16" s="80" t="str">
        <f t="array" aca="1" ref="BM16" ca="1">IFERROR(INDEX(TraitOfficers, SMALL(IF(ISNUMBER(MATCH(TraitNames,$BL$2:$BL$5, 0)), MATCH(ROW(TraitNames), ROW(TraitNames)), ""), ROWS($A$1:A15))),"")</f>
        <v/>
      </c>
      <c r="BN16" s="80" t="str">
        <f t="array" aca="1" ref="BN16" ca="1">IFERROR(INDEX(Planning10Match, MATCH(0,COUNTIF($BN$1:BN15,Planning10Match), 0))," ")</f>
        <v xml:space="preserve"> </v>
      </c>
    </row>
    <row r="17" spans="1:66" x14ac:dyDescent="0.25">
      <c r="A17" s="80" t="s">
        <v>1417</v>
      </c>
      <c r="B17" s="80" t="s">
        <v>909</v>
      </c>
      <c r="C17" s="80" t="s">
        <v>112</v>
      </c>
      <c r="D17" s="80" t="s">
        <v>1418</v>
      </c>
      <c r="E17" s="80" t="s">
        <v>1398</v>
      </c>
      <c r="G17" s="80" t="s">
        <v>1406</v>
      </c>
      <c r="H17" s="80" t="s">
        <v>1414</v>
      </c>
      <c r="L17" s="80" t="s">
        <v>2137</v>
      </c>
      <c r="M17" s="81">
        <v>0.2</v>
      </c>
      <c r="N17" s="529">
        <v>0.1333</v>
      </c>
      <c r="O17" s="80">
        <v>3</v>
      </c>
      <c r="P17" s="81">
        <v>0.6</v>
      </c>
      <c r="Q17" s="80" t="str">
        <f t="array" ref="Q17">INDEX(AwayMissionRewardsAll, SMALL(IF(SMALL(IF(COUNTIF($Q$1:Q16, AwayMissionRewardsAll)+ISBLANK(AwayMissionRewardsAll)=0, COUNTIF(AwayMissionRewardsAll, "&lt;"&amp;AwayMissionRewardsAll)+1, ""), 1)=IF(ISBLANK(AwayMissionRewardsAll), "", COUNTIF(AwayMissionRewardsAll, "&lt;"&amp;AwayMissionRewardsAll)+1), ROW(AwayMissionRewardsAll)-MIN(ROW(AwayMissionRewardsAll))+1), 1), MATCH(MIN(IF(COUNTIF($Q$1:Q16, AwayMissionRewardsAll)+ISBLANK(AwayMissionRewardsAll)&gt;0, "", COUNTIF(AwayMissionRewardsAll, "&lt;"&amp;AwayMissionRewardsAll)+1)), INDEX(IF(ISBLANK(AwayMissionRewardsAll), "", COUNTIF(AwayMissionRewardsAll, "&lt;"&amp;AwayMissionRewardsAll)+1), SMALL(IF(SMALL(IF(COUNTIF($Q$1:Q16, AwayMissionRewardsAll)+ISBLANK(AwayMissionRewardsAll)=0, COUNTIF(AwayMissionRewardsAll, "&lt;"&amp;AwayMissionRewardsAll)+1, ""), 1)=IF(ISBLANK(AwayMissionRewardsAll), "", COUNTIF(AwayMissionRewardsAll, "&lt;"&amp;AwayMissionRewardsAll)+1), ROW(AwayMissionRewardsAll)-MIN(ROW(AwayMissionRewardsAll))+1), 1), , 1), 0), 1)</f>
        <v>Common Officer Shards</v>
      </c>
      <c r="T17" s="80" t="str">
        <f t="array" ref="T17">INDEX(AwayMissionTraitsAll, SMALL(IF(SMALL(IF(COUNTIF($T$1:T16, AwayMissionTraitsAll)+ISBLANK(AwayMissionTraitsAll)=0, COUNTIF(AwayMissionTraitsAll, "&lt;"&amp;AwayMissionTraitsAll)+1, ""), 1)=IF(ISBLANK(AwayMissionTraitsAll), "", COUNTIF(AwayMissionTraitsAll, "&lt;"&amp;AwayMissionTraitsAll)+1), ROW(AwayMissionTraitsAll)-MIN(ROW(AwayMissionTraitsAll))+1), 1), MATCH(MIN(IF(COUNTIF($T$1:T16, AwayMissionTraitsAll)+ISBLANK(AwayMissionTraitsAll)&gt;0, "", COUNTIF(AwayMissionTraitsAll, "&lt;"&amp;AwayMissionTraitsAll)+1)), INDEX(IF(ISBLANK(AwayMissionTraitsAll), "", COUNTIF(AwayMissionTraitsAll, "&lt;"&amp;AwayMissionTraitsAll)+1), SMALL(IF(SMALL(IF(COUNTIF($T$1:T16, AwayMissionTraitsAll)+ISBLANK(AwayMissionTraitsAll)=0, COUNTIF(AwayMissionTraitsAll, "&lt;"&amp;AwayMissionTraitsAll)+1, ""), 1)=IF(ISBLANK(AwayMissionTraitsAll), "", COUNTIF(AwayMissionTraitsAll, "&lt;"&amp;AwayMissionTraitsAll)+1), ROW(AwayMissionTraitsAll)-MIN(ROW(AwayMissionTraitsAll))+1), 1), , 1), 0), 1)</f>
        <v>Charismatic</v>
      </c>
      <c r="U17" s="80">
        <f t="shared" si="0"/>
        <v>10</v>
      </c>
      <c r="V17" s="67" t="str">
        <f t="array" ref="V17">IFERROR(INDEX(AwayMissionsNames, SMALL(IF(ISNUMBER(MATCH(AwayMissionTraitsAll,'ATA Analysis'!$D$5:$D$7, 0)), MATCH(ROW(AwayMissionTraitsAll), ROW(AwayMissionTraitsAll)), ""), ROWS($A$1:A16))),"")</f>
        <v/>
      </c>
      <c r="Y17" s="80">
        <v>16</v>
      </c>
      <c r="Z17" s="80" t="str">
        <f t="array" ref="Z17">INDEX(AwayMissionTraits,SMALL(IF(AwayMissionTraitsTotals=AA17,ROW(AwayMissionTraitsTotals)-ROW('AM Lookup'!$U$1)),
COUNTIF($AA$2:AA17,AA17)))</f>
        <v>Surveyor</v>
      </c>
      <c r="AA17" s="80">
        <f t="array" ref="AA17">LARGE(AwayMissionTraitsTotals,ROW(Z17)-ROW($Z$1))</f>
        <v>7</v>
      </c>
      <c r="AB17" s="80">
        <v>16</v>
      </c>
      <c r="AC17" s="80" t="str">
        <f t="array" ref="AC17">INDEX(TraitOfficers,SMALL(IF(TotalTraitsAppearance=AD17,ROW(TotalTraitsAppearance)-ROW('ATA Overview'!$N$25)),
COUNTIF($AD$2:AD17,AD17)))</f>
        <v>Marla</v>
      </c>
      <c r="AD17" s="80">
        <f t="array" ref="AD17">LARGE(TotalTraitsAppearance,ROW(AD17)-ROW($AD$1))</f>
        <v>23</v>
      </c>
      <c r="AE17" s="80" t="str">
        <f t="array" ref="AE17">IF(AF17&lt;&gt;"",INDEX(TraitOfficers,SMALL(IF(TopATAScores=AF17,ROW(TopATAScores)-ROW('ATA Overview'!$N$25)),
COUNTIF($AF$2:AF17,AF17))),"")</f>
        <v/>
      </c>
      <c r="AF17" s="453" t="str">
        <f t="array" ref="AF17">IFERROR(LARGE(TopATAScores,ROW(AF17)-ROW($AF$1)),"")</f>
        <v/>
      </c>
      <c r="AG17" s="80" t="s">
        <v>2073</v>
      </c>
      <c r="AH17" s="80">
        <v>15</v>
      </c>
      <c r="AI17" s="80">
        <v>68000</v>
      </c>
      <c r="AJ17" s="80">
        <f t="shared" si="1"/>
        <v>216500</v>
      </c>
      <c r="AL17" s="80" t="str">
        <f t="array" aca="1" ref="AL17" ca="1">IFERROR(INDEX(TraitOfficers, SMALL(IF(ISNUMBER(MATCH(TraitNames,$AK$2:$AK$5, 0)), MATCH(ROW(TraitNames), ROW(TraitNames)), ""), ROWS($A$1:A16))),"")</f>
        <v/>
      </c>
      <c r="AM17" s="80" t="str">
        <f t="array" aca="1" ref="AM17" ca="1">IFERROR(INDEX(Planning1Match, MATCH(0,COUNTIF($AM$1:AM16,Planning1Match), 0))," ")</f>
        <v xml:space="preserve"> </v>
      </c>
      <c r="AO17" s="67" t="str">
        <f t="array" aca="1" ref="AO17" ca="1">IFERROR(INDEX(TraitOfficers, SMALL(IF(ISNUMBER(MATCH(TraitNames,$AN$2:$AN$5, 0)), MATCH(ROW(TraitNames), ROW(TraitNames)), ""), ROWS($A$1:A16))),"")</f>
        <v/>
      </c>
      <c r="AP17" s="80" t="str">
        <f t="array" aca="1" ref="AP17" ca="1">IFERROR(INDEX(Planning2Match, MATCH(0,COUNTIF($AP$1:AP16,Planning2Match), 0))," ")</f>
        <v xml:space="preserve"> </v>
      </c>
      <c r="AR17" s="80" t="str">
        <f t="array" aca="1" ref="AR17" ca="1">IFERROR(INDEX(TraitOfficers, SMALL(IF(ISNUMBER(MATCH(TraitNames,$AQ$2:$AQ$5, 0)), MATCH(ROW(TraitNames), ROW(TraitNames)), ""), ROWS($A$1:A16))),"")</f>
        <v/>
      </c>
      <c r="AS17" s="80" t="str">
        <f t="array" aca="1" ref="AS17" ca="1">IFERROR(INDEX(Planning3Match, MATCH(0,COUNTIF($AS$1:AS16,Planning3Match), 0))," ")</f>
        <v xml:space="preserve"> </v>
      </c>
      <c r="AU17" s="80" t="str">
        <f t="array" aca="1" ref="AU17" ca="1">IFERROR(INDEX(TraitOfficers, SMALL(IF(ISNUMBER(MATCH(TraitNames,$AT$2:$AT$5, 0)), MATCH(ROW(TraitNames), ROW(TraitNames)), ""), ROWS($A$1:A16))),"")</f>
        <v/>
      </c>
      <c r="AV17" s="80" t="str">
        <f t="array" aca="1" ref="AV17" ca="1">IFERROR(INDEX(Planning4Match, MATCH(0,COUNTIF($AV$1:AV16,Planning4Match), 0))," ")</f>
        <v xml:space="preserve"> </v>
      </c>
      <c r="AX17" s="80" t="str">
        <f t="array" aca="1" ref="AX17" ca="1">IFERROR(INDEX(TraitOfficers, SMALL(IF(ISNUMBER(MATCH(TraitNames,$AW$2:$AW$5, 0)), MATCH(ROW(TraitNames), ROW(TraitNames)), ""), ROWS($A$1:A16))),"")</f>
        <v/>
      </c>
      <c r="AY17" s="80" t="str">
        <f t="array" aca="1" ref="AY17" ca="1">IFERROR(INDEX(Planning5Match, MATCH(0,COUNTIF($AY$1:AY16,Planning5Match), 0))," ")</f>
        <v xml:space="preserve"> </v>
      </c>
      <c r="BA17" s="80" t="str">
        <f t="array" aca="1" ref="BA17" ca="1">IFERROR(INDEX(TraitOfficers, SMALL(IF(ISNUMBER(MATCH(TraitNames,$AZ$2:$AZ$5, 0)), MATCH(ROW(TraitNames), ROW(TraitNames)), ""), ROWS($A$1:A16))),"")</f>
        <v/>
      </c>
      <c r="BB17" s="80" t="str">
        <f t="array" aca="1" ref="BB17" ca="1">IFERROR(INDEX(Planning6Match, MATCH(0,COUNTIF($BB$1:BB16,Planning6Match), 0))," ")</f>
        <v xml:space="preserve"> </v>
      </c>
      <c r="BD17" s="80" t="str">
        <f t="array" aca="1" ref="BD17" ca="1">IFERROR(INDEX(TraitOfficers, SMALL(IF(ISNUMBER(MATCH(TraitNames,$BC$2:$BC$5, 0)), MATCH(ROW(TraitNames), ROW(TraitNames)), ""), ROWS($A$1:A16))),"")</f>
        <v/>
      </c>
      <c r="BE17" s="80" t="str">
        <f t="array" aca="1" ref="BE17" ca="1">IFERROR(INDEX(Planning7Match, MATCH(0,COUNTIF($BE$1:BE16,Planning7Match), 0))," ")</f>
        <v xml:space="preserve"> </v>
      </c>
      <c r="BG17" s="80" t="str">
        <f t="array" aca="1" ref="BG17" ca="1">IFERROR(INDEX(TraitOfficers, SMALL(IF(ISNUMBER(MATCH(TraitNames,$BF$2:$BF$5, 0)), MATCH(ROW(TraitNames), ROW(TraitNames)), ""), ROWS($A$1:A16))),"")</f>
        <v/>
      </c>
      <c r="BH17" s="80" t="str">
        <f t="array" aca="1" ref="BH17" ca="1">IFERROR(INDEX(Planning8Match, MATCH(0,COUNTIF($BH$1:BH16,Planning8Match), 0))," ")</f>
        <v xml:space="preserve"> </v>
      </c>
      <c r="BJ17" s="80" t="str">
        <f t="array" aca="1" ref="BJ17" ca="1">IFERROR(INDEX(TraitOfficers, SMALL(IF(ISNUMBER(MATCH(TraitNames,$BI$2:$BI$5, 0)), MATCH(ROW(TraitNames), ROW(TraitNames)), ""), ROWS($A$1:A16))),"")</f>
        <v/>
      </c>
      <c r="BK17" s="80" t="str">
        <f t="array" aca="1" ref="BK17" ca="1">IFERROR(INDEX(Planning9Match, MATCH(0,COUNTIF($BK$1:BK16,Planning9Match), 0))," ")</f>
        <v xml:space="preserve"> </v>
      </c>
      <c r="BM17" s="80" t="str">
        <f t="array" aca="1" ref="BM17" ca="1">IFERROR(INDEX(TraitOfficers, SMALL(IF(ISNUMBER(MATCH(TraitNames,$BL$2:$BL$5, 0)), MATCH(ROW(TraitNames), ROW(TraitNames)), ""), ROWS($A$1:A16))),"")</f>
        <v/>
      </c>
      <c r="BN17" s="80" t="str">
        <f t="array" aca="1" ref="BN17" ca="1">IFERROR(INDEX(Planning10Match, MATCH(0,COUNTIF($BN$1:BN16,Planning10Match), 0))," ")</f>
        <v xml:space="preserve"> </v>
      </c>
    </row>
    <row r="18" spans="1:66" x14ac:dyDescent="0.25">
      <c r="A18" s="80" t="s">
        <v>1507</v>
      </c>
      <c r="B18" s="80" t="s">
        <v>911</v>
      </c>
      <c r="C18" s="80" t="s">
        <v>110</v>
      </c>
      <c r="D18" s="80" t="s">
        <v>1508</v>
      </c>
      <c r="E18" s="80" t="s">
        <v>1398</v>
      </c>
      <c r="G18" s="80" t="s">
        <v>1508</v>
      </c>
      <c r="H18" s="80" t="s">
        <v>1412</v>
      </c>
      <c r="I18" s="80" t="s">
        <v>1463</v>
      </c>
      <c r="J18" s="80" t="s">
        <v>1509</v>
      </c>
      <c r="K18" s="80" t="s">
        <v>1479</v>
      </c>
      <c r="L18" s="80" t="s">
        <v>2117</v>
      </c>
      <c r="M18" s="81">
        <v>0.1</v>
      </c>
      <c r="N18" s="529">
        <v>3.85E-2</v>
      </c>
      <c r="O18" s="80">
        <v>13</v>
      </c>
      <c r="P18" s="81">
        <v>0.6</v>
      </c>
      <c r="Q18" s="80" t="str">
        <f t="array" ref="Q18">INDEX(AwayMissionRewardsAll, SMALL(IF(SMALL(IF(COUNTIF($Q$1:Q17, AwayMissionRewardsAll)+ISBLANK(AwayMissionRewardsAll)=0, COUNTIF(AwayMissionRewardsAll, "&lt;"&amp;AwayMissionRewardsAll)+1, ""), 1)=IF(ISBLANK(AwayMissionRewardsAll), "", COUNTIF(AwayMissionRewardsAll, "&lt;"&amp;AwayMissionRewardsAll)+1), ROW(AwayMissionRewardsAll)-MIN(ROW(AwayMissionRewardsAll))+1), 1), MATCH(MIN(IF(COUNTIF($Q$1:Q17, AwayMissionRewardsAll)+ISBLANK(AwayMissionRewardsAll)&gt;0, "", COUNTIF(AwayMissionRewardsAll, "&lt;"&amp;AwayMissionRewardsAll)+1)), INDEX(IF(ISBLANK(AwayMissionRewardsAll), "", COUNTIF(AwayMissionRewardsAll, "&lt;"&amp;AwayMissionRewardsAll)+1), SMALL(IF(SMALL(IF(COUNTIF($Q$1:Q17, AwayMissionRewardsAll)+ISBLANK(AwayMissionRewardsAll)=0, COUNTIF(AwayMissionRewardsAll, "&lt;"&amp;AwayMissionRewardsAll)+1, ""), 1)=IF(ISBLANK(AwayMissionRewardsAll), "", COUNTIF(AwayMissionRewardsAll, "&lt;"&amp;AwayMissionRewardsAll)+1), ROW(AwayMissionRewardsAll)-MIN(ROW(AwayMissionRewardsAll))+1), 1), , 1), 0), 1)</f>
        <v>Common Ore</v>
      </c>
      <c r="T18" s="80" t="str">
        <f t="array" ref="T18">INDEX(AwayMissionTraitsAll, SMALL(IF(SMALL(IF(COUNTIF($T$1:T17, AwayMissionTraitsAll)+ISBLANK(AwayMissionTraitsAll)=0, COUNTIF(AwayMissionTraitsAll, "&lt;"&amp;AwayMissionTraitsAll)+1, ""), 1)=IF(ISBLANK(AwayMissionTraitsAll), "", COUNTIF(AwayMissionTraitsAll, "&lt;"&amp;AwayMissionTraitsAll)+1), ROW(AwayMissionTraitsAll)-MIN(ROW(AwayMissionTraitsAll))+1), 1), MATCH(MIN(IF(COUNTIF($T$1:T17, AwayMissionTraitsAll)+ISBLANK(AwayMissionTraitsAll)&gt;0, "", COUNTIF(AwayMissionTraitsAll, "&lt;"&amp;AwayMissionTraitsAll)+1)), INDEX(IF(ISBLANK(AwayMissionTraitsAll), "", COUNTIF(AwayMissionTraitsAll, "&lt;"&amp;AwayMissionTraitsAll)+1), SMALL(IF(SMALL(IF(COUNTIF($T$1:T17, AwayMissionTraitsAll)+ISBLANK(AwayMissionTraitsAll)=0, COUNTIF(AwayMissionTraitsAll, "&lt;"&amp;AwayMissionTraitsAll)+1, ""), 1)=IF(ISBLANK(AwayMissionTraitsAll), "", COUNTIF(AwayMissionTraitsAll, "&lt;"&amp;AwayMissionTraitsAll)+1), ROW(AwayMissionTraitsAll)-MIN(ROW(AwayMissionTraitsAll))+1), 1), , 1), 0), 1)</f>
        <v>Charming</v>
      </c>
      <c r="U18" s="80">
        <f t="shared" si="0"/>
        <v>3</v>
      </c>
      <c r="V18" s="67" t="str">
        <f t="array" ref="V18">IFERROR(INDEX(AwayMissionsNames, SMALL(IF(ISNUMBER(MATCH(AwayMissionTraitsAll,'ATA Analysis'!$D$5:$D$7, 0)), MATCH(ROW(AwayMissionTraitsAll), ROW(AwayMissionTraitsAll)), ""), ROWS($A$1:A17))),"")</f>
        <v/>
      </c>
      <c r="Y18" s="80">
        <v>17</v>
      </c>
      <c r="Z18" s="80" t="str">
        <f t="array" ref="Z18">INDEX(AwayMissionTraits,SMALL(IF(AwayMissionTraitsTotals=AA18,ROW(AwayMissionTraitsTotals)-ROW('AM Lookup'!$U$1)),
COUNTIF($AA$2:AA18,AA18)))</f>
        <v>Assimilated</v>
      </c>
      <c r="AA18" s="80">
        <f t="array" ref="AA18">LARGE(AwayMissionTraitsTotals,ROW(Z18)-ROW($Z$1))</f>
        <v>6</v>
      </c>
      <c r="AB18" s="80">
        <v>17</v>
      </c>
      <c r="AC18" s="80" t="str">
        <f t="array" ref="AC18">INDEX(TraitOfficers,SMALL(IF(TotalTraitsAppearance=AD18,ROW(TotalTraitsAppearance)-ROW('ATA Overview'!$N$25)),
COUNTIF($AD$2:AD18,AD18)))</f>
        <v>Spock</v>
      </c>
      <c r="AD18" s="80">
        <f t="array" ref="AD18">LARGE(TotalTraitsAppearance,ROW(AD18)-ROW($AD$1))</f>
        <v>23</v>
      </c>
      <c r="AG18" s="80" t="s">
        <v>2055</v>
      </c>
      <c r="AH18" s="80">
        <v>16</v>
      </c>
      <c r="AI18" s="80">
        <v>107000</v>
      </c>
      <c r="AJ18" s="80">
        <f t="shared" si="1"/>
        <v>323500</v>
      </c>
      <c r="AL18" s="80" t="str">
        <f t="array" aca="1" ref="AL18" ca="1">IFERROR(INDEX(TraitOfficers, SMALL(IF(ISNUMBER(MATCH(TraitNames,$AK$2:$AK$5, 0)), MATCH(ROW(TraitNames), ROW(TraitNames)), ""), ROWS($A$1:A17))),"")</f>
        <v/>
      </c>
      <c r="AM18" s="80" t="str">
        <f t="array" aca="1" ref="AM18" ca="1">IFERROR(INDEX(Planning1Match, MATCH(0,COUNTIF($AM$1:AM17,Planning1Match), 0))," ")</f>
        <v xml:space="preserve"> </v>
      </c>
      <c r="AO18" s="67" t="str">
        <f t="array" aca="1" ref="AO18" ca="1">IFERROR(INDEX(TraitOfficers, SMALL(IF(ISNUMBER(MATCH(TraitNames,$AN$2:$AN$5, 0)), MATCH(ROW(TraitNames), ROW(TraitNames)), ""), ROWS($A$1:A17))),"")</f>
        <v/>
      </c>
      <c r="AP18" s="80" t="str">
        <f t="array" aca="1" ref="AP18" ca="1">IFERROR(INDEX(Planning2Match, MATCH(0,COUNTIF($AP$1:AP17,Planning2Match), 0))," ")</f>
        <v xml:space="preserve"> </v>
      </c>
      <c r="AR18" s="80" t="str">
        <f t="array" aca="1" ref="AR18" ca="1">IFERROR(INDEX(TraitOfficers, SMALL(IF(ISNUMBER(MATCH(TraitNames,$AQ$2:$AQ$5, 0)), MATCH(ROW(TraitNames), ROW(TraitNames)), ""), ROWS($A$1:A17))),"")</f>
        <v/>
      </c>
      <c r="AS18" s="80" t="str">
        <f t="array" aca="1" ref="AS18" ca="1">IFERROR(INDEX(Planning3Match, MATCH(0,COUNTIF($AS$1:AS17,Planning3Match), 0))," ")</f>
        <v xml:space="preserve"> </v>
      </c>
      <c r="AU18" s="80" t="str">
        <f t="array" aca="1" ref="AU18" ca="1">IFERROR(INDEX(TraitOfficers, SMALL(IF(ISNUMBER(MATCH(TraitNames,$AT$2:$AT$5, 0)), MATCH(ROW(TraitNames), ROW(TraitNames)), ""), ROWS($A$1:A17))),"")</f>
        <v/>
      </c>
      <c r="AV18" s="80" t="str">
        <f t="array" aca="1" ref="AV18" ca="1">IFERROR(INDEX(Planning4Match, MATCH(0,COUNTIF($AV$1:AV17,Planning4Match), 0))," ")</f>
        <v xml:space="preserve"> </v>
      </c>
      <c r="AX18" s="80" t="str">
        <f t="array" aca="1" ref="AX18" ca="1">IFERROR(INDEX(TraitOfficers, SMALL(IF(ISNUMBER(MATCH(TraitNames,$AW$2:$AW$5, 0)), MATCH(ROW(TraitNames), ROW(TraitNames)), ""), ROWS($A$1:A17))),"")</f>
        <v/>
      </c>
      <c r="AY18" s="80" t="str">
        <f t="array" aca="1" ref="AY18" ca="1">IFERROR(INDEX(Planning5Match, MATCH(0,COUNTIF($AY$1:AY17,Planning5Match), 0))," ")</f>
        <v xml:space="preserve"> </v>
      </c>
      <c r="BA18" s="80" t="str">
        <f t="array" aca="1" ref="BA18" ca="1">IFERROR(INDEX(TraitOfficers, SMALL(IF(ISNUMBER(MATCH(TraitNames,$AZ$2:$AZ$5, 0)), MATCH(ROW(TraitNames), ROW(TraitNames)), ""), ROWS($A$1:A17))),"")</f>
        <v/>
      </c>
      <c r="BB18" s="80" t="str">
        <f t="array" aca="1" ref="BB18" ca="1">IFERROR(INDEX(Planning6Match, MATCH(0,COUNTIF($BB$1:BB17,Planning6Match), 0))," ")</f>
        <v xml:space="preserve"> </v>
      </c>
      <c r="BD18" s="80" t="str">
        <f t="array" aca="1" ref="BD18" ca="1">IFERROR(INDEX(TraitOfficers, SMALL(IF(ISNUMBER(MATCH(TraitNames,$BC$2:$BC$5, 0)), MATCH(ROW(TraitNames), ROW(TraitNames)), ""), ROWS($A$1:A17))),"")</f>
        <v/>
      </c>
      <c r="BE18" s="80" t="str">
        <f t="array" aca="1" ref="BE18" ca="1">IFERROR(INDEX(Planning7Match, MATCH(0,COUNTIF($BE$1:BE17,Planning7Match), 0))," ")</f>
        <v xml:space="preserve"> </v>
      </c>
      <c r="BG18" s="80" t="str">
        <f t="array" aca="1" ref="BG18" ca="1">IFERROR(INDEX(TraitOfficers, SMALL(IF(ISNUMBER(MATCH(TraitNames,$BF$2:$BF$5, 0)), MATCH(ROW(TraitNames), ROW(TraitNames)), ""), ROWS($A$1:A17))),"")</f>
        <v/>
      </c>
      <c r="BH18" s="80" t="str">
        <f t="array" aca="1" ref="BH18" ca="1">IFERROR(INDEX(Planning8Match, MATCH(0,COUNTIF($BH$1:BH17,Planning8Match), 0))," ")</f>
        <v xml:space="preserve"> </v>
      </c>
      <c r="BJ18" s="80" t="str">
        <f t="array" aca="1" ref="BJ18" ca="1">IFERROR(INDEX(TraitOfficers, SMALL(IF(ISNUMBER(MATCH(TraitNames,$BI$2:$BI$5, 0)), MATCH(ROW(TraitNames), ROW(TraitNames)), ""), ROWS($A$1:A17))),"")</f>
        <v/>
      </c>
      <c r="BK18" s="80" t="str">
        <f t="array" aca="1" ref="BK18" ca="1">IFERROR(INDEX(Planning9Match, MATCH(0,COUNTIF($BK$1:BK17,Planning9Match), 0))," ")</f>
        <v xml:space="preserve"> </v>
      </c>
      <c r="BM18" s="80" t="str">
        <f t="array" aca="1" ref="BM18" ca="1">IFERROR(INDEX(TraitOfficers, SMALL(IF(ISNUMBER(MATCH(TraitNames,$BL$2:$BL$5, 0)), MATCH(ROW(TraitNames), ROW(TraitNames)), ""), ROWS($A$1:A17))),"")</f>
        <v/>
      </c>
      <c r="BN18" s="80" t="str">
        <f t="array" aca="1" ref="BN18" ca="1">IFERROR(INDEX(Planning10Match, MATCH(0,COUNTIF($BN$1:BN17,Planning10Match), 0))," ")</f>
        <v xml:space="preserve"> </v>
      </c>
    </row>
    <row r="19" spans="1:66" x14ac:dyDescent="0.25">
      <c r="A19" s="80" t="s">
        <v>1419</v>
      </c>
      <c r="B19" s="80" t="s">
        <v>909</v>
      </c>
      <c r="C19" s="80" t="s">
        <v>110</v>
      </c>
      <c r="D19" s="80" t="s">
        <v>1420</v>
      </c>
      <c r="E19" s="80" t="s">
        <v>1398</v>
      </c>
      <c r="G19" s="80" t="s">
        <v>1421</v>
      </c>
      <c r="H19" s="80" t="s">
        <v>1422</v>
      </c>
      <c r="I19" s="80" t="s">
        <v>1423</v>
      </c>
      <c r="J19" s="80" t="s">
        <v>1424</v>
      </c>
      <c r="K19" s="80" t="s">
        <v>1425</v>
      </c>
      <c r="L19" s="80" t="s">
        <v>2138</v>
      </c>
      <c r="M19" s="81">
        <v>0.2</v>
      </c>
      <c r="N19" s="529">
        <v>1.54E-2</v>
      </c>
      <c r="O19" s="80">
        <v>26</v>
      </c>
      <c r="P19" s="81">
        <v>0.6</v>
      </c>
      <c r="Q19" s="80" t="str">
        <f t="array" ref="Q19">INDEX(AwayMissionRewardsAll, SMALL(IF(SMALL(IF(COUNTIF($Q$1:Q18, AwayMissionRewardsAll)+ISBLANK(AwayMissionRewardsAll)=0, COUNTIF(AwayMissionRewardsAll, "&lt;"&amp;AwayMissionRewardsAll)+1, ""), 1)=IF(ISBLANK(AwayMissionRewardsAll), "", COUNTIF(AwayMissionRewardsAll, "&lt;"&amp;AwayMissionRewardsAll)+1), ROW(AwayMissionRewardsAll)-MIN(ROW(AwayMissionRewardsAll))+1), 1), MATCH(MIN(IF(COUNTIF($Q$1:Q18, AwayMissionRewardsAll)+ISBLANK(AwayMissionRewardsAll)&gt;0, "", COUNTIF(AwayMissionRewardsAll, "&lt;"&amp;AwayMissionRewardsAll)+1)), INDEX(IF(ISBLANK(AwayMissionRewardsAll), "", COUNTIF(AwayMissionRewardsAll, "&lt;"&amp;AwayMissionRewardsAll)+1), SMALL(IF(SMALL(IF(COUNTIF($Q$1:Q18, AwayMissionRewardsAll)+ISBLANK(AwayMissionRewardsAll)=0, COUNTIF(AwayMissionRewardsAll, "&lt;"&amp;AwayMissionRewardsAll)+1, ""), 1)=IF(ISBLANK(AwayMissionRewardsAll), "", COUNTIF(AwayMissionRewardsAll, "&lt;"&amp;AwayMissionRewardsAll)+1), ROW(AwayMissionRewardsAll)-MIN(ROW(AwayMissionRewardsAll))+1), 1), , 1), 0), 1)</f>
        <v>Data Shards</v>
      </c>
      <c r="T19" s="80" t="str">
        <f t="array" ref="T19">INDEX(AwayMissionTraitsAll, SMALL(IF(SMALL(IF(COUNTIF($T$1:T18, AwayMissionTraitsAll)+ISBLANK(AwayMissionTraitsAll)=0, COUNTIF(AwayMissionTraitsAll, "&lt;"&amp;AwayMissionTraitsAll)+1, ""), 1)=IF(ISBLANK(AwayMissionTraitsAll), "", COUNTIF(AwayMissionTraitsAll, "&lt;"&amp;AwayMissionTraitsAll)+1), ROW(AwayMissionTraitsAll)-MIN(ROW(AwayMissionTraitsAll))+1), 1), MATCH(MIN(IF(COUNTIF($T$1:T18, AwayMissionTraitsAll)+ISBLANK(AwayMissionTraitsAll)&gt;0, "", COUNTIF(AwayMissionTraitsAll, "&lt;"&amp;AwayMissionTraitsAll)+1)), INDEX(IF(ISBLANK(AwayMissionTraitsAll), "", COUNTIF(AwayMissionTraitsAll, "&lt;"&amp;AwayMissionTraitsAll)+1), SMALL(IF(SMALL(IF(COUNTIF($T$1:T18, AwayMissionTraitsAll)+ISBLANK(AwayMissionTraitsAll)=0, COUNTIF(AwayMissionTraitsAll, "&lt;"&amp;AwayMissionTraitsAll)+1, ""), 1)=IF(ISBLANK(AwayMissionTraitsAll), "", COUNTIF(AwayMissionTraitsAll, "&lt;"&amp;AwayMissionTraitsAll)+1), ROW(AwayMissionTraitsAll)-MIN(ROW(AwayMissionTraitsAll))+1), 1), , 1), 0), 1)</f>
        <v>Criminal</v>
      </c>
      <c r="U19" s="80">
        <f t="shared" si="0"/>
        <v>2</v>
      </c>
      <c r="V19" s="67" t="str">
        <f t="array" ref="V19">IFERROR(INDEX(AwayMissionsNames, SMALL(IF(ISNUMBER(MATCH(AwayMissionTraitsAll,'ATA Analysis'!$D$5:$D$7, 0)), MATCH(ROW(AwayMissionTraitsAll), ROW(AwayMissionTraitsAll)), ""), ROWS($A$1:A18))),"")</f>
        <v/>
      </c>
      <c r="Y19" s="80">
        <v>18</v>
      </c>
      <c r="Z19" s="80" t="str">
        <f t="array" ref="Z19">INDEX(AwayMissionTraits,SMALL(IF(AwayMissionTraitsTotals=AA19,ROW(AwayMissionTraitsTotals)-ROW('AM Lookup'!$U$1)),
COUNTIF($AA$2:AA19,AA19)))</f>
        <v>Diplomat</v>
      </c>
      <c r="AA19" s="80">
        <f t="array" ref="AA19">LARGE(AwayMissionTraitsTotals,ROW(Z19)-ROW($Z$1))</f>
        <v>6</v>
      </c>
      <c r="AB19" s="80">
        <v>18</v>
      </c>
      <c r="AC19" s="80" t="str">
        <f t="array" ref="AC19">INDEX(TraitOfficers,SMALL(IF(TotalTraitsAppearance=AD19,ROW(TotalTraitsAppearance)-ROW('ATA Overview'!$N$25)),
COUNTIF($AD$2:AD19,AD19)))</f>
        <v>Ten Of Eleven</v>
      </c>
      <c r="AD19" s="80">
        <f t="array" ref="AD19">LARGE(TotalTraitsAppearance,ROW(AD19)-ROW($AD$1))</f>
        <v>23</v>
      </c>
      <c r="AL19" s="80" t="str">
        <f t="array" aca="1" ref="AL19" ca="1">IFERROR(INDEX(TraitOfficers, SMALL(IF(ISNUMBER(MATCH(TraitNames,$AK$2:$AK$5, 0)), MATCH(ROW(TraitNames), ROW(TraitNames)), ""), ROWS($A$1:A18))),"")</f>
        <v/>
      </c>
      <c r="AM19" s="80" t="str">
        <f t="array" aca="1" ref="AM19" ca="1">IFERROR(INDEX(Planning1Match, MATCH(0,COUNTIF($AM$1:AM18,Planning1Match), 0))," ")</f>
        <v xml:space="preserve"> </v>
      </c>
      <c r="AO19" s="67" t="str">
        <f t="array" aca="1" ref="AO19" ca="1">IFERROR(INDEX(TraitOfficers, SMALL(IF(ISNUMBER(MATCH(TraitNames,$AN$2:$AN$5, 0)), MATCH(ROW(TraitNames), ROW(TraitNames)), ""), ROWS($A$1:A18))),"")</f>
        <v/>
      </c>
      <c r="AP19" s="80" t="str">
        <f t="array" aca="1" ref="AP19" ca="1">IFERROR(INDEX(Planning2Match, MATCH(0,COUNTIF($AP$1:AP18,Planning2Match), 0))," ")</f>
        <v xml:space="preserve"> </v>
      </c>
      <c r="AR19" s="80" t="str">
        <f t="array" aca="1" ref="AR19" ca="1">IFERROR(INDEX(TraitOfficers, SMALL(IF(ISNUMBER(MATCH(TraitNames,$AQ$2:$AQ$5, 0)), MATCH(ROW(TraitNames), ROW(TraitNames)), ""), ROWS($A$1:A18))),"")</f>
        <v/>
      </c>
      <c r="AS19" s="80" t="str">
        <f t="array" aca="1" ref="AS19" ca="1">IFERROR(INDEX(Planning3Match, MATCH(0,COUNTIF($AS$1:AS18,Planning3Match), 0))," ")</f>
        <v xml:space="preserve"> </v>
      </c>
      <c r="AU19" s="80" t="str">
        <f t="array" aca="1" ref="AU19" ca="1">IFERROR(INDEX(TraitOfficers, SMALL(IF(ISNUMBER(MATCH(TraitNames,$AT$2:$AT$5, 0)), MATCH(ROW(TraitNames), ROW(TraitNames)), ""), ROWS($A$1:A18))),"")</f>
        <v/>
      </c>
      <c r="AV19" s="80" t="str">
        <f t="array" aca="1" ref="AV19" ca="1">IFERROR(INDEX(Planning4Match, MATCH(0,COUNTIF($AV$1:AV18,Planning4Match), 0))," ")</f>
        <v xml:space="preserve"> </v>
      </c>
      <c r="AX19" s="80" t="str">
        <f t="array" aca="1" ref="AX19" ca="1">IFERROR(INDEX(TraitOfficers, SMALL(IF(ISNUMBER(MATCH(TraitNames,$AW$2:$AW$5, 0)), MATCH(ROW(TraitNames), ROW(TraitNames)), ""), ROWS($A$1:A18))),"")</f>
        <v/>
      </c>
      <c r="AY19" s="80" t="str">
        <f t="array" aca="1" ref="AY19" ca="1">IFERROR(INDEX(Planning5Match, MATCH(0,COUNTIF($AY$1:AY18,Planning5Match), 0))," ")</f>
        <v xml:space="preserve"> </v>
      </c>
      <c r="BA19" s="80" t="str">
        <f t="array" aca="1" ref="BA19" ca="1">IFERROR(INDEX(TraitOfficers, SMALL(IF(ISNUMBER(MATCH(TraitNames,$AZ$2:$AZ$5, 0)), MATCH(ROW(TraitNames), ROW(TraitNames)), ""), ROWS($A$1:A18))),"")</f>
        <v/>
      </c>
      <c r="BB19" s="80" t="str">
        <f t="array" aca="1" ref="BB19" ca="1">IFERROR(INDEX(Planning6Match, MATCH(0,COUNTIF($BB$1:BB18,Planning6Match), 0))," ")</f>
        <v xml:space="preserve"> </v>
      </c>
      <c r="BD19" s="80" t="str">
        <f t="array" aca="1" ref="BD19" ca="1">IFERROR(INDEX(TraitOfficers, SMALL(IF(ISNUMBER(MATCH(TraitNames,$BC$2:$BC$5, 0)), MATCH(ROW(TraitNames), ROW(TraitNames)), ""), ROWS($A$1:A18))),"")</f>
        <v/>
      </c>
      <c r="BE19" s="80" t="str">
        <f t="array" aca="1" ref="BE19" ca="1">IFERROR(INDEX(Planning7Match, MATCH(0,COUNTIF($BE$1:BE18,Planning7Match), 0))," ")</f>
        <v xml:space="preserve"> </v>
      </c>
      <c r="BG19" s="80" t="str">
        <f t="array" aca="1" ref="BG19" ca="1">IFERROR(INDEX(TraitOfficers, SMALL(IF(ISNUMBER(MATCH(TraitNames,$BF$2:$BF$5, 0)), MATCH(ROW(TraitNames), ROW(TraitNames)), ""), ROWS($A$1:A18))),"")</f>
        <v/>
      </c>
      <c r="BH19" s="80" t="str">
        <f t="array" aca="1" ref="BH19" ca="1">IFERROR(INDEX(Planning8Match, MATCH(0,COUNTIF($BH$1:BH18,Planning8Match), 0))," ")</f>
        <v xml:space="preserve"> </v>
      </c>
      <c r="BJ19" s="80" t="str">
        <f t="array" aca="1" ref="BJ19" ca="1">IFERROR(INDEX(TraitOfficers, SMALL(IF(ISNUMBER(MATCH(TraitNames,$BI$2:$BI$5, 0)), MATCH(ROW(TraitNames), ROW(TraitNames)), ""), ROWS($A$1:A18))),"")</f>
        <v/>
      </c>
      <c r="BK19" s="80" t="str">
        <f t="array" aca="1" ref="BK19" ca="1">IFERROR(INDEX(Planning9Match, MATCH(0,COUNTIF($BK$1:BK18,Planning9Match), 0))," ")</f>
        <v xml:space="preserve"> </v>
      </c>
      <c r="BM19" s="80" t="str">
        <f t="array" aca="1" ref="BM19" ca="1">IFERROR(INDEX(TraitOfficers, SMALL(IF(ISNUMBER(MATCH(TraitNames,$BL$2:$BL$5, 0)), MATCH(ROW(TraitNames), ROW(TraitNames)), ""), ROWS($A$1:A18))),"")</f>
        <v/>
      </c>
      <c r="BN19" s="80" t="str">
        <f t="array" aca="1" ref="BN19" ca="1">IFERROR(INDEX(Planning10Match, MATCH(0,COUNTIF($BN$1:BN18,Planning10Match), 0))," ")</f>
        <v xml:space="preserve"> </v>
      </c>
    </row>
    <row r="20" spans="1:66" x14ac:dyDescent="0.25">
      <c r="A20" s="80" t="s">
        <v>1426</v>
      </c>
      <c r="B20" s="80" t="s">
        <v>911</v>
      </c>
      <c r="C20" s="80" t="s">
        <v>112</v>
      </c>
      <c r="D20" s="80" t="s">
        <v>1427</v>
      </c>
      <c r="E20" s="80" t="s">
        <v>1398</v>
      </c>
      <c r="G20" s="80" t="s">
        <v>1428</v>
      </c>
      <c r="H20" s="80" t="s">
        <v>1431</v>
      </c>
      <c r="I20" s="80" t="s">
        <v>1430</v>
      </c>
      <c r="J20" s="80" t="s">
        <v>1429</v>
      </c>
      <c r="L20" s="80" t="s">
        <v>2117</v>
      </c>
      <c r="M20" s="81">
        <v>0.1</v>
      </c>
      <c r="N20" s="529">
        <v>4.3799999999999999E-2</v>
      </c>
      <c r="O20" s="80">
        <v>16</v>
      </c>
      <c r="P20" s="81">
        <v>0.8</v>
      </c>
      <c r="Q20" s="80" t="str">
        <f t="array" ref="Q20">INDEX(AwayMissionRewardsAll, SMALL(IF(SMALL(IF(COUNTIF($Q$1:Q19, AwayMissionRewardsAll)+ISBLANK(AwayMissionRewardsAll)=0, COUNTIF(AwayMissionRewardsAll, "&lt;"&amp;AwayMissionRewardsAll)+1, ""), 1)=IF(ISBLANK(AwayMissionRewardsAll), "", COUNTIF(AwayMissionRewardsAll, "&lt;"&amp;AwayMissionRewardsAll)+1), ROW(AwayMissionRewardsAll)-MIN(ROW(AwayMissionRewardsAll))+1), 1), MATCH(MIN(IF(COUNTIF($Q$1:Q19, AwayMissionRewardsAll)+ISBLANK(AwayMissionRewardsAll)&gt;0, "", COUNTIF(AwayMissionRewardsAll, "&lt;"&amp;AwayMissionRewardsAll)+1)), INDEX(IF(ISBLANK(AwayMissionRewardsAll), "", COUNTIF(AwayMissionRewardsAll, "&lt;"&amp;AwayMissionRewardsAll)+1), SMALL(IF(SMALL(IF(COUNTIF($Q$1:Q19, AwayMissionRewardsAll)+ISBLANK(AwayMissionRewardsAll)=0, COUNTIF(AwayMissionRewardsAll, "&lt;"&amp;AwayMissionRewardsAll)+1, ""), 1)=IF(ISBLANK(AwayMissionRewardsAll), "", COUNTIF(AwayMissionRewardsAll, "&lt;"&amp;AwayMissionRewardsAll)+1), ROW(AwayMissionRewardsAll)-MIN(ROW(AwayMissionRewardsAll))+1), 1), , 1), 0), 1)</f>
        <v>Data/Kras Shards</v>
      </c>
      <c r="T20" s="80" t="str">
        <f t="array" ref="T20">INDEX(AwayMissionTraitsAll, SMALL(IF(SMALL(IF(COUNTIF($T$1:T19, AwayMissionTraitsAll)+ISBLANK(AwayMissionTraitsAll)=0, COUNTIF(AwayMissionTraitsAll, "&lt;"&amp;AwayMissionTraitsAll)+1, ""), 1)=IF(ISBLANK(AwayMissionTraitsAll), "", COUNTIF(AwayMissionTraitsAll, "&lt;"&amp;AwayMissionTraitsAll)+1), ROW(AwayMissionTraitsAll)-MIN(ROW(AwayMissionTraitsAll))+1), 1), MATCH(MIN(IF(COUNTIF($T$1:T19, AwayMissionTraitsAll)+ISBLANK(AwayMissionTraitsAll)&gt;0, "", COUNTIF(AwayMissionTraitsAll, "&lt;"&amp;AwayMissionTraitsAll)+1)), INDEX(IF(ISBLANK(AwayMissionTraitsAll), "", COUNTIF(AwayMissionTraitsAll, "&lt;"&amp;AwayMissionTraitsAll)+1), SMALL(IF(SMALL(IF(COUNTIF($T$1:T19, AwayMissionTraitsAll)+ISBLANK(AwayMissionTraitsAll)=0, COUNTIF(AwayMissionTraitsAll, "&lt;"&amp;AwayMissionTraitsAll)+1, ""), 1)=IF(ISBLANK(AwayMissionTraitsAll), "", COUNTIF(AwayMissionTraitsAll, "&lt;"&amp;AwayMissionTraitsAll)+1), ROW(AwayMissionTraitsAll)-MIN(ROW(AwayMissionTraitsAll))+1), 1), , 1), 0), 1)</f>
        <v>Cybernetic</v>
      </c>
      <c r="U20" s="80">
        <f t="shared" si="0"/>
        <v>2</v>
      </c>
      <c r="V20" s="67" t="str">
        <f t="array" ref="V20">IFERROR(INDEX(AwayMissionsNames, SMALL(IF(ISNUMBER(MATCH(AwayMissionTraitsAll,'ATA Analysis'!$D$5:$D$7, 0)), MATCH(ROW(AwayMissionTraitsAll), ROW(AwayMissionTraitsAll)), ""), ROWS($A$1:A19))),"")</f>
        <v/>
      </c>
      <c r="AL20" s="80" t="str">
        <f t="array" aca="1" ref="AL20" ca="1">IFERROR(INDEX(TraitOfficers, SMALL(IF(ISNUMBER(MATCH(TraitNames,$AK$2:$AK$5, 0)), MATCH(ROW(TraitNames), ROW(TraitNames)), ""), ROWS($A$1:A19))),"")</f>
        <v/>
      </c>
      <c r="AM20" s="80" t="str">
        <f t="array" aca="1" ref="AM20" ca="1">IFERROR(INDEX(Planning1Match, MATCH(0,COUNTIF($AM$1:AM19,Planning1Match), 0))," ")</f>
        <v xml:space="preserve"> </v>
      </c>
      <c r="AO20" s="67" t="str">
        <f t="array" aca="1" ref="AO20" ca="1">IFERROR(INDEX(TraitOfficers, SMALL(IF(ISNUMBER(MATCH(TraitNames,$AN$2:$AN$5, 0)), MATCH(ROW(TraitNames), ROW(TraitNames)), ""), ROWS($A$1:A19))),"")</f>
        <v/>
      </c>
      <c r="AP20" s="80" t="str">
        <f t="array" aca="1" ref="AP20" ca="1">IFERROR(INDEX(Planning2Match, MATCH(0,COUNTIF($AP$1:AP19,Planning2Match), 0))," ")</f>
        <v xml:space="preserve"> </v>
      </c>
      <c r="AR20" s="80" t="str">
        <f t="array" aca="1" ref="AR20" ca="1">IFERROR(INDEX(TraitOfficers, SMALL(IF(ISNUMBER(MATCH(TraitNames,$AQ$2:$AQ$5, 0)), MATCH(ROW(TraitNames), ROW(TraitNames)), ""), ROWS($A$1:A19))),"")</f>
        <v/>
      </c>
      <c r="AS20" s="80" t="str">
        <f t="array" aca="1" ref="AS20" ca="1">IFERROR(INDEX(Planning3Match, MATCH(0,COUNTIF($AS$1:AS19,Planning3Match), 0))," ")</f>
        <v xml:space="preserve"> </v>
      </c>
      <c r="AU20" s="80" t="str">
        <f t="array" aca="1" ref="AU20" ca="1">IFERROR(INDEX(TraitOfficers, SMALL(IF(ISNUMBER(MATCH(TraitNames,$AT$2:$AT$5, 0)), MATCH(ROW(TraitNames), ROW(TraitNames)), ""), ROWS($A$1:A19))),"")</f>
        <v/>
      </c>
      <c r="AV20" s="80" t="str">
        <f t="array" aca="1" ref="AV20" ca="1">IFERROR(INDEX(Planning4Match, MATCH(0,COUNTIF($AV$1:AV19,Planning4Match), 0))," ")</f>
        <v xml:space="preserve"> </v>
      </c>
      <c r="AX20" s="80" t="str">
        <f t="array" aca="1" ref="AX20" ca="1">IFERROR(INDEX(TraitOfficers, SMALL(IF(ISNUMBER(MATCH(TraitNames,$AW$2:$AW$5, 0)), MATCH(ROW(TraitNames), ROW(TraitNames)), ""), ROWS($A$1:A19))),"")</f>
        <v/>
      </c>
      <c r="AY20" s="80" t="str">
        <f t="array" aca="1" ref="AY20" ca="1">IFERROR(INDEX(Planning5Match, MATCH(0,COUNTIF($AY$1:AY19,Planning5Match), 0))," ")</f>
        <v xml:space="preserve"> </v>
      </c>
      <c r="BA20" s="80" t="str">
        <f t="array" aca="1" ref="BA20" ca="1">IFERROR(INDEX(TraitOfficers, SMALL(IF(ISNUMBER(MATCH(TraitNames,$AZ$2:$AZ$5, 0)), MATCH(ROW(TraitNames), ROW(TraitNames)), ""), ROWS($A$1:A19))),"")</f>
        <v/>
      </c>
      <c r="BB20" s="80" t="str">
        <f t="array" aca="1" ref="BB20" ca="1">IFERROR(INDEX(Planning6Match, MATCH(0,COUNTIF($BB$1:BB19,Planning6Match), 0))," ")</f>
        <v xml:space="preserve"> </v>
      </c>
      <c r="BD20" s="80" t="str">
        <f t="array" aca="1" ref="BD20" ca="1">IFERROR(INDEX(TraitOfficers, SMALL(IF(ISNUMBER(MATCH(TraitNames,$BC$2:$BC$5, 0)), MATCH(ROW(TraitNames), ROW(TraitNames)), ""), ROWS($A$1:A19))),"")</f>
        <v/>
      </c>
      <c r="BE20" s="80" t="str">
        <f t="array" aca="1" ref="BE20" ca="1">IFERROR(INDEX(Planning7Match, MATCH(0,COUNTIF($BE$1:BE19,Planning7Match), 0))," ")</f>
        <v xml:space="preserve"> </v>
      </c>
      <c r="BG20" s="80" t="str">
        <f t="array" aca="1" ref="BG20" ca="1">IFERROR(INDEX(TraitOfficers, SMALL(IF(ISNUMBER(MATCH(TraitNames,$BF$2:$BF$5, 0)), MATCH(ROW(TraitNames), ROW(TraitNames)), ""), ROWS($A$1:A19))),"")</f>
        <v/>
      </c>
      <c r="BH20" s="80" t="str">
        <f t="array" aca="1" ref="BH20" ca="1">IFERROR(INDEX(Planning8Match, MATCH(0,COUNTIF($BH$1:BH19,Planning8Match), 0))," ")</f>
        <v xml:space="preserve"> </v>
      </c>
      <c r="BJ20" s="80" t="str">
        <f t="array" aca="1" ref="BJ20" ca="1">IFERROR(INDEX(TraitOfficers, SMALL(IF(ISNUMBER(MATCH(TraitNames,$BI$2:$BI$5, 0)), MATCH(ROW(TraitNames), ROW(TraitNames)), ""), ROWS($A$1:A19))),"")</f>
        <v/>
      </c>
      <c r="BK20" s="80" t="str">
        <f t="array" aca="1" ref="BK20" ca="1">IFERROR(INDEX(Planning9Match, MATCH(0,COUNTIF($BK$1:BK19,Planning9Match), 0))," ")</f>
        <v xml:space="preserve"> </v>
      </c>
      <c r="BM20" s="80" t="str">
        <f t="array" aca="1" ref="BM20" ca="1">IFERROR(INDEX(TraitOfficers, SMALL(IF(ISNUMBER(MATCH(TraitNames,$BL$2:$BL$5, 0)), MATCH(ROW(TraitNames), ROW(TraitNames)), ""), ROWS($A$1:A19))),"")</f>
        <v/>
      </c>
      <c r="BN20" s="80" t="str">
        <f t="array" aca="1" ref="BN20" ca="1">IFERROR(INDEX(Planning10Match, MATCH(0,COUNTIF($BN$1:BN19,Planning10Match), 0))," ")</f>
        <v xml:space="preserve"> </v>
      </c>
    </row>
    <row r="21" spans="1:66" x14ac:dyDescent="0.25">
      <c r="A21" s="80" t="s">
        <v>1561</v>
      </c>
      <c r="B21" s="80" t="s">
        <v>910</v>
      </c>
      <c r="C21" s="80" t="s">
        <v>110</v>
      </c>
      <c r="D21" s="80" t="s">
        <v>1518</v>
      </c>
      <c r="E21" s="80" t="s">
        <v>1398</v>
      </c>
      <c r="G21" s="80" t="s">
        <v>1453</v>
      </c>
      <c r="H21" s="80" t="s">
        <v>1430</v>
      </c>
      <c r="I21" s="80" t="s">
        <v>1479</v>
      </c>
      <c r="J21" s="80" t="s">
        <v>1506</v>
      </c>
      <c r="L21" s="80" t="s">
        <v>2139</v>
      </c>
      <c r="M21" s="81">
        <v>0.25</v>
      </c>
      <c r="N21" s="529">
        <v>0.05</v>
      </c>
      <c r="O21" s="80">
        <v>10</v>
      </c>
      <c r="P21" s="81">
        <v>0.75</v>
      </c>
      <c r="Q21" s="80" t="str">
        <f t="array" ref="Q21">INDEX(AwayMissionRewardsAll, SMALL(IF(SMALL(IF(COUNTIF($Q$1:Q20, AwayMissionRewardsAll)+ISBLANK(AwayMissionRewardsAll)=0, COUNTIF(AwayMissionRewardsAll, "&lt;"&amp;AwayMissionRewardsAll)+1, ""), 1)=IF(ISBLANK(AwayMissionRewardsAll), "", COUNTIF(AwayMissionRewardsAll, "&lt;"&amp;AwayMissionRewardsAll)+1), ROW(AwayMissionRewardsAll)-MIN(ROW(AwayMissionRewardsAll))+1), 1), MATCH(MIN(IF(COUNTIF($Q$1:Q20, AwayMissionRewardsAll)+ISBLANK(AwayMissionRewardsAll)&gt;0, "", COUNTIF(AwayMissionRewardsAll, "&lt;"&amp;AwayMissionRewardsAll)+1)), INDEX(IF(ISBLANK(AwayMissionRewardsAll), "", COUNTIF(AwayMissionRewardsAll, "&lt;"&amp;AwayMissionRewardsAll)+1), SMALL(IF(SMALL(IF(COUNTIF($Q$1:Q20, AwayMissionRewardsAll)+ISBLANK(AwayMissionRewardsAll)=0, COUNTIF(AwayMissionRewardsAll, "&lt;"&amp;AwayMissionRewardsAll)+1, ""), 1)=IF(ISBLANK(AwayMissionRewardsAll), "", COUNTIF(AwayMissionRewardsAll, "&lt;"&amp;AwayMissionRewardsAll)+1), ROW(AwayMissionRewardsAll)-MIN(ROW(AwayMissionRewardsAll))+1), 1), , 1), 0), 1)</f>
        <v>Epic Star Charts</v>
      </c>
      <c r="T21" s="80" t="str">
        <f t="array" ref="T21">INDEX(AwayMissionTraitsAll, SMALL(IF(SMALL(IF(COUNTIF($T$1:T20, AwayMissionTraitsAll)+ISBLANK(AwayMissionTraitsAll)=0, COUNTIF(AwayMissionTraitsAll, "&lt;"&amp;AwayMissionTraitsAll)+1, ""), 1)=IF(ISBLANK(AwayMissionTraitsAll), "", COUNTIF(AwayMissionTraitsAll, "&lt;"&amp;AwayMissionTraitsAll)+1), ROW(AwayMissionTraitsAll)-MIN(ROW(AwayMissionTraitsAll))+1), 1), MATCH(MIN(IF(COUNTIF($T$1:T20, AwayMissionTraitsAll)+ISBLANK(AwayMissionTraitsAll)&gt;0, "", COUNTIF(AwayMissionTraitsAll, "&lt;"&amp;AwayMissionTraitsAll)+1)), INDEX(IF(ISBLANK(AwayMissionTraitsAll), "", COUNTIF(AwayMissionTraitsAll, "&lt;"&amp;AwayMissionTraitsAll)+1), SMALL(IF(SMALL(IF(COUNTIF($T$1:T20, AwayMissionTraitsAll)+ISBLANK(AwayMissionTraitsAll)=0, COUNTIF(AwayMissionTraitsAll, "&lt;"&amp;AwayMissionTraitsAll)+1, ""), 1)=IF(ISBLANK(AwayMissionTraitsAll), "", COUNTIF(AwayMissionTraitsAll, "&lt;"&amp;AwayMissionTraitsAll)+1), ROW(AwayMissionTraitsAll)-MIN(ROW(AwayMissionTraitsAll))+1), 1), , 1), 0), 1)</f>
        <v>Deceptive</v>
      </c>
      <c r="U21" s="80">
        <f t="shared" si="0"/>
        <v>2</v>
      </c>
      <c r="V21" s="67" t="str">
        <f t="array" ref="V21">IFERROR(INDEX(AwayMissionsNames, SMALL(IF(ISNUMBER(MATCH(AwayMissionTraitsAll,'ATA Analysis'!$D$5:$D$7, 0)), MATCH(ROW(AwayMissionTraitsAll), ROW(AwayMissionTraitsAll)), ""), ROWS($A$1:A20))),"")</f>
        <v/>
      </c>
      <c r="AL21" s="80" t="str">
        <f t="array" aca="1" ref="AL21" ca="1">IFERROR(INDEX(TraitOfficers, SMALL(IF(ISNUMBER(MATCH(TraitNames,$AK$2:$AK$5, 0)), MATCH(ROW(TraitNames), ROW(TraitNames)), ""), ROWS($A$1:A20))),"")</f>
        <v/>
      </c>
      <c r="AM21" s="80" t="str">
        <f t="array" aca="1" ref="AM21" ca="1">IFERROR(INDEX(Planning1Match, MATCH(0,COUNTIF($AM$1:AM20,Planning1Match), 0))," ")</f>
        <v xml:space="preserve"> </v>
      </c>
      <c r="AO21" s="67" t="str">
        <f t="array" aca="1" ref="AO21" ca="1">IFERROR(INDEX(TraitOfficers, SMALL(IF(ISNUMBER(MATCH(TraitNames,$AN$2:$AN$5, 0)), MATCH(ROW(TraitNames), ROW(TraitNames)), ""), ROWS($A$1:A20))),"")</f>
        <v/>
      </c>
      <c r="AP21" s="80" t="str">
        <f t="array" aca="1" ref="AP21" ca="1">IFERROR(INDEX(Planning2Match, MATCH(0,COUNTIF($AP$1:AP20,Planning2Match), 0))," ")</f>
        <v xml:space="preserve"> </v>
      </c>
      <c r="AR21" s="80" t="str">
        <f t="array" aca="1" ref="AR21" ca="1">IFERROR(INDEX(TraitOfficers, SMALL(IF(ISNUMBER(MATCH(TraitNames,$AQ$2:$AQ$5, 0)), MATCH(ROW(TraitNames), ROW(TraitNames)), ""), ROWS($A$1:A20))),"")</f>
        <v/>
      </c>
      <c r="AS21" s="80" t="str">
        <f t="array" aca="1" ref="AS21" ca="1">IFERROR(INDEX(Planning3Match, MATCH(0,COUNTIF($AS$1:AS20,Planning3Match), 0))," ")</f>
        <v xml:space="preserve"> </v>
      </c>
      <c r="AU21" s="80" t="str">
        <f t="array" aca="1" ref="AU21" ca="1">IFERROR(INDEX(TraitOfficers, SMALL(IF(ISNUMBER(MATCH(TraitNames,$AT$2:$AT$5, 0)), MATCH(ROW(TraitNames), ROW(TraitNames)), ""), ROWS($A$1:A20))),"")</f>
        <v/>
      </c>
      <c r="AV21" s="80" t="str">
        <f t="array" aca="1" ref="AV21" ca="1">IFERROR(INDEX(Planning4Match, MATCH(0,COUNTIF($AV$1:AV20,Planning4Match), 0))," ")</f>
        <v xml:space="preserve"> </v>
      </c>
      <c r="AX21" s="80" t="str">
        <f t="array" aca="1" ref="AX21" ca="1">IFERROR(INDEX(TraitOfficers, SMALL(IF(ISNUMBER(MATCH(TraitNames,$AW$2:$AW$5, 0)), MATCH(ROW(TraitNames), ROW(TraitNames)), ""), ROWS($A$1:A20))),"")</f>
        <v/>
      </c>
      <c r="AY21" s="80" t="str">
        <f t="array" aca="1" ref="AY21" ca="1">IFERROR(INDEX(Planning5Match, MATCH(0,COUNTIF($AY$1:AY20,Planning5Match), 0))," ")</f>
        <v xml:space="preserve"> </v>
      </c>
      <c r="BA21" s="80" t="str">
        <f t="array" aca="1" ref="BA21" ca="1">IFERROR(INDEX(TraitOfficers, SMALL(IF(ISNUMBER(MATCH(TraitNames,$AZ$2:$AZ$5, 0)), MATCH(ROW(TraitNames), ROW(TraitNames)), ""), ROWS($A$1:A20))),"")</f>
        <v/>
      </c>
      <c r="BB21" s="80" t="str">
        <f t="array" aca="1" ref="BB21" ca="1">IFERROR(INDEX(Planning6Match, MATCH(0,COUNTIF($BB$1:BB20,Planning6Match), 0))," ")</f>
        <v xml:space="preserve"> </v>
      </c>
      <c r="BD21" s="80" t="str">
        <f t="array" aca="1" ref="BD21" ca="1">IFERROR(INDEX(TraitOfficers, SMALL(IF(ISNUMBER(MATCH(TraitNames,$BC$2:$BC$5, 0)), MATCH(ROW(TraitNames), ROW(TraitNames)), ""), ROWS($A$1:A20))),"")</f>
        <v/>
      </c>
      <c r="BE21" s="80" t="str">
        <f t="array" aca="1" ref="BE21" ca="1">IFERROR(INDEX(Planning7Match, MATCH(0,COUNTIF($BE$1:BE20,Planning7Match), 0))," ")</f>
        <v xml:space="preserve"> </v>
      </c>
      <c r="BG21" s="80" t="str">
        <f t="array" aca="1" ref="BG21" ca="1">IFERROR(INDEX(TraitOfficers, SMALL(IF(ISNUMBER(MATCH(TraitNames,$BF$2:$BF$5, 0)), MATCH(ROW(TraitNames), ROW(TraitNames)), ""), ROWS($A$1:A20))),"")</f>
        <v/>
      </c>
      <c r="BH21" s="80" t="str">
        <f t="array" aca="1" ref="BH21" ca="1">IFERROR(INDEX(Planning8Match, MATCH(0,COUNTIF($BH$1:BH20,Planning8Match), 0))," ")</f>
        <v xml:space="preserve"> </v>
      </c>
      <c r="BJ21" s="80" t="str">
        <f t="array" aca="1" ref="BJ21" ca="1">IFERROR(INDEX(TraitOfficers, SMALL(IF(ISNUMBER(MATCH(TraitNames,$BI$2:$BI$5, 0)), MATCH(ROW(TraitNames), ROW(TraitNames)), ""), ROWS($A$1:A20))),"")</f>
        <v/>
      </c>
      <c r="BK21" s="80" t="str">
        <f t="array" aca="1" ref="BK21" ca="1">IFERROR(INDEX(Planning9Match, MATCH(0,COUNTIF($BK$1:BK20,Planning9Match), 0))," ")</f>
        <v xml:space="preserve"> </v>
      </c>
      <c r="BM21" s="80" t="str">
        <f t="array" aca="1" ref="BM21" ca="1">IFERROR(INDEX(TraitOfficers, SMALL(IF(ISNUMBER(MATCH(TraitNames,$BL$2:$BL$5, 0)), MATCH(ROW(TraitNames), ROW(TraitNames)), ""), ROWS($A$1:A20))),"")</f>
        <v/>
      </c>
      <c r="BN21" s="80" t="str">
        <f t="array" aca="1" ref="BN21" ca="1">IFERROR(INDEX(Planning10Match, MATCH(0,COUNTIF($BN$1:BN20,Planning10Match), 0))," ")</f>
        <v xml:space="preserve"> </v>
      </c>
    </row>
    <row r="22" spans="1:66" x14ac:dyDescent="0.25">
      <c r="A22" s="80" t="s">
        <v>2174</v>
      </c>
      <c r="B22" s="80" t="s">
        <v>910</v>
      </c>
      <c r="C22" s="80" t="s">
        <v>110</v>
      </c>
      <c r="D22" s="80" t="s">
        <v>1518</v>
      </c>
      <c r="E22" s="80" t="s">
        <v>1398</v>
      </c>
      <c r="G22" s="80" t="s">
        <v>1453</v>
      </c>
      <c r="H22" s="80" t="s">
        <v>1430</v>
      </c>
      <c r="I22" s="80" t="s">
        <v>2175</v>
      </c>
      <c r="J22" s="80" t="s">
        <v>1506</v>
      </c>
      <c r="L22" s="80" t="s">
        <v>2117</v>
      </c>
      <c r="M22" s="81">
        <v>0.25</v>
      </c>
      <c r="N22" s="529">
        <v>0.05</v>
      </c>
      <c r="O22" s="80">
        <v>10</v>
      </c>
      <c r="P22" s="81">
        <v>0.75</v>
      </c>
      <c r="Q22" s="80" t="str">
        <f t="array" ref="Q22">INDEX(AwayMissionRewardsAll, SMALL(IF(SMALL(IF(COUNTIF($Q$1:Q21, AwayMissionRewardsAll)+ISBLANK(AwayMissionRewardsAll)=0, COUNTIF(AwayMissionRewardsAll, "&lt;"&amp;AwayMissionRewardsAll)+1, ""), 1)=IF(ISBLANK(AwayMissionRewardsAll), "", COUNTIF(AwayMissionRewardsAll, "&lt;"&amp;AwayMissionRewardsAll)+1), ROW(AwayMissionRewardsAll)-MIN(ROW(AwayMissionRewardsAll))+1), 1), MATCH(MIN(IF(COUNTIF($Q$1:Q21, AwayMissionRewardsAll)+ISBLANK(AwayMissionRewardsAll)&gt;0, "", COUNTIF(AwayMissionRewardsAll, "&lt;"&amp;AwayMissionRewardsAll)+1)), INDEX(IF(ISBLANK(AwayMissionRewardsAll), "", COUNTIF(AwayMissionRewardsAll, "&lt;"&amp;AwayMissionRewardsAll)+1), SMALL(IF(SMALL(IF(COUNTIF($Q$1:Q21, AwayMissionRewardsAll)+ISBLANK(AwayMissionRewardsAll)=0, COUNTIF(AwayMissionRewardsAll, "&lt;"&amp;AwayMissionRewardsAll)+1, ""), 1)=IF(ISBLANK(AwayMissionRewardsAll), "", COUNTIF(AwayMissionRewardsAll, "&lt;"&amp;AwayMissionRewardsAll)+1), ROW(AwayMissionRewardsAll)-MIN(ROW(AwayMissionRewardsAll))+1), 1), , 1), 0), 1)</f>
        <v>Federation Credits</v>
      </c>
      <c r="T22" s="80" t="str">
        <f t="array" ref="T22">INDEX(AwayMissionTraitsAll, SMALL(IF(SMALL(IF(COUNTIF($T$1:T21, AwayMissionTraitsAll)+ISBLANK(AwayMissionTraitsAll)=0, COUNTIF(AwayMissionTraitsAll, "&lt;"&amp;AwayMissionTraitsAll)+1, ""), 1)=IF(ISBLANK(AwayMissionTraitsAll), "", COUNTIF(AwayMissionTraitsAll, "&lt;"&amp;AwayMissionTraitsAll)+1), ROW(AwayMissionTraitsAll)-MIN(ROW(AwayMissionTraitsAll))+1), 1), MATCH(MIN(IF(COUNTIF($T$1:T21, AwayMissionTraitsAll)+ISBLANK(AwayMissionTraitsAll)&gt;0, "", COUNTIF(AwayMissionTraitsAll, "&lt;"&amp;AwayMissionTraitsAll)+1)), INDEX(IF(ISBLANK(AwayMissionTraitsAll), "", COUNTIF(AwayMissionTraitsAll, "&lt;"&amp;AwayMissionTraitsAll)+1), SMALL(IF(SMALL(IF(COUNTIF($T$1:T21, AwayMissionTraitsAll)+ISBLANK(AwayMissionTraitsAll)=0, COUNTIF(AwayMissionTraitsAll, "&lt;"&amp;AwayMissionTraitsAll)+1, ""), 1)=IF(ISBLANK(AwayMissionTraitsAll), "", COUNTIF(AwayMissionTraitsAll, "&lt;"&amp;AwayMissionTraitsAll)+1), ROW(AwayMissionTraitsAll)-MIN(ROW(AwayMissionTraitsAll))+1), 1), , 1), 0), 1)</f>
        <v>Dedicated</v>
      </c>
      <c r="U22" s="80">
        <f t="shared" si="0"/>
        <v>7</v>
      </c>
      <c r="V22" s="67" t="str">
        <f t="array" ref="V22">IFERROR(INDEX(AwayMissionsNames, SMALL(IF(ISNUMBER(MATCH(AwayMissionTraitsAll,'ATA Analysis'!$D$5:$D$7, 0)), MATCH(ROW(AwayMissionTraitsAll), ROW(AwayMissionTraitsAll)), ""), ROWS($A$1:A21))),"")</f>
        <v/>
      </c>
      <c r="AL22" s="80" t="str">
        <f t="array" aca="1" ref="AL22" ca="1">IFERROR(INDEX(TraitOfficers, SMALL(IF(ISNUMBER(MATCH(TraitNames,$AK$2:$AK$5, 0)), MATCH(ROW(TraitNames), ROW(TraitNames)), ""), ROWS($A$1:A21))),"")</f>
        <v/>
      </c>
      <c r="AM22" s="80" t="str">
        <f t="array" aca="1" ref="AM22" ca="1">IFERROR(INDEX(Planning1Match, MATCH(0,COUNTIF($AM$1:AM21,Planning1Match), 0))," ")</f>
        <v xml:space="preserve"> </v>
      </c>
      <c r="AO22" s="67" t="str">
        <f t="array" aca="1" ref="AO22" ca="1">IFERROR(INDEX(TraitOfficers, SMALL(IF(ISNUMBER(MATCH(TraitNames,$AN$2:$AN$5, 0)), MATCH(ROW(TraitNames), ROW(TraitNames)), ""), ROWS($A$1:A21))),"")</f>
        <v/>
      </c>
      <c r="AP22" s="80" t="str">
        <f t="array" aca="1" ref="AP22" ca="1">IFERROR(INDEX(Planning2Match, MATCH(0,COUNTIF($AP$1:AP21,Planning2Match), 0))," ")</f>
        <v xml:space="preserve"> </v>
      </c>
      <c r="AR22" s="80" t="str">
        <f t="array" aca="1" ref="AR22" ca="1">IFERROR(INDEX(TraitOfficers, SMALL(IF(ISNUMBER(MATCH(TraitNames,$AQ$2:$AQ$5, 0)), MATCH(ROW(TraitNames), ROW(TraitNames)), ""), ROWS($A$1:A21))),"")</f>
        <v/>
      </c>
      <c r="AS22" s="80" t="str">
        <f t="array" aca="1" ref="AS22" ca="1">IFERROR(INDEX(Planning3Match, MATCH(0,COUNTIF($AS$1:AS21,Planning3Match), 0))," ")</f>
        <v xml:space="preserve"> </v>
      </c>
      <c r="AU22" s="80" t="str">
        <f t="array" aca="1" ref="AU22" ca="1">IFERROR(INDEX(TraitOfficers, SMALL(IF(ISNUMBER(MATCH(TraitNames,$AT$2:$AT$5, 0)), MATCH(ROW(TraitNames), ROW(TraitNames)), ""), ROWS($A$1:A21))),"")</f>
        <v/>
      </c>
      <c r="AV22" s="80" t="str">
        <f t="array" aca="1" ref="AV22" ca="1">IFERROR(INDEX(Planning4Match, MATCH(0,COUNTIF($AV$1:AV21,Planning4Match), 0))," ")</f>
        <v xml:space="preserve"> </v>
      </c>
      <c r="AX22" s="80" t="str">
        <f t="array" aca="1" ref="AX22" ca="1">IFERROR(INDEX(TraitOfficers, SMALL(IF(ISNUMBER(MATCH(TraitNames,$AW$2:$AW$5, 0)), MATCH(ROW(TraitNames), ROW(TraitNames)), ""), ROWS($A$1:A21))),"")</f>
        <v/>
      </c>
      <c r="AY22" s="80" t="str">
        <f t="array" aca="1" ref="AY22" ca="1">IFERROR(INDEX(Planning5Match, MATCH(0,COUNTIF($AY$1:AY21,Planning5Match), 0))," ")</f>
        <v xml:space="preserve"> </v>
      </c>
      <c r="BA22" s="80" t="str">
        <f t="array" aca="1" ref="BA22" ca="1">IFERROR(INDEX(TraitOfficers, SMALL(IF(ISNUMBER(MATCH(TraitNames,$AZ$2:$AZ$5, 0)), MATCH(ROW(TraitNames), ROW(TraitNames)), ""), ROWS($A$1:A21))),"")</f>
        <v/>
      </c>
      <c r="BB22" s="80" t="str">
        <f t="array" aca="1" ref="BB22" ca="1">IFERROR(INDEX(Planning6Match, MATCH(0,COUNTIF($BB$1:BB21,Planning6Match), 0))," ")</f>
        <v xml:space="preserve"> </v>
      </c>
      <c r="BD22" s="80" t="str">
        <f t="array" aca="1" ref="BD22" ca="1">IFERROR(INDEX(TraitOfficers, SMALL(IF(ISNUMBER(MATCH(TraitNames,$BC$2:$BC$5, 0)), MATCH(ROW(TraitNames), ROW(TraitNames)), ""), ROWS($A$1:A21))),"")</f>
        <v/>
      </c>
      <c r="BE22" s="80" t="str">
        <f t="array" aca="1" ref="BE22" ca="1">IFERROR(INDEX(Planning7Match, MATCH(0,COUNTIF($BE$1:BE21,Planning7Match), 0))," ")</f>
        <v xml:space="preserve"> </v>
      </c>
      <c r="BG22" s="80" t="str">
        <f t="array" aca="1" ref="BG22" ca="1">IFERROR(INDEX(TraitOfficers, SMALL(IF(ISNUMBER(MATCH(TraitNames,$BF$2:$BF$5, 0)), MATCH(ROW(TraitNames), ROW(TraitNames)), ""), ROWS($A$1:A21))),"")</f>
        <v/>
      </c>
      <c r="BH22" s="80" t="str">
        <f t="array" aca="1" ref="BH22" ca="1">IFERROR(INDEX(Planning8Match, MATCH(0,COUNTIF($BH$1:BH21,Planning8Match), 0))," ")</f>
        <v xml:space="preserve"> </v>
      </c>
      <c r="BJ22" s="80" t="str">
        <f t="array" aca="1" ref="BJ22" ca="1">IFERROR(INDEX(TraitOfficers, SMALL(IF(ISNUMBER(MATCH(TraitNames,$BI$2:$BI$5, 0)), MATCH(ROW(TraitNames), ROW(TraitNames)), ""), ROWS($A$1:A21))),"")</f>
        <v/>
      </c>
      <c r="BK22" s="80" t="str">
        <f t="array" aca="1" ref="BK22" ca="1">IFERROR(INDEX(Planning9Match, MATCH(0,COUNTIF($BK$1:BK21,Planning9Match), 0))," ")</f>
        <v xml:space="preserve"> </v>
      </c>
      <c r="BM22" s="80" t="str">
        <f t="array" aca="1" ref="BM22" ca="1">IFERROR(INDEX(TraitOfficers, SMALL(IF(ISNUMBER(MATCH(TraitNames,$BL$2:$BL$5, 0)), MATCH(ROW(TraitNames), ROW(TraitNames)), ""), ROWS($A$1:A21))),"")</f>
        <v/>
      </c>
      <c r="BN22" s="80" t="str">
        <f t="array" aca="1" ref="BN22" ca="1">IFERROR(INDEX(Planning10Match, MATCH(0,COUNTIF($BN$1:BN21,Planning10Match), 0))," ")</f>
        <v xml:space="preserve"> </v>
      </c>
    </row>
    <row r="23" spans="1:66" x14ac:dyDescent="0.25">
      <c r="A23" s="80" t="s">
        <v>2121</v>
      </c>
      <c r="B23" s="80" t="s">
        <v>911</v>
      </c>
      <c r="C23" s="80" t="s">
        <v>111</v>
      </c>
      <c r="D23" s="80" t="s">
        <v>1438</v>
      </c>
      <c r="E23" s="80" t="s">
        <v>1398</v>
      </c>
      <c r="G23" s="80" t="s">
        <v>2122</v>
      </c>
      <c r="H23" s="80" t="s">
        <v>1468</v>
      </c>
      <c r="I23" s="80" t="s">
        <v>1433</v>
      </c>
      <c r="J23" s="80" t="s">
        <v>1451</v>
      </c>
      <c r="K23" s="80" t="s">
        <v>1450</v>
      </c>
      <c r="L23" s="80" t="s">
        <v>2120</v>
      </c>
      <c r="M23" s="81">
        <v>0.1</v>
      </c>
      <c r="N23" s="529">
        <v>0.02</v>
      </c>
      <c r="O23" s="80">
        <v>25</v>
      </c>
      <c r="P23" s="81">
        <v>0.6</v>
      </c>
      <c r="Q23" s="80" t="str">
        <f t="array" ref="Q23">INDEX(AwayMissionRewardsAll, SMALL(IF(SMALL(IF(COUNTIF($Q$1:Q22, AwayMissionRewardsAll)+ISBLANK(AwayMissionRewardsAll)=0, COUNTIF(AwayMissionRewardsAll, "&lt;"&amp;AwayMissionRewardsAll)+1, ""), 1)=IF(ISBLANK(AwayMissionRewardsAll), "", COUNTIF(AwayMissionRewardsAll, "&lt;"&amp;AwayMissionRewardsAll)+1), ROW(AwayMissionRewardsAll)-MIN(ROW(AwayMissionRewardsAll))+1), 1), MATCH(MIN(IF(COUNTIF($Q$1:Q22, AwayMissionRewardsAll)+ISBLANK(AwayMissionRewardsAll)&gt;0, "", COUNTIF(AwayMissionRewardsAll, "&lt;"&amp;AwayMissionRewardsAll)+1)), INDEX(IF(ISBLANK(AwayMissionRewardsAll), "", COUNTIF(AwayMissionRewardsAll, "&lt;"&amp;AwayMissionRewardsAll)+1), SMALL(IF(SMALL(IF(COUNTIF($Q$1:Q22, AwayMissionRewardsAll)+ISBLANK(AwayMissionRewardsAll)=0, COUNTIF(AwayMissionRewardsAll, "&lt;"&amp;AwayMissionRewardsAll)+1, ""), 1)=IF(ISBLANK(AwayMissionRewardsAll), "", COUNTIF(AwayMissionRewardsAll, "&lt;"&amp;AwayMissionRewardsAll)+1), ROW(AwayMissionRewardsAll)-MIN(ROW(AwayMissionRewardsAll))+1), 1), , 1), 0), 1)</f>
        <v>Federation G3 Ship BPs</v>
      </c>
      <c r="T23" s="80" t="str">
        <f t="array" ref="T23">INDEX(AwayMissionTraitsAll, SMALL(IF(SMALL(IF(COUNTIF($T$1:T22, AwayMissionTraitsAll)+ISBLANK(AwayMissionTraitsAll)=0, COUNTIF(AwayMissionTraitsAll, "&lt;"&amp;AwayMissionTraitsAll)+1, ""), 1)=IF(ISBLANK(AwayMissionTraitsAll), "", COUNTIF(AwayMissionTraitsAll, "&lt;"&amp;AwayMissionTraitsAll)+1), ROW(AwayMissionTraitsAll)-MIN(ROW(AwayMissionTraitsAll))+1), 1), MATCH(MIN(IF(COUNTIF($T$1:T22, AwayMissionTraitsAll)+ISBLANK(AwayMissionTraitsAll)&gt;0, "", COUNTIF(AwayMissionTraitsAll, "&lt;"&amp;AwayMissionTraitsAll)+1)), INDEX(IF(ISBLANK(AwayMissionTraitsAll), "", COUNTIF(AwayMissionTraitsAll, "&lt;"&amp;AwayMissionTraitsAll)+1), SMALL(IF(SMALL(IF(COUNTIF($T$1:T22, AwayMissionTraitsAll)+ISBLANK(AwayMissionTraitsAll)=0, COUNTIF(AwayMissionTraitsAll, "&lt;"&amp;AwayMissionTraitsAll)+1, ""), 1)=IF(ISBLANK(AwayMissionTraitsAll), "", COUNTIF(AwayMissionTraitsAll, "&lt;"&amp;AwayMissionTraitsAll)+1), ROW(AwayMissionTraitsAll)-MIN(ROW(AwayMissionTraitsAll))+1), 1), , 1), 0), 1)</f>
        <v>Diplomat</v>
      </c>
      <c r="U23" s="80">
        <f t="shared" si="0"/>
        <v>6</v>
      </c>
      <c r="V23" s="67" t="str">
        <f t="array" ref="V23">IFERROR(INDEX(AwayMissionsNames, SMALL(IF(ISNUMBER(MATCH(AwayMissionTraitsAll,'ATA Analysis'!$D$5:$D$7, 0)), MATCH(ROW(AwayMissionTraitsAll), ROW(AwayMissionTraitsAll)), ""), ROWS($A$1:A22))),"")</f>
        <v/>
      </c>
      <c r="AL23" s="80" t="str">
        <f t="array" aca="1" ref="AL23" ca="1">IFERROR(INDEX(TraitOfficers, SMALL(IF(ISNUMBER(MATCH(TraitNames,$AK$2:$AK$5, 0)), MATCH(ROW(TraitNames), ROW(TraitNames)), ""), ROWS($A$1:A22))),"")</f>
        <v/>
      </c>
      <c r="AM23" s="80" t="str">
        <f t="array" aca="1" ref="AM23" ca="1">IFERROR(INDEX(Planning1Match, MATCH(0,COUNTIF($AM$1:AM22,Planning1Match), 0))," ")</f>
        <v xml:space="preserve"> </v>
      </c>
      <c r="AO23" s="67" t="str">
        <f t="array" aca="1" ref="AO23" ca="1">IFERROR(INDEX(TraitOfficers, SMALL(IF(ISNUMBER(MATCH(TraitNames,$AN$2:$AN$5, 0)), MATCH(ROW(TraitNames), ROW(TraitNames)), ""), ROWS($A$1:A22))),"")</f>
        <v/>
      </c>
      <c r="AP23" s="80" t="str">
        <f t="array" aca="1" ref="AP23" ca="1">IFERROR(INDEX(Planning2Match, MATCH(0,COUNTIF($AP$1:AP22,Planning2Match), 0))," ")</f>
        <v xml:space="preserve"> </v>
      </c>
      <c r="AR23" s="80" t="str">
        <f t="array" aca="1" ref="AR23" ca="1">IFERROR(INDEX(TraitOfficers, SMALL(IF(ISNUMBER(MATCH(TraitNames,$AQ$2:$AQ$5, 0)), MATCH(ROW(TraitNames), ROW(TraitNames)), ""), ROWS($A$1:A22))),"")</f>
        <v/>
      </c>
      <c r="AS23" s="80" t="str">
        <f t="array" aca="1" ref="AS23" ca="1">IFERROR(INDEX(Planning3Match, MATCH(0,COUNTIF($AS$1:AS22,Planning3Match), 0))," ")</f>
        <v xml:space="preserve"> </v>
      </c>
      <c r="AU23" s="80" t="str">
        <f t="array" aca="1" ref="AU23" ca="1">IFERROR(INDEX(TraitOfficers, SMALL(IF(ISNUMBER(MATCH(TraitNames,$AT$2:$AT$5, 0)), MATCH(ROW(TraitNames), ROW(TraitNames)), ""), ROWS($A$1:A22))),"")</f>
        <v/>
      </c>
      <c r="AV23" s="80" t="str">
        <f t="array" aca="1" ref="AV23" ca="1">IFERROR(INDEX(Planning4Match, MATCH(0,COUNTIF($AV$1:AV22,Planning4Match), 0))," ")</f>
        <v xml:space="preserve"> </v>
      </c>
      <c r="AX23" s="80" t="str">
        <f t="array" aca="1" ref="AX23" ca="1">IFERROR(INDEX(TraitOfficers, SMALL(IF(ISNUMBER(MATCH(TraitNames,$AW$2:$AW$5, 0)), MATCH(ROW(TraitNames), ROW(TraitNames)), ""), ROWS($A$1:A22))),"")</f>
        <v/>
      </c>
      <c r="AY23" s="80" t="str">
        <f t="array" aca="1" ref="AY23" ca="1">IFERROR(INDEX(Planning5Match, MATCH(0,COUNTIF($AY$1:AY22,Planning5Match), 0))," ")</f>
        <v xml:space="preserve"> </v>
      </c>
      <c r="BA23" s="80" t="str">
        <f t="array" aca="1" ref="BA23" ca="1">IFERROR(INDEX(TraitOfficers, SMALL(IF(ISNUMBER(MATCH(TraitNames,$AZ$2:$AZ$5, 0)), MATCH(ROW(TraitNames), ROW(TraitNames)), ""), ROWS($A$1:A22))),"")</f>
        <v/>
      </c>
      <c r="BB23" s="80" t="str">
        <f t="array" aca="1" ref="BB23" ca="1">IFERROR(INDEX(Planning6Match, MATCH(0,COUNTIF($BB$1:BB22,Planning6Match), 0))," ")</f>
        <v xml:space="preserve"> </v>
      </c>
      <c r="BD23" s="80" t="str">
        <f t="array" aca="1" ref="BD23" ca="1">IFERROR(INDEX(TraitOfficers, SMALL(IF(ISNUMBER(MATCH(TraitNames,$BC$2:$BC$5, 0)), MATCH(ROW(TraitNames), ROW(TraitNames)), ""), ROWS($A$1:A22))),"")</f>
        <v/>
      </c>
      <c r="BE23" s="80" t="str">
        <f t="array" aca="1" ref="BE23" ca="1">IFERROR(INDEX(Planning7Match, MATCH(0,COUNTIF($BE$1:BE22,Planning7Match), 0))," ")</f>
        <v xml:space="preserve"> </v>
      </c>
      <c r="BG23" s="80" t="str">
        <f t="array" aca="1" ref="BG23" ca="1">IFERROR(INDEX(TraitOfficers, SMALL(IF(ISNUMBER(MATCH(TraitNames,$BF$2:$BF$5, 0)), MATCH(ROW(TraitNames), ROW(TraitNames)), ""), ROWS($A$1:A22))),"")</f>
        <v/>
      </c>
      <c r="BH23" s="80" t="str">
        <f t="array" aca="1" ref="BH23" ca="1">IFERROR(INDEX(Planning8Match, MATCH(0,COUNTIF($BH$1:BH22,Planning8Match), 0))," ")</f>
        <v xml:space="preserve"> </v>
      </c>
      <c r="BJ23" s="80" t="str">
        <f t="array" aca="1" ref="BJ23" ca="1">IFERROR(INDEX(TraitOfficers, SMALL(IF(ISNUMBER(MATCH(TraitNames,$BI$2:$BI$5, 0)), MATCH(ROW(TraitNames), ROW(TraitNames)), ""), ROWS($A$1:A22))),"")</f>
        <v/>
      </c>
      <c r="BK23" s="80" t="str">
        <f t="array" aca="1" ref="BK23" ca="1">IFERROR(INDEX(Planning9Match, MATCH(0,COUNTIF($BK$1:BK22,Planning9Match), 0))," ")</f>
        <v xml:space="preserve"> </v>
      </c>
      <c r="BM23" s="80" t="str">
        <f t="array" aca="1" ref="BM23" ca="1">IFERROR(INDEX(TraitOfficers, SMALL(IF(ISNUMBER(MATCH(TraitNames,$BL$2:$BL$5, 0)), MATCH(ROW(TraitNames), ROW(TraitNames)), ""), ROWS($A$1:A22))),"")</f>
        <v/>
      </c>
      <c r="BN23" s="80" t="str">
        <f t="array" aca="1" ref="BN23" ca="1">IFERROR(INDEX(Planning10Match, MATCH(0,COUNTIF($BN$1:BN22,Planning10Match), 0))," ")</f>
        <v xml:space="preserve"> </v>
      </c>
    </row>
    <row r="24" spans="1:66" x14ac:dyDescent="0.25">
      <c r="A24" s="80" t="s">
        <v>1432</v>
      </c>
      <c r="B24" s="80" t="s">
        <v>2140</v>
      </c>
      <c r="C24" s="80" t="s">
        <v>112</v>
      </c>
      <c r="D24" s="80" t="s">
        <v>1411</v>
      </c>
      <c r="E24" s="80" t="s">
        <v>1398</v>
      </c>
      <c r="G24" s="80" t="s">
        <v>1411</v>
      </c>
      <c r="H24" s="80" t="s">
        <v>1433</v>
      </c>
      <c r="L24" s="80" t="s">
        <v>2141</v>
      </c>
      <c r="M24" s="81">
        <v>0.1</v>
      </c>
      <c r="N24" s="529">
        <v>0.125</v>
      </c>
      <c r="O24" s="80">
        <v>4</v>
      </c>
      <c r="P24" s="81">
        <v>0.6</v>
      </c>
      <c r="Q24" s="80" t="str">
        <f t="array" ref="Q24">INDEX(AwayMissionRewardsAll, SMALL(IF(SMALL(IF(COUNTIF($Q$1:Q23, AwayMissionRewardsAll)+ISBLANK(AwayMissionRewardsAll)=0, COUNTIF(AwayMissionRewardsAll, "&lt;"&amp;AwayMissionRewardsAll)+1, ""), 1)=IF(ISBLANK(AwayMissionRewardsAll), "", COUNTIF(AwayMissionRewardsAll, "&lt;"&amp;AwayMissionRewardsAll)+1), ROW(AwayMissionRewardsAll)-MIN(ROW(AwayMissionRewardsAll))+1), 1), MATCH(MIN(IF(COUNTIF($Q$1:Q23, AwayMissionRewardsAll)+ISBLANK(AwayMissionRewardsAll)&gt;0, "", COUNTIF(AwayMissionRewardsAll, "&lt;"&amp;AwayMissionRewardsAll)+1)), INDEX(IF(ISBLANK(AwayMissionRewardsAll), "", COUNTIF(AwayMissionRewardsAll, "&lt;"&amp;AwayMissionRewardsAll)+1), SMALL(IF(SMALL(IF(COUNTIF($Q$1:Q23, AwayMissionRewardsAll)+ISBLANK(AwayMissionRewardsAll)=0, COUNTIF(AwayMissionRewardsAll, "&lt;"&amp;AwayMissionRewardsAll)+1, ""), 1)=IF(ISBLANK(AwayMissionRewardsAll), "", COUNTIF(AwayMissionRewardsAll, "&lt;"&amp;AwayMissionRewardsAll)+1), ROW(AwayMissionRewardsAll)-MIN(ROW(AwayMissionRewardsAll))+1), 1), , 1), 0), 1)</f>
        <v>Federation G4 Ship BPs</v>
      </c>
      <c r="T24" s="80" t="str">
        <f t="array" ref="T24">INDEX(AwayMissionTraitsAll, SMALL(IF(SMALL(IF(COUNTIF($T$1:T23, AwayMissionTraitsAll)+ISBLANK(AwayMissionTraitsAll)=0, COUNTIF(AwayMissionTraitsAll, "&lt;"&amp;AwayMissionTraitsAll)+1, ""), 1)=IF(ISBLANK(AwayMissionTraitsAll), "", COUNTIF(AwayMissionTraitsAll, "&lt;"&amp;AwayMissionTraitsAll)+1), ROW(AwayMissionTraitsAll)-MIN(ROW(AwayMissionTraitsAll))+1), 1), MATCH(MIN(IF(COUNTIF($T$1:T23, AwayMissionTraitsAll)+ISBLANK(AwayMissionTraitsAll)&gt;0, "", COUNTIF(AwayMissionTraitsAll, "&lt;"&amp;AwayMissionTraitsAll)+1)), INDEX(IF(ISBLANK(AwayMissionTraitsAll), "", COUNTIF(AwayMissionTraitsAll, "&lt;"&amp;AwayMissionTraitsAll)+1), SMALL(IF(SMALL(IF(COUNTIF($T$1:T23, AwayMissionTraitsAll)+ISBLANK(AwayMissionTraitsAll)=0, COUNTIF(AwayMissionTraitsAll, "&lt;"&amp;AwayMissionTraitsAll)+1, ""), 1)=IF(ISBLANK(AwayMissionTraitsAll), "", COUNTIF(AwayMissionTraitsAll, "&lt;"&amp;AwayMissionTraitsAll)+1), ROW(AwayMissionTraitsAll)-MIN(ROW(AwayMissionTraitsAll))+1), 1), , 1), 0), 1)</f>
        <v>Doctor</v>
      </c>
      <c r="U24" s="80">
        <f t="shared" si="0"/>
        <v>6</v>
      </c>
      <c r="V24" s="67" t="str">
        <f t="array" ref="V24">IFERROR(INDEX(AwayMissionsNames, SMALL(IF(ISNUMBER(MATCH(AwayMissionTraitsAll,'ATA Analysis'!$D$5:$D$7, 0)), MATCH(ROW(AwayMissionTraitsAll), ROW(AwayMissionTraitsAll)), ""), ROWS($A$1:A23))),"")</f>
        <v/>
      </c>
      <c r="AL24" s="80" t="str">
        <f t="array" aca="1" ref="AL24" ca="1">IFERROR(INDEX(TraitOfficers, SMALL(IF(ISNUMBER(MATCH(TraitNames,$AK$2:$AK$5, 0)), MATCH(ROW(TraitNames), ROW(TraitNames)), ""), ROWS($A$1:A23))),"")</f>
        <v/>
      </c>
      <c r="AM24" s="80" t="str">
        <f t="array" aca="1" ref="AM24" ca="1">IFERROR(INDEX(Planning1Match, MATCH(0,COUNTIF($AM$1:AM23,Planning1Match), 0))," ")</f>
        <v xml:space="preserve"> </v>
      </c>
      <c r="AO24" s="67" t="str">
        <f t="array" aca="1" ref="AO24" ca="1">IFERROR(INDEX(TraitOfficers, SMALL(IF(ISNUMBER(MATCH(TraitNames,$AN$2:$AN$5, 0)), MATCH(ROW(TraitNames), ROW(TraitNames)), ""), ROWS($A$1:A23))),"")</f>
        <v/>
      </c>
      <c r="AP24" s="80" t="str">
        <f t="array" aca="1" ref="AP24" ca="1">IFERROR(INDEX(Planning2Match, MATCH(0,COUNTIF($AP$1:AP23,Planning2Match), 0))," ")</f>
        <v xml:space="preserve"> </v>
      </c>
      <c r="AR24" s="80" t="str">
        <f t="array" aca="1" ref="AR24" ca="1">IFERROR(INDEX(TraitOfficers, SMALL(IF(ISNUMBER(MATCH(TraitNames,$AQ$2:$AQ$5, 0)), MATCH(ROW(TraitNames), ROW(TraitNames)), ""), ROWS($A$1:A23))),"")</f>
        <v/>
      </c>
      <c r="AS24" s="80" t="str">
        <f t="array" aca="1" ref="AS24" ca="1">IFERROR(INDEX(Planning3Match, MATCH(0,COUNTIF($AS$1:AS23,Planning3Match), 0))," ")</f>
        <v xml:space="preserve"> </v>
      </c>
      <c r="AU24" s="80" t="str">
        <f t="array" aca="1" ref="AU24" ca="1">IFERROR(INDEX(TraitOfficers, SMALL(IF(ISNUMBER(MATCH(TraitNames,$AT$2:$AT$5, 0)), MATCH(ROW(TraitNames), ROW(TraitNames)), ""), ROWS($A$1:A23))),"")</f>
        <v/>
      </c>
      <c r="AV24" s="80" t="str">
        <f t="array" aca="1" ref="AV24" ca="1">IFERROR(INDEX(Planning4Match, MATCH(0,COUNTIF($AV$1:AV23,Planning4Match), 0))," ")</f>
        <v xml:space="preserve"> </v>
      </c>
      <c r="AX24" s="80" t="str">
        <f t="array" aca="1" ref="AX24" ca="1">IFERROR(INDEX(TraitOfficers, SMALL(IF(ISNUMBER(MATCH(TraitNames,$AW$2:$AW$5, 0)), MATCH(ROW(TraitNames), ROW(TraitNames)), ""), ROWS($A$1:A23))),"")</f>
        <v/>
      </c>
      <c r="AY24" s="80" t="str">
        <f t="array" aca="1" ref="AY24" ca="1">IFERROR(INDEX(Planning5Match, MATCH(0,COUNTIF($AY$1:AY23,Planning5Match), 0))," ")</f>
        <v xml:space="preserve"> </v>
      </c>
      <c r="BA24" s="80" t="str">
        <f t="array" aca="1" ref="BA24" ca="1">IFERROR(INDEX(TraitOfficers, SMALL(IF(ISNUMBER(MATCH(TraitNames,$AZ$2:$AZ$5, 0)), MATCH(ROW(TraitNames), ROW(TraitNames)), ""), ROWS($A$1:A23))),"")</f>
        <v/>
      </c>
      <c r="BB24" s="80" t="str">
        <f t="array" aca="1" ref="BB24" ca="1">IFERROR(INDEX(Planning6Match, MATCH(0,COUNTIF($BB$1:BB23,Planning6Match), 0))," ")</f>
        <v xml:space="preserve"> </v>
      </c>
      <c r="BD24" s="80" t="str">
        <f t="array" aca="1" ref="BD24" ca="1">IFERROR(INDEX(TraitOfficers, SMALL(IF(ISNUMBER(MATCH(TraitNames,$BC$2:$BC$5, 0)), MATCH(ROW(TraitNames), ROW(TraitNames)), ""), ROWS($A$1:A23))),"")</f>
        <v/>
      </c>
      <c r="BE24" s="80" t="str">
        <f t="array" aca="1" ref="BE24" ca="1">IFERROR(INDEX(Planning7Match, MATCH(0,COUNTIF($BE$1:BE23,Planning7Match), 0))," ")</f>
        <v xml:space="preserve"> </v>
      </c>
      <c r="BG24" s="80" t="str">
        <f t="array" aca="1" ref="BG24" ca="1">IFERROR(INDEX(TraitOfficers, SMALL(IF(ISNUMBER(MATCH(TraitNames,$BF$2:$BF$5, 0)), MATCH(ROW(TraitNames), ROW(TraitNames)), ""), ROWS($A$1:A23))),"")</f>
        <v/>
      </c>
      <c r="BH24" s="80" t="str">
        <f t="array" aca="1" ref="BH24" ca="1">IFERROR(INDEX(Planning8Match, MATCH(0,COUNTIF($BH$1:BH23,Planning8Match), 0))," ")</f>
        <v xml:space="preserve"> </v>
      </c>
      <c r="BJ24" s="80" t="str">
        <f t="array" aca="1" ref="BJ24" ca="1">IFERROR(INDEX(TraitOfficers, SMALL(IF(ISNUMBER(MATCH(TraitNames,$BI$2:$BI$5, 0)), MATCH(ROW(TraitNames), ROW(TraitNames)), ""), ROWS($A$1:A23))),"")</f>
        <v/>
      </c>
      <c r="BK24" s="80" t="str">
        <f t="array" aca="1" ref="BK24" ca="1">IFERROR(INDEX(Planning9Match, MATCH(0,COUNTIF($BK$1:BK23,Planning9Match), 0))," ")</f>
        <v xml:space="preserve"> </v>
      </c>
      <c r="BM24" s="80" t="str">
        <f t="array" aca="1" ref="BM24" ca="1">IFERROR(INDEX(TraitOfficers, SMALL(IF(ISNUMBER(MATCH(TraitNames,$BL$2:$BL$5, 0)), MATCH(ROW(TraitNames), ROW(TraitNames)), ""), ROWS($A$1:A23))),"")</f>
        <v/>
      </c>
      <c r="BN24" s="80" t="str">
        <f t="array" aca="1" ref="BN24" ca="1">IFERROR(INDEX(Planning10Match, MATCH(0,COUNTIF($BN$1:BN23,Planning10Match), 0))," ")</f>
        <v xml:space="preserve"> </v>
      </c>
    </row>
    <row r="25" spans="1:66" x14ac:dyDescent="0.25">
      <c r="A25" s="80" t="s">
        <v>1434</v>
      </c>
      <c r="B25" s="80" t="s">
        <v>909</v>
      </c>
      <c r="C25" s="80" t="s">
        <v>112</v>
      </c>
      <c r="D25" s="80" t="s">
        <v>1435</v>
      </c>
      <c r="G25" s="80" t="s">
        <v>1399</v>
      </c>
      <c r="H25" s="80" t="s">
        <v>1436</v>
      </c>
      <c r="L25" s="80" t="s">
        <v>2139</v>
      </c>
      <c r="M25" s="81">
        <v>0.1</v>
      </c>
      <c r="N25" s="529">
        <v>0.1</v>
      </c>
      <c r="O25" s="80">
        <v>3</v>
      </c>
      <c r="P25" s="81">
        <v>0.4</v>
      </c>
      <c r="Q25" s="80" t="str">
        <f t="array" ref="Q25">INDEX(AwayMissionRewardsAll, SMALL(IF(SMALL(IF(COUNTIF($Q$1:Q24, AwayMissionRewardsAll)+ISBLANK(AwayMissionRewardsAll)=0, COUNTIF(AwayMissionRewardsAll, "&lt;"&amp;AwayMissionRewardsAll)+1, ""), 1)=IF(ISBLANK(AwayMissionRewardsAll), "", COUNTIF(AwayMissionRewardsAll, "&lt;"&amp;AwayMissionRewardsAll)+1), ROW(AwayMissionRewardsAll)-MIN(ROW(AwayMissionRewardsAll))+1), 1), MATCH(MIN(IF(COUNTIF($Q$1:Q24, AwayMissionRewardsAll)+ISBLANK(AwayMissionRewardsAll)&gt;0, "", COUNTIF(AwayMissionRewardsAll, "&lt;"&amp;AwayMissionRewardsAll)+1)), INDEX(IF(ISBLANK(AwayMissionRewardsAll), "", COUNTIF(AwayMissionRewardsAll, "&lt;"&amp;AwayMissionRewardsAll)+1), SMALL(IF(SMALL(IF(COUNTIF($Q$1:Q24, AwayMissionRewardsAll)+ISBLANK(AwayMissionRewardsAll)=0, COUNTIF(AwayMissionRewardsAll, "&lt;"&amp;AwayMissionRewardsAll)+1, ""), 1)=IF(ISBLANK(AwayMissionRewardsAll), "", COUNTIF(AwayMissionRewardsAll, "&lt;"&amp;AwayMissionRewardsAll)+1), ROW(AwayMissionRewardsAll)-MIN(ROW(AwayMissionRewardsAll))+1), 1), , 1), 0), 1)</f>
        <v>Federation Rep</v>
      </c>
      <c r="T25" s="80" t="str">
        <f t="array" ref="T25">INDEX(AwayMissionTraitsAll, SMALL(IF(SMALL(IF(COUNTIF($T$1:T24, AwayMissionTraitsAll)+ISBLANK(AwayMissionTraitsAll)=0, COUNTIF(AwayMissionTraitsAll, "&lt;"&amp;AwayMissionTraitsAll)+1, ""), 1)=IF(ISBLANK(AwayMissionTraitsAll), "", COUNTIF(AwayMissionTraitsAll, "&lt;"&amp;AwayMissionTraitsAll)+1), ROW(AwayMissionTraitsAll)-MIN(ROW(AwayMissionTraitsAll))+1), 1), MATCH(MIN(IF(COUNTIF($T$1:T24, AwayMissionTraitsAll)+ISBLANK(AwayMissionTraitsAll)&gt;0, "", COUNTIF(AwayMissionTraitsAll, "&lt;"&amp;AwayMissionTraitsAll)+1)), INDEX(IF(ISBLANK(AwayMissionTraitsAll), "", COUNTIF(AwayMissionTraitsAll, "&lt;"&amp;AwayMissionTraitsAll)+1), SMALL(IF(SMALL(IF(COUNTIF($T$1:T24, AwayMissionTraitsAll)+ISBLANK(AwayMissionTraitsAll)=0, COUNTIF(AwayMissionTraitsAll, "&lt;"&amp;AwayMissionTraitsAll)+1, ""), 1)=IF(ISBLANK(AwayMissionTraitsAll), "", COUNTIF(AwayMissionTraitsAll, "&lt;"&amp;AwayMissionTraitsAll)+1), ROW(AwayMissionTraitsAll)-MIN(ROW(AwayMissionTraitsAll))+1), 1), , 1), 0), 1)</f>
        <v>Empathic</v>
      </c>
      <c r="U25" s="80">
        <f t="shared" si="0"/>
        <v>2</v>
      </c>
      <c r="V25" s="67" t="str">
        <f t="array" ref="V25">IFERROR(INDEX(AwayMissionsNames, SMALL(IF(ISNUMBER(MATCH(AwayMissionTraitsAll,'ATA Analysis'!$D$5:$D$7, 0)), MATCH(ROW(AwayMissionTraitsAll), ROW(AwayMissionTraitsAll)), ""), ROWS($A$1:A24))),"")</f>
        <v/>
      </c>
      <c r="AL25" s="80" t="str">
        <f t="array" aca="1" ref="AL25" ca="1">IFERROR(INDEX(TraitOfficers, SMALL(IF(ISNUMBER(MATCH(TraitNames,$AK$2:$AK$5, 0)), MATCH(ROW(TraitNames), ROW(TraitNames)), ""), ROWS($A$1:A24))),"")</f>
        <v/>
      </c>
      <c r="AM25" s="80" t="str">
        <f t="array" aca="1" ref="AM25" ca="1">IFERROR(INDEX(Planning1Match, MATCH(0,COUNTIF($AM$1:AM24,Planning1Match), 0))," ")</f>
        <v xml:space="preserve"> </v>
      </c>
      <c r="AO25" s="67" t="str">
        <f t="array" aca="1" ref="AO25" ca="1">IFERROR(INDEX(TraitOfficers, SMALL(IF(ISNUMBER(MATCH(TraitNames,$AN$2:$AN$5, 0)), MATCH(ROW(TraitNames), ROW(TraitNames)), ""), ROWS($A$1:A24))),"")</f>
        <v/>
      </c>
      <c r="AP25" s="80" t="str">
        <f t="array" aca="1" ref="AP25" ca="1">IFERROR(INDEX(Planning2Match, MATCH(0,COUNTIF($AP$1:AP24,Planning2Match), 0))," ")</f>
        <v xml:space="preserve"> </v>
      </c>
      <c r="AR25" s="80" t="str">
        <f t="array" aca="1" ref="AR25" ca="1">IFERROR(INDEX(TraitOfficers, SMALL(IF(ISNUMBER(MATCH(TraitNames,$AQ$2:$AQ$5, 0)), MATCH(ROW(TraitNames), ROW(TraitNames)), ""), ROWS($A$1:A24))),"")</f>
        <v/>
      </c>
      <c r="AS25" s="80" t="str">
        <f t="array" aca="1" ref="AS25" ca="1">IFERROR(INDEX(Planning3Match, MATCH(0,COUNTIF($AS$1:AS24,Planning3Match), 0))," ")</f>
        <v xml:space="preserve"> </v>
      </c>
      <c r="AU25" s="80" t="str">
        <f t="array" aca="1" ref="AU25" ca="1">IFERROR(INDEX(TraitOfficers, SMALL(IF(ISNUMBER(MATCH(TraitNames,$AT$2:$AT$5, 0)), MATCH(ROW(TraitNames), ROW(TraitNames)), ""), ROWS($A$1:A24))),"")</f>
        <v/>
      </c>
      <c r="AV25" s="80" t="str">
        <f t="array" aca="1" ref="AV25" ca="1">IFERROR(INDEX(Planning4Match, MATCH(0,COUNTIF($AV$1:AV24,Planning4Match), 0))," ")</f>
        <v xml:space="preserve"> </v>
      </c>
      <c r="AX25" s="80" t="str">
        <f t="array" aca="1" ref="AX25" ca="1">IFERROR(INDEX(TraitOfficers, SMALL(IF(ISNUMBER(MATCH(TraitNames,$AW$2:$AW$5, 0)), MATCH(ROW(TraitNames), ROW(TraitNames)), ""), ROWS($A$1:A24))),"")</f>
        <v/>
      </c>
      <c r="AY25" s="80" t="str">
        <f t="array" aca="1" ref="AY25" ca="1">IFERROR(INDEX(Planning5Match, MATCH(0,COUNTIF($AY$1:AY24,Planning5Match), 0))," ")</f>
        <v xml:space="preserve"> </v>
      </c>
      <c r="BA25" s="80" t="str">
        <f t="array" aca="1" ref="BA25" ca="1">IFERROR(INDEX(TraitOfficers, SMALL(IF(ISNUMBER(MATCH(TraitNames,$AZ$2:$AZ$5, 0)), MATCH(ROW(TraitNames), ROW(TraitNames)), ""), ROWS($A$1:A24))),"")</f>
        <v/>
      </c>
      <c r="BB25" s="80" t="str">
        <f t="array" aca="1" ref="BB25" ca="1">IFERROR(INDEX(Planning6Match, MATCH(0,COUNTIF($BB$1:BB24,Planning6Match), 0))," ")</f>
        <v xml:space="preserve"> </v>
      </c>
      <c r="BD25" s="80" t="str">
        <f t="array" aca="1" ref="BD25" ca="1">IFERROR(INDEX(TraitOfficers, SMALL(IF(ISNUMBER(MATCH(TraitNames,$BC$2:$BC$5, 0)), MATCH(ROW(TraitNames), ROW(TraitNames)), ""), ROWS($A$1:A24))),"")</f>
        <v/>
      </c>
      <c r="BE25" s="80" t="str">
        <f t="array" aca="1" ref="BE25" ca="1">IFERROR(INDEX(Planning7Match, MATCH(0,COUNTIF($BE$1:BE24,Planning7Match), 0))," ")</f>
        <v xml:space="preserve"> </v>
      </c>
      <c r="BG25" s="80" t="str">
        <f t="array" aca="1" ref="BG25" ca="1">IFERROR(INDEX(TraitOfficers, SMALL(IF(ISNUMBER(MATCH(TraitNames,$BF$2:$BF$5, 0)), MATCH(ROW(TraitNames), ROW(TraitNames)), ""), ROWS($A$1:A24))),"")</f>
        <v/>
      </c>
      <c r="BH25" s="80" t="str">
        <f t="array" aca="1" ref="BH25" ca="1">IFERROR(INDEX(Planning8Match, MATCH(0,COUNTIF($BH$1:BH24,Planning8Match), 0))," ")</f>
        <v xml:space="preserve"> </v>
      </c>
      <c r="BJ25" s="80" t="str">
        <f t="array" aca="1" ref="BJ25" ca="1">IFERROR(INDEX(TraitOfficers, SMALL(IF(ISNUMBER(MATCH(TraitNames,$BI$2:$BI$5, 0)), MATCH(ROW(TraitNames), ROW(TraitNames)), ""), ROWS($A$1:A24))),"")</f>
        <v/>
      </c>
      <c r="BK25" s="80" t="str">
        <f t="array" aca="1" ref="BK25" ca="1">IFERROR(INDEX(Planning9Match, MATCH(0,COUNTIF($BK$1:BK24,Planning9Match), 0))," ")</f>
        <v xml:space="preserve"> </v>
      </c>
      <c r="BM25" s="80" t="str">
        <f t="array" aca="1" ref="BM25" ca="1">IFERROR(INDEX(TraitOfficers, SMALL(IF(ISNUMBER(MATCH(TraitNames,$BL$2:$BL$5, 0)), MATCH(ROW(TraitNames), ROW(TraitNames)), ""), ROWS($A$1:A24))),"")</f>
        <v/>
      </c>
      <c r="BN25" s="80" t="str">
        <f t="array" aca="1" ref="BN25" ca="1">IFERROR(INDEX(Planning10Match, MATCH(0,COUNTIF($BN$1:BN24,Planning10Match), 0))," ")</f>
        <v xml:space="preserve"> </v>
      </c>
    </row>
    <row r="26" spans="1:66" x14ac:dyDescent="0.25">
      <c r="A26" s="80" t="s">
        <v>1585</v>
      </c>
      <c r="B26" s="80" t="s">
        <v>911</v>
      </c>
      <c r="C26" s="80" t="s">
        <v>112</v>
      </c>
      <c r="D26" s="80" t="s">
        <v>1416</v>
      </c>
      <c r="E26" s="80" t="s">
        <v>1398</v>
      </c>
      <c r="G26" s="80" t="s">
        <v>2119</v>
      </c>
      <c r="H26" s="80" t="s">
        <v>1449</v>
      </c>
      <c r="I26" s="80" t="s">
        <v>1511</v>
      </c>
      <c r="J26" s="80" t="s">
        <v>1413</v>
      </c>
      <c r="K26" s="80" t="s">
        <v>1514</v>
      </c>
      <c r="L26" s="80" t="s">
        <v>2120</v>
      </c>
      <c r="M26" s="81">
        <v>0.1</v>
      </c>
      <c r="N26" s="529">
        <v>3.4200000000000001E-2</v>
      </c>
      <c r="O26" s="80">
        <v>19</v>
      </c>
      <c r="P26" s="81">
        <v>0.75</v>
      </c>
      <c r="Q26" s="80" t="str">
        <f t="array" ref="Q26">INDEX(AwayMissionRewardsAll, SMALL(IF(SMALL(IF(COUNTIF($Q$1:Q25, AwayMissionRewardsAll)+ISBLANK(AwayMissionRewardsAll)=0, COUNTIF(AwayMissionRewardsAll, "&lt;"&amp;AwayMissionRewardsAll)+1, ""), 1)=IF(ISBLANK(AwayMissionRewardsAll), "", COUNTIF(AwayMissionRewardsAll, "&lt;"&amp;AwayMissionRewardsAll)+1), ROW(AwayMissionRewardsAll)-MIN(ROW(AwayMissionRewardsAll))+1), 1), MATCH(MIN(IF(COUNTIF($Q$1:Q25, AwayMissionRewardsAll)+ISBLANK(AwayMissionRewardsAll)&gt;0, "", COUNTIF(AwayMissionRewardsAll, "&lt;"&amp;AwayMissionRewardsAll)+1)), INDEX(IF(ISBLANK(AwayMissionRewardsAll), "", COUNTIF(AwayMissionRewardsAll, "&lt;"&amp;AwayMissionRewardsAll)+1), SMALL(IF(SMALL(IF(COUNTIF($Q$1:Q25, AwayMissionRewardsAll)+ISBLANK(AwayMissionRewardsAll)=0, COUNTIF(AwayMissionRewardsAll, "&lt;"&amp;AwayMissionRewardsAll)+1, ""), 1)=IF(ISBLANK(AwayMissionRewardsAll), "", COUNTIF(AwayMissionRewardsAll, "&lt;"&amp;AwayMissionRewardsAll)+1), ROW(AwayMissionRewardsAll)-MIN(ROW(AwayMissionRewardsAll))+1), 1), , 1), 0), 1)</f>
        <v>G4 Common Battleship Parts</v>
      </c>
      <c r="T26" s="80" t="str">
        <f t="array" ref="T26">INDEX(AwayMissionTraitsAll, SMALL(IF(SMALL(IF(COUNTIF($T$1:T25, AwayMissionTraitsAll)+ISBLANK(AwayMissionTraitsAll)=0, COUNTIF(AwayMissionTraitsAll, "&lt;"&amp;AwayMissionTraitsAll)+1, ""), 1)=IF(ISBLANK(AwayMissionTraitsAll), "", COUNTIF(AwayMissionTraitsAll, "&lt;"&amp;AwayMissionTraitsAll)+1), ROW(AwayMissionTraitsAll)-MIN(ROW(AwayMissionTraitsAll))+1), 1), MATCH(MIN(IF(COUNTIF($T$1:T25, AwayMissionTraitsAll)+ISBLANK(AwayMissionTraitsAll)&gt;0, "", COUNTIF(AwayMissionTraitsAll, "&lt;"&amp;AwayMissionTraitsAll)+1)), INDEX(IF(ISBLANK(AwayMissionTraitsAll), "", COUNTIF(AwayMissionTraitsAll, "&lt;"&amp;AwayMissionTraitsAll)+1), SMALL(IF(SMALL(IF(COUNTIF($T$1:T25, AwayMissionTraitsAll)+ISBLANK(AwayMissionTraitsAll)=0, COUNTIF(AwayMissionTraitsAll, "&lt;"&amp;AwayMissionTraitsAll)+1, ""), 1)=IF(ISBLANK(AwayMissionTraitsAll), "", COUNTIF(AwayMissionTraitsAll, "&lt;"&amp;AwayMissionTraitsAll)+1), ROW(AwayMissionTraitsAll)-MIN(ROW(AwayMissionTraitsAll))+1), 1), , 1), 0), 1)</f>
        <v>Engineer</v>
      </c>
      <c r="U26" s="80">
        <f t="shared" si="0"/>
        <v>16</v>
      </c>
      <c r="V26" s="67" t="str">
        <f t="array" ref="V26">IFERROR(INDEX(AwayMissionsNames, SMALL(IF(ISNUMBER(MATCH(AwayMissionTraitsAll,'ATA Analysis'!$D$5:$D$7, 0)), MATCH(ROW(AwayMissionTraitsAll), ROW(AwayMissionTraitsAll)), ""), ROWS($A$1:A25))),"")</f>
        <v/>
      </c>
      <c r="AL26" s="80" t="str">
        <f t="array" aca="1" ref="AL26" ca="1">IFERROR(INDEX(TraitOfficers, SMALL(IF(ISNUMBER(MATCH(TraitNames,$AK$2:$AK$5, 0)), MATCH(ROW(TraitNames), ROW(TraitNames)), ""), ROWS($A$1:A25))),"")</f>
        <v/>
      </c>
      <c r="AM26" s="80" t="str">
        <f t="array" aca="1" ref="AM26" ca="1">IFERROR(INDEX(Planning1Match, MATCH(0,COUNTIF($AM$1:AM25,Planning1Match), 0))," ")</f>
        <v xml:space="preserve"> </v>
      </c>
      <c r="AO26" s="67" t="str">
        <f t="array" aca="1" ref="AO26" ca="1">IFERROR(INDEX(TraitOfficers, SMALL(IF(ISNUMBER(MATCH(TraitNames,$AN$2:$AN$5, 0)), MATCH(ROW(TraitNames), ROW(TraitNames)), ""), ROWS($A$1:A25))),"")</f>
        <v/>
      </c>
      <c r="AP26" s="80" t="str">
        <f t="array" aca="1" ref="AP26" ca="1">IFERROR(INDEX(Planning2Match, MATCH(0,COUNTIF($AP$1:AP25,Planning2Match), 0))," ")</f>
        <v xml:space="preserve"> </v>
      </c>
      <c r="AR26" s="80" t="str">
        <f t="array" aca="1" ref="AR26" ca="1">IFERROR(INDEX(TraitOfficers, SMALL(IF(ISNUMBER(MATCH(TraitNames,$AQ$2:$AQ$5, 0)), MATCH(ROW(TraitNames), ROW(TraitNames)), ""), ROWS($A$1:A25))),"")</f>
        <v/>
      </c>
      <c r="AS26" s="80" t="str">
        <f t="array" aca="1" ref="AS26" ca="1">IFERROR(INDEX(Planning3Match, MATCH(0,COUNTIF($AS$1:AS25,Planning3Match), 0))," ")</f>
        <v xml:space="preserve"> </v>
      </c>
      <c r="AU26" s="80" t="str">
        <f t="array" aca="1" ref="AU26" ca="1">IFERROR(INDEX(TraitOfficers, SMALL(IF(ISNUMBER(MATCH(TraitNames,$AT$2:$AT$5, 0)), MATCH(ROW(TraitNames), ROW(TraitNames)), ""), ROWS($A$1:A25))),"")</f>
        <v/>
      </c>
      <c r="AV26" s="80" t="str">
        <f t="array" aca="1" ref="AV26" ca="1">IFERROR(INDEX(Planning4Match, MATCH(0,COUNTIF($AV$1:AV25,Planning4Match), 0))," ")</f>
        <v xml:space="preserve"> </v>
      </c>
      <c r="AX26" s="80" t="str">
        <f t="array" aca="1" ref="AX26" ca="1">IFERROR(INDEX(TraitOfficers, SMALL(IF(ISNUMBER(MATCH(TraitNames,$AW$2:$AW$5, 0)), MATCH(ROW(TraitNames), ROW(TraitNames)), ""), ROWS($A$1:A25))),"")</f>
        <v/>
      </c>
      <c r="AY26" s="80" t="str">
        <f t="array" aca="1" ref="AY26" ca="1">IFERROR(INDEX(Planning5Match, MATCH(0,COUNTIF($AY$1:AY25,Planning5Match), 0))," ")</f>
        <v xml:space="preserve"> </v>
      </c>
      <c r="BA26" s="80" t="str">
        <f t="array" aca="1" ref="BA26" ca="1">IFERROR(INDEX(TraitOfficers, SMALL(IF(ISNUMBER(MATCH(TraitNames,$AZ$2:$AZ$5, 0)), MATCH(ROW(TraitNames), ROW(TraitNames)), ""), ROWS($A$1:A25))),"")</f>
        <v/>
      </c>
      <c r="BB26" s="80" t="str">
        <f t="array" aca="1" ref="BB26" ca="1">IFERROR(INDEX(Planning6Match, MATCH(0,COUNTIF($BB$1:BB25,Planning6Match), 0))," ")</f>
        <v xml:space="preserve"> </v>
      </c>
      <c r="BD26" s="80" t="str">
        <f t="array" aca="1" ref="BD26" ca="1">IFERROR(INDEX(TraitOfficers, SMALL(IF(ISNUMBER(MATCH(TraitNames,$BC$2:$BC$5, 0)), MATCH(ROW(TraitNames), ROW(TraitNames)), ""), ROWS($A$1:A25))),"")</f>
        <v/>
      </c>
      <c r="BE26" s="80" t="str">
        <f t="array" aca="1" ref="BE26" ca="1">IFERROR(INDEX(Planning7Match, MATCH(0,COUNTIF($BE$1:BE25,Planning7Match), 0))," ")</f>
        <v xml:space="preserve"> </v>
      </c>
      <c r="BG26" s="80" t="str">
        <f t="array" aca="1" ref="BG26" ca="1">IFERROR(INDEX(TraitOfficers, SMALL(IF(ISNUMBER(MATCH(TraitNames,$BF$2:$BF$5, 0)), MATCH(ROW(TraitNames), ROW(TraitNames)), ""), ROWS($A$1:A25))),"")</f>
        <v/>
      </c>
      <c r="BH26" s="80" t="str">
        <f t="array" aca="1" ref="BH26" ca="1">IFERROR(INDEX(Planning8Match, MATCH(0,COUNTIF($BH$1:BH25,Planning8Match), 0))," ")</f>
        <v xml:space="preserve"> </v>
      </c>
      <c r="BJ26" s="80" t="str">
        <f t="array" aca="1" ref="BJ26" ca="1">IFERROR(INDEX(TraitOfficers, SMALL(IF(ISNUMBER(MATCH(TraitNames,$BI$2:$BI$5, 0)), MATCH(ROW(TraitNames), ROW(TraitNames)), ""), ROWS($A$1:A25))),"")</f>
        <v/>
      </c>
      <c r="BK26" s="80" t="str">
        <f t="array" aca="1" ref="BK26" ca="1">IFERROR(INDEX(Planning9Match, MATCH(0,COUNTIF($BK$1:BK25,Planning9Match), 0))," ")</f>
        <v xml:space="preserve"> </v>
      </c>
      <c r="BM26" s="80" t="str">
        <f t="array" aca="1" ref="BM26" ca="1">IFERROR(INDEX(TraitOfficers, SMALL(IF(ISNUMBER(MATCH(TraitNames,$BL$2:$BL$5, 0)), MATCH(ROW(TraitNames), ROW(TraitNames)), ""), ROWS($A$1:A25))),"")</f>
        <v/>
      </c>
      <c r="BN26" s="80" t="str">
        <f t="array" aca="1" ref="BN26" ca="1">IFERROR(INDEX(Planning10Match, MATCH(0,COUNTIF($BN$1:BN25,Planning10Match), 0))," ")</f>
        <v xml:space="preserve"> </v>
      </c>
    </row>
    <row r="27" spans="1:66" x14ac:dyDescent="0.25">
      <c r="A27" s="80" t="s">
        <v>1676</v>
      </c>
      <c r="B27" s="80" t="s">
        <v>910</v>
      </c>
      <c r="C27" s="80" t="s">
        <v>111</v>
      </c>
      <c r="D27" s="80" t="s">
        <v>1437</v>
      </c>
      <c r="G27" s="80" t="s">
        <v>1438</v>
      </c>
      <c r="H27" s="80" t="s">
        <v>1439</v>
      </c>
      <c r="I27" s="80" t="s">
        <v>1408</v>
      </c>
      <c r="J27" s="80" t="s">
        <v>817</v>
      </c>
      <c r="K27" s="80" t="s">
        <v>1440</v>
      </c>
      <c r="L27" s="80" t="s">
        <v>2139</v>
      </c>
      <c r="M27" s="81">
        <v>0.2</v>
      </c>
      <c r="N27" s="529">
        <v>2.86E-2</v>
      </c>
      <c r="O27" s="80">
        <v>14</v>
      </c>
      <c r="P27" s="81">
        <v>0.6</v>
      </c>
      <c r="Q27" s="80" t="str">
        <f t="array" ref="Q27">INDEX(AwayMissionRewardsAll, SMALL(IF(SMALL(IF(COUNTIF($Q$1:Q26, AwayMissionRewardsAll)+ISBLANK(AwayMissionRewardsAll)=0, COUNTIF(AwayMissionRewardsAll, "&lt;"&amp;AwayMissionRewardsAll)+1, ""), 1)=IF(ISBLANK(AwayMissionRewardsAll), "", COUNTIF(AwayMissionRewardsAll, "&lt;"&amp;AwayMissionRewardsAll)+1), ROW(AwayMissionRewardsAll)-MIN(ROW(AwayMissionRewardsAll))+1), 1), MATCH(MIN(IF(COUNTIF($Q$1:Q26, AwayMissionRewardsAll)+ISBLANK(AwayMissionRewardsAll)&gt;0, "", COUNTIF(AwayMissionRewardsAll, "&lt;"&amp;AwayMissionRewardsAll)+1)), INDEX(IF(ISBLANK(AwayMissionRewardsAll), "", COUNTIF(AwayMissionRewardsAll, "&lt;"&amp;AwayMissionRewardsAll)+1), SMALL(IF(SMALL(IF(COUNTIF($Q$1:Q26, AwayMissionRewardsAll)+ISBLANK(AwayMissionRewardsAll)=0, COUNTIF(AwayMissionRewardsAll, "&lt;"&amp;AwayMissionRewardsAll)+1, ""), 1)=IF(ISBLANK(AwayMissionRewardsAll), "", COUNTIF(AwayMissionRewardsAll, "&lt;"&amp;AwayMissionRewardsAll)+1), ROW(AwayMissionRewardsAll)-MIN(ROW(AwayMissionRewardsAll))+1), 1), , 1), 0), 1)</f>
        <v>G4 Common Explorer Parts</v>
      </c>
      <c r="T27" s="80" t="str">
        <f t="array" ref="T27">INDEX(AwayMissionTraitsAll, SMALL(IF(SMALL(IF(COUNTIF($T$1:T26, AwayMissionTraitsAll)+ISBLANK(AwayMissionTraitsAll)=0, COUNTIF(AwayMissionTraitsAll, "&lt;"&amp;AwayMissionTraitsAll)+1, ""), 1)=IF(ISBLANK(AwayMissionTraitsAll), "", COUNTIF(AwayMissionTraitsAll, "&lt;"&amp;AwayMissionTraitsAll)+1), ROW(AwayMissionTraitsAll)-MIN(ROW(AwayMissionTraitsAll))+1), 1), MATCH(MIN(IF(COUNTIF($T$1:T26, AwayMissionTraitsAll)+ISBLANK(AwayMissionTraitsAll)&gt;0, "", COUNTIF(AwayMissionTraitsAll, "&lt;"&amp;AwayMissionTraitsAll)+1)), INDEX(IF(ISBLANK(AwayMissionTraitsAll), "", COUNTIF(AwayMissionTraitsAll, "&lt;"&amp;AwayMissionTraitsAll)+1), SMALL(IF(SMALL(IF(COUNTIF($T$1:T26, AwayMissionTraitsAll)+ISBLANK(AwayMissionTraitsAll)=0, COUNTIF(AwayMissionTraitsAll, "&lt;"&amp;AwayMissionTraitsAll)+1, ""), 1)=IF(ISBLANK(AwayMissionTraitsAll), "", COUNTIF(AwayMissionTraitsAll, "&lt;"&amp;AwayMissionTraitsAll)+1), ROW(AwayMissionTraitsAll)-MIN(ROW(AwayMissionTraitsAll))+1), 1), , 1), 0), 1)</f>
        <v>Escape Artist</v>
      </c>
      <c r="U27" s="80">
        <f t="shared" si="0"/>
        <v>1</v>
      </c>
      <c r="V27" s="67" t="str">
        <f t="array" ref="V27">IFERROR(INDEX(AwayMissionsNames, SMALL(IF(ISNUMBER(MATCH(AwayMissionTraitsAll,'ATA Analysis'!$D$5:$D$7, 0)), MATCH(ROW(AwayMissionTraitsAll), ROW(AwayMissionTraitsAll)), ""), ROWS($A$1:A26))),"")</f>
        <v/>
      </c>
      <c r="AL27" s="80" t="str">
        <f t="array" aca="1" ref="AL27" ca="1">IFERROR(INDEX(TraitOfficers, SMALL(IF(ISNUMBER(MATCH(TraitNames,$AK$2:$AK$5, 0)), MATCH(ROW(TraitNames), ROW(TraitNames)), ""), ROWS($A$1:A26))),"")</f>
        <v/>
      </c>
      <c r="AM27" s="80" t="str">
        <f t="array" aca="1" ref="AM27" ca="1">IFERROR(INDEX(Planning1Match, MATCH(0,COUNTIF($AM$1:AM26,Planning1Match), 0))," ")</f>
        <v xml:space="preserve"> </v>
      </c>
      <c r="AO27" s="67" t="str">
        <f t="array" aca="1" ref="AO27" ca="1">IFERROR(INDEX(TraitOfficers, SMALL(IF(ISNUMBER(MATCH(TraitNames,$AN$2:$AN$5, 0)), MATCH(ROW(TraitNames), ROW(TraitNames)), ""), ROWS($A$1:A26))),"")</f>
        <v/>
      </c>
      <c r="AP27" s="80" t="str">
        <f t="array" aca="1" ref="AP27" ca="1">IFERROR(INDEX(Planning2Match, MATCH(0,COUNTIF($AP$1:AP26,Planning2Match), 0))," ")</f>
        <v xml:space="preserve"> </v>
      </c>
      <c r="AR27" s="80" t="str">
        <f t="array" aca="1" ref="AR27" ca="1">IFERROR(INDEX(TraitOfficers, SMALL(IF(ISNUMBER(MATCH(TraitNames,$AQ$2:$AQ$5, 0)), MATCH(ROW(TraitNames), ROW(TraitNames)), ""), ROWS($A$1:A26))),"")</f>
        <v/>
      </c>
      <c r="AS27" s="80" t="str">
        <f t="array" aca="1" ref="AS27" ca="1">IFERROR(INDEX(Planning3Match, MATCH(0,COUNTIF($AS$1:AS26,Planning3Match), 0))," ")</f>
        <v xml:space="preserve"> </v>
      </c>
      <c r="AU27" s="80" t="str">
        <f t="array" aca="1" ref="AU27" ca="1">IFERROR(INDEX(TraitOfficers, SMALL(IF(ISNUMBER(MATCH(TraitNames,$AT$2:$AT$5, 0)), MATCH(ROW(TraitNames), ROW(TraitNames)), ""), ROWS($A$1:A26))),"")</f>
        <v/>
      </c>
      <c r="AV27" s="80" t="str">
        <f t="array" aca="1" ref="AV27" ca="1">IFERROR(INDEX(Planning4Match, MATCH(0,COUNTIF($AV$1:AV26,Planning4Match), 0))," ")</f>
        <v xml:space="preserve"> </v>
      </c>
      <c r="AX27" s="80" t="str">
        <f t="array" aca="1" ref="AX27" ca="1">IFERROR(INDEX(TraitOfficers, SMALL(IF(ISNUMBER(MATCH(TraitNames,$AW$2:$AW$5, 0)), MATCH(ROW(TraitNames), ROW(TraitNames)), ""), ROWS($A$1:A26))),"")</f>
        <v/>
      </c>
      <c r="AY27" s="80" t="str">
        <f t="array" aca="1" ref="AY27" ca="1">IFERROR(INDEX(Planning5Match, MATCH(0,COUNTIF($AY$1:AY26,Planning5Match), 0))," ")</f>
        <v xml:space="preserve"> </v>
      </c>
      <c r="BA27" s="80" t="str">
        <f t="array" aca="1" ref="BA27" ca="1">IFERROR(INDEX(TraitOfficers, SMALL(IF(ISNUMBER(MATCH(TraitNames,$AZ$2:$AZ$5, 0)), MATCH(ROW(TraitNames), ROW(TraitNames)), ""), ROWS($A$1:A26))),"")</f>
        <v/>
      </c>
      <c r="BB27" s="80" t="str">
        <f t="array" aca="1" ref="BB27" ca="1">IFERROR(INDEX(Planning6Match, MATCH(0,COUNTIF($BB$1:BB26,Planning6Match), 0))," ")</f>
        <v xml:space="preserve"> </v>
      </c>
      <c r="BD27" s="80" t="str">
        <f t="array" aca="1" ref="BD27" ca="1">IFERROR(INDEX(TraitOfficers, SMALL(IF(ISNUMBER(MATCH(TraitNames,$BC$2:$BC$5, 0)), MATCH(ROW(TraitNames), ROW(TraitNames)), ""), ROWS($A$1:A26))),"")</f>
        <v/>
      </c>
      <c r="BE27" s="80" t="str">
        <f t="array" aca="1" ref="BE27" ca="1">IFERROR(INDEX(Planning7Match, MATCH(0,COUNTIF($BE$1:BE26,Planning7Match), 0))," ")</f>
        <v xml:space="preserve"> </v>
      </c>
      <c r="BG27" s="80" t="str">
        <f t="array" aca="1" ref="BG27" ca="1">IFERROR(INDEX(TraitOfficers, SMALL(IF(ISNUMBER(MATCH(TraitNames,$BF$2:$BF$5, 0)), MATCH(ROW(TraitNames), ROW(TraitNames)), ""), ROWS($A$1:A26))),"")</f>
        <v/>
      </c>
      <c r="BH27" s="80" t="str">
        <f t="array" aca="1" ref="BH27" ca="1">IFERROR(INDEX(Planning8Match, MATCH(0,COUNTIF($BH$1:BH26,Planning8Match), 0))," ")</f>
        <v xml:space="preserve"> </v>
      </c>
      <c r="BJ27" s="80" t="str">
        <f t="array" aca="1" ref="BJ27" ca="1">IFERROR(INDEX(TraitOfficers, SMALL(IF(ISNUMBER(MATCH(TraitNames,$BI$2:$BI$5, 0)), MATCH(ROW(TraitNames), ROW(TraitNames)), ""), ROWS($A$1:A26))),"")</f>
        <v/>
      </c>
      <c r="BK27" s="80" t="str">
        <f t="array" aca="1" ref="BK27" ca="1">IFERROR(INDEX(Planning9Match, MATCH(0,COUNTIF($BK$1:BK26,Planning9Match), 0))," ")</f>
        <v xml:space="preserve"> </v>
      </c>
      <c r="BM27" s="80" t="str">
        <f t="array" aca="1" ref="BM27" ca="1">IFERROR(INDEX(TraitOfficers, SMALL(IF(ISNUMBER(MATCH(TraitNames,$BL$2:$BL$5, 0)), MATCH(ROW(TraitNames), ROW(TraitNames)), ""), ROWS($A$1:A26))),"")</f>
        <v/>
      </c>
      <c r="BN27" s="80" t="str">
        <f t="array" aca="1" ref="BN27" ca="1">IFERROR(INDEX(Planning10Match, MATCH(0,COUNTIF($BN$1:BN26,Planning10Match), 0))," ")</f>
        <v xml:space="preserve"> </v>
      </c>
    </row>
    <row r="28" spans="1:66" x14ac:dyDescent="0.25">
      <c r="A28" s="80" t="s">
        <v>1677</v>
      </c>
      <c r="B28" s="80" t="s">
        <v>910</v>
      </c>
      <c r="C28" s="80" t="s">
        <v>111</v>
      </c>
      <c r="D28" s="80" t="s">
        <v>1437</v>
      </c>
      <c r="E28" s="80" t="s">
        <v>1398</v>
      </c>
      <c r="G28" s="80" t="s">
        <v>1438</v>
      </c>
      <c r="H28" s="80" t="s">
        <v>1439</v>
      </c>
      <c r="I28" s="80" t="s">
        <v>1408</v>
      </c>
      <c r="J28" s="80" t="s">
        <v>817</v>
      </c>
      <c r="K28" s="80" t="s">
        <v>1440</v>
      </c>
      <c r="L28" s="80" t="s">
        <v>2139</v>
      </c>
      <c r="M28" s="81">
        <v>0.2</v>
      </c>
      <c r="N28" s="529">
        <v>2.86E-2</v>
      </c>
      <c r="O28" s="80">
        <v>14</v>
      </c>
      <c r="P28" s="81">
        <v>0.6</v>
      </c>
      <c r="Q28" s="80" t="str">
        <f t="array" ref="Q28">INDEX(AwayMissionRewardsAll, SMALL(IF(SMALL(IF(COUNTIF($Q$1:Q27, AwayMissionRewardsAll)+ISBLANK(AwayMissionRewardsAll)=0, COUNTIF(AwayMissionRewardsAll, "&lt;"&amp;AwayMissionRewardsAll)+1, ""), 1)=IF(ISBLANK(AwayMissionRewardsAll), "", COUNTIF(AwayMissionRewardsAll, "&lt;"&amp;AwayMissionRewardsAll)+1), ROW(AwayMissionRewardsAll)-MIN(ROW(AwayMissionRewardsAll))+1), 1), MATCH(MIN(IF(COUNTIF($Q$1:Q27, AwayMissionRewardsAll)+ISBLANK(AwayMissionRewardsAll)&gt;0, "", COUNTIF(AwayMissionRewardsAll, "&lt;"&amp;AwayMissionRewardsAll)+1)), INDEX(IF(ISBLANK(AwayMissionRewardsAll), "", COUNTIF(AwayMissionRewardsAll, "&lt;"&amp;AwayMissionRewardsAll)+1), SMALL(IF(SMALL(IF(COUNTIF($Q$1:Q27, AwayMissionRewardsAll)+ISBLANK(AwayMissionRewardsAll)=0, COUNTIF(AwayMissionRewardsAll, "&lt;"&amp;AwayMissionRewardsAll)+1, ""), 1)=IF(ISBLANK(AwayMissionRewardsAll), "", COUNTIF(AwayMissionRewardsAll, "&lt;"&amp;AwayMissionRewardsAll)+1), ROW(AwayMissionRewardsAll)-MIN(ROW(AwayMissionRewardsAll))+1), 1), , 1), 0), 1)</f>
        <v>G4 Interceptor Parts</v>
      </c>
      <c r="T28" s="80" t="str">
        <f t="array" ref="T28">INDEX(AwayMissionTraitsAll, SMALL(IF(SMALL(IF(COUNTIF($T$1:T27, AwayMissionTraitsAll)+ISBLANK(AwayMissionTraitsAll)=0, COUNTIF(AwayMissionTraitsAll, "&lt;"&amp;AwayMissionTraitsAll)+1, ""), 1)=IF(ISBLANK(AwayMissionTraitsAll), "", COUNTIF(AwayMissionTraitsAll, "&lt;"&amp;AwayMissionTraitsAll)+1), ROW(AwayMissionTraitsAll)-MIN(ROW(AwayMissionTraitsAll))+1), 1), MATCH(MIN(IF(COUNTIF($T$1:T27, AwayMissionTraitsAll)+ISBLANK(AwayMissionTraitsAll)&gt;0, "", COUNTIF(AwayMissionTraitsAll, "&lt;"&amp;AwayMissionTraitsAll)+1)), INDEX(IF(ISBLANK(AwayMissionTraitsAll), "", COUNTIF(AwayMissionTraitsAll, "&lt;"&amp;AwayMissionTraitsAll)+1), SMALL(IF(SMALL(IF(COUNTIF($T$1:T27, AwayMissionTraitsAll)+ISBLANK(AwayMissionTraitsAll)=0, COUNTIF(AwayMissionTraitsAll, "&lt;"&amp;AwayMissionTraitsAll)+1, ""), 1)=IF(ISBLANK(AwayMissionTraitsAll), "", COUNTIF(AwayMissionTraitsAll, "&lt;"&amp;AwayMissionTraitsAll)+1), ROW(AwayMissionTraitsAll)-MIN(ROW(AwayMissionTraitsAll))+1), 1), , 1), 0), 1)</f>
        <v>Explorer</v>
      </c>
      <c r="U28" s="80">
        <f t="shared" si="0"/>
        <v>5</v>
      </c>
      <c r="V28" s="67" t="str">
        <f t="array" ref="V28">IFERROR(INDEX(AwayMissionsNames, SMALL(IF(ISNUMBER(MATCH(AwayMissionTraitsAll,'ATA Analysis'!$D$5:$D$7, 0)), MATCH(ROW(AwayMissionTraitsAll), ROW(AwayMissionTraitsAll)), ""), ROWS($A$1:A27))),"")</f>
        <v/>
      </c>
      <c r="AL28" s="80" t="str">
        <f t="array" aca="1" ref="AL28" ca="1">IFERROR(INDEX(TraitOfficers, SMALL(IF(ISNUMBER(MATCH(TraitNames,$AK$2:$AK$5, 0)), MATCH(ROW(TraitNames), ROW(TraitNames)), ""), ROWS($A$1:A27))),"")</f>
        <v/>
      </c>
      <c r="AM28" s="80" t="str">
        <f t="array" aca="1" ref="AM28" ca="1">IFERROR(INDEX(Planning1Match, MATCH(0,COUNTIF($AM$1:AM27,Planning1Match), 0))," ")</f>
        <v xml:space="preserve"> </v>
      </c>
      <c r="AO28" s="67" t="str">
        <f t="array" aca="1" ref="AO28" ca="1">IFERROR(INDEX(TraitOfficers, SMALL(IF(ISNUMBER(MATCH(TraitNames,$AN$2:$AN$5, 0)), MATCH(ROW(TraitNames), ROW(TraitNames)), ""), ROWS($A$1:A27))),"")</f>
        <v/>
      </c>
      <c r="AP28" s="80" t="str">
        <f t="array" aca="1" ref="AP28" ca="1">IFERROR(INDEX(Planning2Match, MATCH(0,COUNTIF($AP$1:AP27,Planning2Match), 0))," ")</f>
        <v xml:space="preserve"> </v>
      </c>
      <c r="AR28" s="80" t="str">
        <f t="array" aca="1" ref="AR28" ca="1">IFERROR(INDEX(TraitOfficers, SMALL(IF(ISNUMBER(MATCH(TraitNames,$AQ$2:$AQ$5, 0)), MATCH(ROW(TraitNames), ROW(TraitNames)), ""), ROWS($A$1:A27))),"")</f>
        <v/>
      </c>
      <c r="AS28" s="80" t="str">
        <f t="array" aca="1" ref="AS28" ca="1">IFERROR(INDEX(Planning3Match, MATCH(0,COUNTIF($AS$1:AS27,Planning3Match), 0))," ")</f>
        <v xml:space="preserve"> </v>
      </c>
      <c r="AU28" s="80" t="str">
        <f t="array" aca="1" ref="AU28" ca="1">IFERROR(INDEX(TraitOfficers, SMALL(IF(ISNUMBER(MATCH(TraitNames,$AT$2:$AT$5, 0)), MATCH(ROW(TraitNames), ROW(TraitNames)), ""), ROWS($A$1:A27))),"")</f>
        <v/>
      </c>
      <c r="AV28" s="80" t="str">
        <f t="array" aca="1" ref="AV28" ca="1">IFERROR(INDEX(Planning4Match, MATCH(0,COUNTIF($AV$1:AV27,Planning4Match), 0))," ")</f>
        <v xml:space="preserve"> </v>
      </c>
      <c r="AX28" s="80" t="str">
        <f t="array" aca="1" ref="AX28" ca="1">IFERROR(INDEX(TraitOfficers, SMALL(IF(ISNUMBER(MATCH(TraitNames,$AW$2:$AW$5, 0)), MATCH(ROW(TraitNames), ROW(TraitNames)), ""), ROWS($A$1:A27))),"")</f>
        <v/>
      </c>
      <c r="AY28" s="80" t="str">
        <f t="array" aca="1" ref="AY28" ca="1">IFERROR(INDEX(Planning5Match, MATCH(0,COUNTIF($AY$1:AY27,Planning5Match), 0))," ")</f>
        <v xml:space="preserve"> </v>
      </c>
      <c r="BA28" s="80" t="str">
        <f t="array" aca="1" ref="BA28" ca="1">IFERROR(INDEX(TraitOfficers, SMALL(IF(ISNUMBER(MATCH(TraitNames,$AZ$2:$AZ$5, 0)), MATCH(ROW(TraitNames), ROW(TraitNames)), ""), ROWS($A$1:A27))),"")</f>
        <v/>
      </c>
      <c r="BB28" s="80" t="str">
        <f t="array" aca="1" ref="BB28" ca="1">IFERROR(INDEX(Planning6Match, MATCH(0,COUNTIF($BB$1:BB27,Planning6Match), 0))," ")</f>
        <v xml:space="preserve"> </v>
      </c>
      <c r="BD28" s="80" t="str">
        <f t="array" aca="1" ref="BD28" ca="1">IFERROR(INDEX(TraitOfficers, SMALL(IF(ISNUMBER(MATCH(TraitNames,$BC$2:$BC$5, 0)), MATCH(ROW(TraitNames), ROW(TraitNames)), ""), ROWS($A$1:A27))),"")</f>
        <v/>
      </c>
      <c r="BE28" s="80" t="str">
        <f t="array" aca="1" ref="BE28" ca="1">IFERROR(INDEX(Planning7Match, MATCH(0,COUNTIF($BE$1:BE27,Planning7Match), 0))," ")</f>
        <v xml:space="preserve"> </v>
      </c>
      <c r="BG28" s="80" t="str">
        <f t="array" aca="1" ref="BG28" ca="1">IFERROR(INDEX(TraitOfficers, SMALL(IF(ISNUMBER(MATCH(TraitNames,$BF$2:$BF$5, 0)), MATCH(ROW(TraitNames), ROW(TraitNames)), ""), ROWS($A$1:A27))),"")</f>
        <v/>
      </c>
      <c r="BH28" s="80" t="str">
        <f t="array" aca="1" ref="BH28" ca="1">IFERROR(INDEX(Planning8Match, MATCH(0,COUNTIF($BH$1:BH27,Planning8Match), 0))," ")</f>
        <v xml:space="preserve"> </v>
      </c>
      <c r="BJ28" s="80" t="str">
        <f t="array" aca="1" ref="BJ28" ca="1">IFERROR(INDEX(TraitOfficers, SMALL(IF(ISNUMBER(MATCH(TraitNames,$BI$2:$BI$5, 0)), MATCH(ROW(TraitNames), ROW(TraitNames)), ""), ROWS($A$1:A27))),"")</f>
        <v/>
      </c>
      <c r="BK28" s="80" t="str">
        <f t="array" aca="1" ref="BK28" ca="1">IFERROR(INDEX(Planning9Match, MATCH(0,COUNTIF($BK$1:BK27,Planning9Match), 0))," ")</f>
        <v xml:space="preserve"> </v>
      </c>
      <c r="BM28" s="80" t="str">
        <f t="array" aca="1" ref="BM28" ca="1">IFERROR(INDEX(TraitOfficers, SMALL(IF(ISNUMBER(MATCH(TraitNames,$BL$2:$BL$5, 0)), MATCH(ROW(TraitNames), ROW(TraitNames)), ""), ROWS($A$1:A27))),"")</f>
        <v/>
      </c>
      <c r="BN28" s="80" t="str">
        <f t="array" aca="1" ref="BN28" ca="1">IFERROR(INDEX(Planning10Match, MATCH(0,COUNTIF($BN$1:BN27,Planning10Match), 0))," ")</f>
        <v xml:space="preserve"> </v>
      </c>
    </row>
    <row r="29" spans="1:66" x14ac:dyDescent="0.25">
      <c r="A29" s="80" t="s">
        <v>2176</v>
      </c>
      <c r="B29" s="80" t="s">
        <v>909</v>
      </c>
      <c r="C29" s="80" t="s">
        <v>112</v>
      </c>
      <c r="D29" s="80" t="s">
        <v>1435</v>
      </c>
      <c r="G29" s="80" t="s">
        <v>1586</v>
      </c>
      <c r="H29" s="80" t="s">
        <v>1414</v>
      </c>
      <c r="L29" s="80" t="s">
        <v>2138</v>
      </c>
      <c r="M29" s="81">
        <v>0.1</v>
      </c>
      <c r="N29" s="529">
        <v>0.1333</v>
      </c>
      <c r="O29" s="80">
        <v>3</v>
      </c>
      <c r="P29" s="81">
        <v>0.5</v>
      </c>
      <c r="Q29" s="80" t="str">
        <f t="array" ref="Q29">INDEX(AwayMissionRewardsAll, SMALL(IF(SMALL(IF(COUNTIF($Q$1:Q28, AwayMissionRewardsAll)+ISBLANK(AwayMissionRewardsAll)=0, COUNTIF(AwayMissionRewardsAll, "&lt;"&amp;AwayMissionRewardsAll)+1, ""), 1)=IF(ISBLANK(AwayMissionRewardsAll), "", COUNTIF(AwayMissionRewardsAll, "&lt;"&amp;AwayMissionRewardsAll)+1), ROW(AwayMissionRewardsAll)-MIN(ROW(AwayMissionRewardsAll))+1), 1), MATCH(MIN(IF(COUNTIF($Q$1:Q28, AwayMissionRewardsAll)+ISBLANK(AwayMissionRewardsAll)&gt;0, "", COUNTIF(AwayMissionRewardsAll, "&lt;"&amp;AwayMissionRewardsAll)+1)), INDEX(IF(ISBLANK(AwayMissionRewardsAll), "", COUNTIF(AwayMissionRewardsAll, "&lt;"&amp;AwayMissionRewardsAll)+1), SMALL(IF(SMALL(IF(COUNTIF($Q$1:Q28, AwayMissionRewardsAll)+ISBLANK(AwayMissionRewardsAll)=0, COUNTIF(AwayMissionRewardsAll, "&lt;"&amp;AwayMissionRewardsAll)+1, ""), 1)=IF(ISBLANK(AwayMissionRewardsAll), "", COUNTIF(AwayMissionRewardsAll, "&lt;"&amp;AwayMissionRewardsAll)+1), ROW(AwayMissionRewardsAll)-MIN(ROW(AwayMissionRewardsAll))+1), 1), , 1), 0), 1)</f>
        <v>Inert Nanoprobes</v>
      </c>
      <c r="T29" s="80" t="str">
        <f t="array" ref="T29">INDEX(AwayMissionTraitsAll, SMALL(IF(SMALL(IF(COUNTIF($T$1:T28, AwayMissionTraitsAll)+ISBLANK(AwayMissionTraitsAll)=0, COUNTIF(AwayMissionTraitsAll, "&lt;"&amp;AwayMissionTraitsAll)+1, ""), 1)=IF(ISBLANK(AwayMissionTraitsAll), "", COUNTIF(AwayMissionTraitsAll, "&lt;"&amp;AwayMissionTraitsAll)+1), ROW(AwayMissionTraitsAll)-MIN(ROW(AwayMissionTraitsAll))+1), 1), MATCH(MIN(IF(COUNTIF($T$1:T28, AwayMissionTraitsAll)+ISBLANK(AwayMissionTraitsAll)&gt;0, "", COUNTIF(AwayMissionTraitsAll, "&lt;"&amp;AwayMissionTraitsAll)+1)), INDEX(IF(ISBLANK(AwayMissionTraitsAll), "", COUNTIF(AwayMissionTraitsAll, "&lt;"&amp;AwayMissionTraitsAll)+1), SMALL(IF(SMALL(IF(COUNTIF($T$1:T28, AwayMissionTraitsAll)+ISBLANK(AwayMissionTraitsAll)=0, COUNTIF(AwayMissionTraitsAll, "&lt;"&amp;AwayMissionTraitsAll)+1, ""), 1)=IF(ISBLANK(AwayMissionTraitsAll), "", COUNTIF(AwayMissionTraitsAll, "&lt;"&amp;AwayMissionTraitsAll)+1), ROW(AwayMissionTraitsAll)-MIN(ROW(AwayMissionTraitsAll))+1), 1), , 1), 0), 1)</f>
        <v>Fluffy</v>
      </c>
      <c r="U29" s="80">
        <f t="shared" si="0"/>
        <v>1</v>
      </c>
      <c r="V29" s="67" t="str">
        <f t="array" ref="V29">IFERROR(INDEX(AwayMissionsNames, SMALL(IF(ISNUMBER(MATCH(AwayMissionTraitsAll,'ATA Analysis'!$D$5:$D$7, 0)), MATCH(ROW(AwayMissionTraitsAll), ROW(AwayMissionTraitsAll)), ""), ROWS($A$1:A28))),"")</f>
        <v/>
      </c>
      <c r="AL29" s="80" t="str">
        <f t="array" aca="1" ref="AL29" ca="1">IFERROR(INDEX(TraitOfficers, SMALL(IF(ISNUMBER(MATCH(TraitNames,$AK$2:$AK$5, 0)), MATCH(ROW(TraitNames), ROW(TraitNames)), ""), ROWS($A$1:A28))),"")</f>
        <v/>
      </c>
      <c r="AM29" s="80" t="str">
        <f t="array" aca="1" ref="AM29" ca="1">IFERROR(INDEX(Planning1Match, MATCH(0,COUNTIF($AM$1:AM28,Planning1Match), 0))," ")</f>
        <v xml:space="preserve"> </v>
      </c>
      <c r="AO29" s="67" t="str">
        <f t="array" aca="1" ref="AO29" ca="1">IFERROR(INDEX(TraitOfficers, SMALL(IF(ISNUMBER(MATCH(TraitNames,$AN$2:$AN$5, 0)), MATCH(ROW(TraitNames), ROW(TraitNames)), ""), ROWS($A$1:A28))),"")</f>
        <v/>
      </c>
      <c r="AP29" s="80" t="str">
        <f t="array" aca="1" ref="AP29" ca="1">IFERROR(INDEX(Planning2Match, MATCH(0,COUNTIF($AP$1:AP28,Planning2Match), 0))," ")</f>
        <v xml:space="preserve"> </v>
      </c>
      <c r="AR29" s="80" t="str">
        <f t="array" aca="1" ref="AR29" ca="1">IFERROR(INDEX(TraitOfficers, SMALL(IF(ISNUMBER(MATCH(TraitNames,$AQ$2:$AQ$5, 0)), MATCH(ROW(TraitNames), ROW(TraitNames)), ""), ROWS($A$1:A28))),"")</f>
        <v/>
      </c>
      <c r="AS29" s="80" t="str">
        <f t="array" aca="1" ref="AS29" ca="1">IFERROR(INDEX(Planning3Match, MATCH(0,COUNTIF($AS$1:AS28,Planning3Match), 0))," ")</f>
        <v xml:space="preserve"> </v>
      </c>
      <c r="AU29" s="80" t="str">
        <f t="array" aca="1" ref="AU29" ca="1">IFERROR(INDEX(TraitOfficers, SMALL(IF(ISNUMBER(MATCH(TraitNames,$AT$2:$AT$5, 0)), MATCH(ROW(TraitNames), ROW(TraitNames)), ""), ROWS($A$1:A28))),"")</f>
        <v/>
      </c>
      <c r="AV29" s="80" t="str">
        <f t="array" aca="1" ref="AV29" ca="1">IFERROR(INDEX(Planning4Match, MATCH(0,COUNTIF($AV$1:AV28,Planning4Match), 0))," ")</f>
        <v xml:space="preserve"> </v>
      </c>
      <c r="AX29" s="80" t="str">
        <f t="array" aca="1" ref="AX29" ca="1">IFERROR(INDEX(TraitOfficers, SMALL(IF(ISNUMBER(MATCH(TraitNames,$AW$2:$AW$5, 0)), MATCH(ROW(TraitNames), ROW(TraitNames)), ""), ROWS($A$1:A28))),"")</f>
        <v/>
      </c>
      <c r="AY29" s="80" t="str">
        <f t="array" aca="1" ref="AY29" ca="1">IFERROR(INDEX(Planning5Match, MATCH(0,COUNTIF($AY$1:AY28,Planning5Match), 0))," ")</f>
        <v xml:space="preserve"> </v>
      </c>
      <c r="BA29" s="80" t="str">
        <f t="array" aca="1" ref="BA29" ca="1">IFERROR(INDEX(TraitOfficers, SMALL(IF(ISNUMBER(MATCH(TraitNames,$AZ$2:$AZ$5, 0)), MATCH(ROW(TraitNames), ROW(TraitNames)), ""), ROWS($A$1:A28))),"")</f>
        <v/>
      </c>
      <c r="BB29" s="80" t="str">
        <f t="array" aca="1" ref="BB29" ca="1">IFERROR(INDEX(Planning6Match, MATCH(0,COUNTIF($BB$1:BB28,Planning6Match), 0))," ")</f>
        <v xml:space="preserve"> </v>
      </c>
      <c r="BD29" s="80" t="str">
        <f t="array" aca="1" ref="BD29" ca="1">IFERROR(INDEX(TraitOfficers, SMALL(IF(ISNUMBER(MATCH(TraitNames,$BC$2:$BC$5, 0)), MATCH(ROW(TraitNames), ROW(TraitNames)), ""), ROWS($A$1:A28))),"")</f>
        <v/>
      </c>
      <c r="BE29" s="80" t="str">
        <f t="array" aca="1" ref="BE29" ca="1">IFERROR(INDEX(Planning7Match, MATCH(0,COUNTIF($BE$1:BE28,Planning7Match), 0))," ")</f>
        <v xml:space="preserve"> </v>
      </c>
      <c r="BG29" s="80" t="str">
        <f t="array" aca="1" ref="BG29" ca="1">IFERROR(INDEX(TraitOfficers, SMALL(IF(ISNUMBER(MATCH(TraitNames,$BF$2:$BF$5, 0)), MATCH(ROW(TraitNames), ROW(TraitNames)), ""), ROWS($A$1:A28))),"")</f>
        <v/>
      </c>
      <c r="BH29" s="80" t="str">
        <f t="array" aca="1" ref="BH29" ca="1">IFERROR(INDEX(Planning8Match, MATCH(0,COUNTIF($BH$1:BH28,Planning8Match), 0))," ")</f>
        <v xml:space="preserve"> </v>
      </c>
      <c r="BJ29" s="80" t="str">
        <f t="array" aca="1" ref="BJ29" ca="1">IFERROR(INDEX(TraitOfficers, SMALL(IF(ISNUMBER(MATCH(TraitNames,$BI$2:$BI$5, 0)), MATCH(ROW(TraitNames), ROW(TraitNames)), ""), ROWS($A$1:A28))),"")</f>
        <v/>
      </c>
      <c r="BK29" s="80" t="str">
        <f t="array" aca="1" ref="BK29" ca="1">IFERROR(INDEX(Planning9Match, MATCH(0,COUNTIF($BK$1:BK28,Planning9Match), 0))," ")</f>
        <v xml:space="preserve"> </v>
      </c>
      <c r="BM29" s="80" t="str">
        <f t="array" aca="1" ref="BM29" ca="1">IFERROR(INDEX(TraitOfficers, SMALL(IF(ISNUMBER(MATCH(TraitNames,$BL$2:$BL$5, 0)), MATCH(ROW(TraitNames), ROW(TraitNames)), ""), ROWS($A$1:A28))),"")</f>
        <v/>
      </c>
      <c r="BN29" s="80" t="str">
        <f t="array" aca="1" ref="BN29" ca="1">IFERROR(INDEX(Planning10Match, MATCH(0,COUNTIF($BN$1:BN28,Planning10Match), 0))," ")</f>
        <v xml:space="preserve"> </v>
      </c>
    </row>
    <row r="30" spans="1:66" x14ac:dyDescent="0.25">
      <c r="A30" s="80" t="s">
        <v>1678</v>
      </c>
      <c r="B30" s="80" t="s">
        <v>910</v>
      </c>
      <c r="C30" s="80" t="s">
        <v>112</v>
      </c>
      <c r="D30" s="80" t="s">
        <v>1398</v>
      </c>
      <c r="G30" s="80" t="s">
        <v>1398</v>
      </c>
      <c r="H30" s="80" t="s">
        <v>1400</v>
      </c>
      <c r="I30" s="80" t="s">
        <v>1401</v>
      </c>
      <c r="J30" s="80" t="s">
        <v>1402</v>
      </c>
      <c r="K30" s="80" t="s">
        <v>1403</v>
      </c>
      <c r="L30" s="80" t="s">
        <v>2134</v>
      </c>
      <c r="M30" s="81">
        <v>0.05</v>
      </c>
      <c r="N30" s="529">
        <v>5.7700000000000001E-2</v>
      </c>
      <c r="O30" s="80">
        <v>13</v>
      </c>
      <c r="P30" s="81">
        <v>0.8</v>
      </c>
      <c r="Q30" s="80" t="str">
        <f t="array" ref="Q30">INDEX(AwayMissionRewardsAll, SMALL(IF(SMALL(IF(COUNTIF($Q$1:Q29, AwayMissionRewardsAll)+ISBLANK(AwayMissionRewardsAll)=0, COUNTIF(AwayMissionRewardsAll, "&lt;"&amp;AwayMissionRewardsAll)+1, ""), 1)=IF(ISBLANK(AwayMissionRewardsAll), "", COUNTIF(AwayMissionRewardsAll, "&lt;"&amp;AwayMissionRewardsAll)+1), ROW(AwayMissionRewardsAll)-MIN(ROW(AwayMissionRewardsAll))+1), 1), MATCH(MIN(IF(COUNTIF($Q$1:Q29, AwayMissionRewardsAll)+ISBLANK(AwayMissionRewardsAll)&gt;0, "", COUNTIF(AwayMissionRewardsAll, "&lt;"&amp;AwayMissionRewardsAll)+1)), INDEX(IF(ISBLANK(AwayMissionRewardsAll), "", COUNTIF(AwayMissionRewardsAll, "&lt;"&amp;AwayMissionRewardsAll)+1), SMALL(IF(SMALL(IF(COUNTIF($Q$1:Q29, AwayMissionRewardsAll)+ISBLANK(AwayMissionRewardsAll)=0, COUNTIF(AwayMissionRewardsAll, "&lt;"&amp;AwayMissionRewardsAll)+1, ""), 1)=IF(ISBLANK(AwayMissionRewardsAll), "", COUNTIF(AwayMissionRewardsAll, "&lt;"&amp;AwayMissionRewardsAll)+1), ROW(AwayMissionRewardsAll)-MIN(ROW(AwayMissionRewardsAll))+1), 1), , 1), 0), 1)</f>
        <v>Klingon Credits</v>
      </c>
      <c r="T30" s="80" t="str">
        <f t="array" ref="T30">INDEX(AwayMissionTraitsAll, SMALL(IF(SMALL(IF(COUNTIF($T$1:T29, AwayMissionTraitsAll)+ISBLANK(AwayMissionTraitsAll)=0, COUNTIF(AwayMissionTraitsAll, "&lt;"&amp;AwayMissionTraitsAll)+1, ""), 1)=IF(ISBLANK(AwayMissionTraitsAll), "", COUNTIF(AwayMissionTraitsAll, "&lt;"&amp;AwayMissionTraitsAll)+1), ROW(AwayMissionTraitsAll)-MIN(ROW(AwayMissionTraitsAll))+1), 1), MATCH(MIN(IF(COUNTIF($T$1:T29, AwayMissionTraitsAll)+ISBLANK(AwayMissionTraitsAll)&gt;0, "", COUNTIF(AwayMissionTraitsAll, "&lt;"&amp;AwayMissionTraitsAll)+1)), INDEX(IF(ISBLANK(AwayMissionTraitsAll), "", COUNTIF(AwayMissionTraitsAll, "&lt;"&amp;AwayMissionTraitsAll)+1), SMALL(IF(SMALL(IF(COUNTIF($T$1:T29, AwayMissionTraitsAll)+ISBLANK(AwayMissionTraitsAll)=0, COUNTIF(AwayMissionTraitsAll, "&lt;"&amp;AwayMissionTraitsAll)+1, ""), 1)=IF(ISBLANK(AwayMissionTraitsAll), "", COUNTIF(AwayMissionTraitsAll, "&lt;"&amp;AwayMissionTraitsAll)+1), ROW(AwayMissionTraitsAll)-MIN(ROW(AwayMissionTraitsAll))+1), 1), , 1), 0), 1)</f>
        <v>Focused</v>
      </c>
      <c r="U30" s="80">
        <f t="shared" si="0"/>
        <v>4</v>
      </c>
      <c r="V30" s="67" t="str">
        <f t="array" ref="V30">IFERROR(INDEX(AwayMissionsNames, SMALL(IF(ISNUMBER(MATCH(AwayMissionTraitsAll,'ATA Analysis'!$D$5:$D$7, 0)), MATCH(ROW(AwayMissionTraitsAll), ROW(AwayMissionTraitsAll)), ""), ROWS($A$1:A29))),"")</f>
        <v/>
      </c>
      <c r="AL30" s="80" t="str">
        <f t="array" aca="1" ref="AL30" ca="1">IFERROR(INDEX(TraitOfficers, SMALL(IF(ISNUMBER(MATCH(TraitNames,$AK$2:$AK$5, 0)), MATCH(ROW(TraitNames), ROW(TraitNames)), ""), ROWS($A$1:A29))),"")</f>
        <v/>
      </c>
      <c r="AM30" s="80" t="str">
        <f t="array" aca="1" ref="AM30" ca="1">IFERROR(INDEX(Planning1Match, MATCH(0,COUNTIF($AM$1:AM29,Planning1Match), 0))," ")</f>
        <v xml:space="preserve"> </v>
      </c>
      <c r="AO30" s="67" t="str">
        <f t="array" aca="1" ref="AO30" ca="1">IFERROR(INDEX(TraitOfficers, SMALL(IF(ISNUMBER(MATCH(TraitNames,$AN$2:$AN$5, 0)), MATCH(ROW(TraitNames), ROW(TraitNames)), ""), ROWS($A$1:A29))),"")</f>
        <v/>
      </c>
      <c r="AP30" s="80" t="str">
        <f t="array" aca="1" ref="AP30" ca="1">IFERROR(INDEX(Planning2Match, MATCH(0,COUNTIF($AP$1:AP29,Planning2Match), 0))," ")</f>
        <v xml:space="preserve"> </v>
      </c>
      <c r="AR30" s="80" t="str">
        <f t="array" aca="1" ref="AR30" ca="1">IFERROR(INDEX(TraitOfficers, SMALL(IF(ISNUMBER(MATCH(TraitNames,$AQ$2:$AQ$5, 0)), MATCH(ROW(TraitNames), ROW(TraitNames)), ""), ROWS($A$1:A29))),"")</f>
        <v/>
      </c>
      <c r="AS30" s="80" t="str">
        <f t="array" aca="1" ref="AS30" ca="1">IFERROR(INDEX(Planning3Match, MATCH(0,COUNTIF($AS$1:AS29,Planning3Match), 0))," ")</f>
        <v xml:space="preserve"> </v>
      </c>
      <c r="AU30" s="80" t="str">
        <f t="array" aca="1" ref="AU30" ca="1">IFERROR(INDEX(TraitOfficers, SMALL(IF(ISNUMBER(MATCH(TraitNames,$AT$2:$AT$5, 0)), MATCH(ROW(TraitNames), ROW(TraitNames)), ""), ROWS($A$1:A29))),"")</f>
        <v/>
      </c>
      <c r="AV30" s="80" t="str">
        <f t="array" aca="1" ref="AV30" ca="1">IFERROR(INDEX(Planning4Match, MATCH(0,COUNTIF($AV$1:AV29,Planning4Match), 0))," ")</f>
        <v xml:space="preserve"> </v>
      </c>
      <c r="AX30" s="80" t="str">
        <f t="array" aca="1" ref="AX30" ca="1">IFERROR(INDEX(TraitOfficers, SMALL(IF(ISNUMBER(MATCH(TraitNames,$AW$2:$AW$5, 0)), MATCH(ROW(TraitNames), ROW(TraitNames)), ""), ROWS($A$1:A29))),"")</f>
        <v/>
      </c>
      <c r="AY30" s="80" t="str">
        <f t="array" aca="1" ref="AY30" ca="1">IFERROR(INDEX(Planning5Match, MATCH(0,COUNTIF($AY$1:AY29,Planning5Match), 0))," ")</f>
        <v xml:space="preserve"> </v>
      </c>
      <c r="BA30" s="80" t="str">
        <f t="array" aca="1" ref="BA30" ca="1">IFERROR(INDEX(TraitOfficers, SMALL(IF(ISNUMBER(MATCH(TraitNames,$AZ$2:$AZ$5, 0)), MATCH(ROW(TraitNames), ROW(TraitNames)), ""), ROWS($A$1:A29))),"")</f>
        <v/>
      </c>
      <c r="BB30" s="80" t="str">
        <f t="array" aca="1" ref="BB30" ca="1">IFERROR(INDEX(Planning6Match, MATCH(0,COUNTIF($BB$1:BB29,Planning6Match), 0))," ")</f>
        <v xml:space="preserve"> </v>
      </c>
      <c r="BD30" s="80" t="str">
        <f t="array" aca="1" ref="BD30" ca="1">IFERROR(INDEX(TraitOfficers, SMALL(IF(ISNUMBER(MATCH(TraitNames,$BC$2:$BC$5, 0)), MATCH(ROW(TraitNames), ROW(TraitNames)), ""), ROWS($A$1:A29))),"")</f>
        <v/>
      </c>
      <c r="BE30" s="80" t="str">
        <f t="array" aca="1" ref="BE30" ca="1">IFERROR(INDEX(Planning7Match, MATCH(0,COUNTIF($BE$1:BE29,Planning7Match), 0))," ")</f>
        <v xml:space="preserve"> </v>
      </c>
      <c r="BG30" s="80" t="str">
        <f t="array" aca="1" ref="BG30" ca="1">IFERROR(INDEX(TraitOfficers, SMALL(IF(ISNUMBER(MATCH(TraitNames,$BF$2:$BF$5, 0)), MATCH(ROW(TraitNames), ROW(TraitNames)), ""), ROWS($A$1:A29))),"")</f>
        <v/>
      </c>
      <c r="BH30" s="80" t="str">
        <f t="array" aca="1" ref="BH30" ca="1">IFERROR(INDEX(Planning8Match, MATCH(0,COUNTIF($BH$1:BH29,Planning8Match), 0))," ")</f>
        <v xml:space="preserve"> </v>
      </c>
      <c r="BJ30" s="80" t="str">
        <f t="array" aca="1" ref="BJ30" ca="1">IFERROR(INDEX(TraitOfficers, SMALL(IF(ISNUMBER(MATCH(TraitNames,$BI$2:$BI$5, 0)), MATCH(ROW(TraitNames), ROW(TraitNames)), ""), ROWS($A$1:A29))),"")</f>
        <v/>
      </c>
      <c r="BK30" s="80" t="str">
        <f t="array" aca="1" ref="BK30" ca="1">IFERROR(INDEX(Planning9Match, MATCH(0,COUNTIF($BK$1:BK29,Planning9Match), 0))," ")</f>
        <v xml:space="preserve"> </v>
      </c>
      <c r="BM30" s="80" t="str">
        <f t="array" aca="1" ref="BM30" ca="1">IFERROR(INDEX(TraitOfficers, SMALL(IF(ISNUMBER(MATCH(TraitNames,$BL$2:$BL$5, 0)), MATCH(ROW(TraitNames), ROW(TraitNames)), ""), ROWS($A$1:A29))),"")</f>
        <v/>
      </c>
      <c r="BN30" s="80" t="str">
        <f t="array" aca="1" ref="BN30" ca="1">IFERROR(INDEX(Planning10Match, MATCH(0,COUNTIF($BN$1:BN29,Planning10Match), 0))," ")</f>
        <v xml:space="preserve"> </v>
      </c>
    </row>
    <row r="31" spans="1:66" x14ac:dyDescent="0.25">
      <c r="A31" s="80" t="s">
        <v>1679</v>
      </c>
      <c r="B31" s="80" t="s">
        <v>910</v>
      </c>
      <c r="C31" s="80" t="s">
        <v>112</v>
      </c>
      <c r="D31" s="80" t="s">
        <v>1680</v>
      </c>
      <c r="E31" s="80" t="s">
        <v>1398</v>
      </c>
      <c r="G31" s="80" t="s">
        <v>1681</v>
      </c>
      <c r="H31" s="80" t="s">
        <v>1400</v>
      </c>
      <c r="I31" s="80" t="s">
        <v>1401</v>
      </c>
      <c r="J31" s="80" t="s">
        <v>1402</v>
      </c>
      <c r="K31" s="80" t="s">
        <v>1403</v>
      </c>
      <c r="L31" s="80" t="s">
        <v>2124</v>
      </c>
      <c r="M31" s="81">
        <v>0.25</v>
      </c>
      <c r="N31" s="529">
        <v>3.85E-2</v>
      </c>
      <c r="O31" s="80">
        <v>13</v>
      </c>
      <c r="P31" s="81">
        <v>0.75</v>
      </c>
      <c r="Q31" s="80" t="str">
        <f t="array" ref="Q31">INDEX(AwayMissionRewardsAll, SMALL(IF(SMALL(IF(COUNTIF($Q$1:Q30, AwayMissionRewardsAll)+ISBLANK(AwayMissionRewardsAll)=0, COUNTIF(AwayMissionRewardsAll, "&lt;"&amp;AwayMissionRewardsAll)+1, ""), 1)=IF(ISBLANK(AwayMissionRewardsAll), "", COUNTIF(AwayMissionRewardsAll, "&lt;"&amp;AwayMissionRewardsAll)+1), ROW(AwayMissionRewardsAll)-MIN(ROW(AwayMissionRewardsAll))+1), 1), MATCH(MIN(IF(COUNTIF($Q$1:Q30, AwayMissionRewardsAll)+ISBLANK(AwayMissionRewardsAll)&gt;0, "", COUNTIF(AwayMissionRewardsAll, "&lt;"&amp;AwayMissionRewardsAll)+1)), INDEX(IF(ISBLANK(AwayMissionRewardsAll), "", COUNTIF(AwayMissionRewardsAll, "&lt;"&amp;AwayMissionRewardsAll)+1), SMALL(IF(SMALL(IF(COUNTIF($Q$1:Q30, AwayMissionRewardsAll)+ISBLANK(AwayMissionRewardsAll)=0, COUNTIF(AwayMissionRewardsAll, "&lt;"&amp;AwayMissionRewardsAll)+1, ""), 1)=IF(ISBLANK(AwayMissionRewardsAll), "", COUNTIF(AwayMissionRewardsAll, "&lt;"&amp;AwayMissionRewardsAll)+1), ROW(AwayMissionRewardsAll)-MIN(ROW(AwayMissionRewardsAll))+1), 1), , 1), 0), 1)</f>
        <v>Klingon G3 Ship BPs</v>
      </c>
      <c r="T31" s="80" t="str">
        <f t="array" ref="T31">INDEX(AwayMissionTraitsAll, SMALL(IF(SMALL(IF(COUNTIF($T$1:T30, AwayMissionTraitsAll)+ISBLANK(AwayMissionTraitsAll)=0, COUNTIF(AwayMissionTraitsAll, "&lt;"&amp;AwayMissionTraitsAll)+1, ""), 1)=IF(ISBLANK(AwayMissionTraitsAll), "", COUNTIF(AwayMissionTraitsAll, "&lt;"&amp;AwayMissionTraitsAll)+1), ROW(AwayMissionTraitsAll)-MIN(ROW(AwayMissionTraitsAll))+1), 1), MATCH(MIN(IF(COUNTIF($T$1:T30, AwayMissionTraitsAll)+ISBLANK(AwayMissionTraitsAll)&gt;0, "", COUNTIF(AwayMissionTraitsAll, "&lt;"&amp;AwayMissionTraitsAll)+1)), INDEX(IF(ISBLANK(AwayMissionTraitsAll), "", COUNTIF(AwayMissionTraitsAll, "&lt;"&amp;AwayMissionTraitsAll)+1), SMALL(IF(SMALL(IF(COUNTIF($T$1:T30, AwayMissionTraitsAll)+ISBLANK(AwayMissionTraitsAll)=0, COUNTIF(AwayMissionTraitsAll, "&lt;"&amp;AwayMissionTraitsAll)+1, ""), 1)=IF(ISBLANK(AwayMissionTraitsAll), "", COUNTIF(AwayMissionTraitsAll, "&lt;"&amp;AwayMissionTraitsAll)+1), ROW(AwayMissionTraitsAll)-MIN(ROW(AwayMissionTraitsAll))+1), 1), , 1), 0), 1)</f>
        <v>Genius</v>
      </c>
      <c r="U31" s="80">
        <f t="shared" si="0"/>
        <v>7</v>
      </c>
      <c r="V31" s="67" t="str">
        <f t="array" ref="V31">IFERROR(INDEX(AwayMissionsNames, SMALL(IF(ISNUMBER(MATCH(AwayMissionTraitsAll,'ATA Analysis'!$D$5:$D$7, 0)), MATCH(ROW(AwayMissionTraitsAll), ROW(AwayMissionTraitsAll)), ""), ROWS($A$1:A30))),"")</f>
        <v/>
      </c>
      <c r="AL31" s="80" t="str">
        <f t="array" aca="1" ref="AL31" ca="1">IFERROR(INDEX(TraitOfficers, SMALL(IF(ISNUMBER(MATCH(TraitNames,$AK$2:$AK$5, 0)), MATCH(ROW(TraitNames), ROW(TraitNames)), ""), ROWS($A$1:A30))),"")</f>
        <v/>
      </c>
      <c r="AM31" s="80" t="str">
        <f t="array" aca="1" ref="AM31" ca="1">IFERROR(INDEX(Planning1Match, MATCH(0,COUNTIF($AM$1:AM30,Planning1Match), 0))," ")</f>
        <v xml:space="preserve"> </v>
      </c>
      <c r="AO31" s="67" t="str">
        <f t="array" aca="1" ref="AO31" ca="1">IFERROR(INDEX(TraitOfficers, SMALL(IF(ISNUMBER(MATCH(TraitNames,$AN$2:$AN$5, 0)), MATCH(ROW(TraitNames), ROW(TraitNames)), ""), ROWS($A$1:A30))),"")</f>
        <v/>
      </c>
      <c r="AP31" s="80" t="str">
        <f t="array" aca="1" ref="AP31" ca="1">IFERROR(INDEX(Planning2Match, MATCH(0,COUNTIF($AP$1:AP30,Planning2Match), 0))," ")</f>
        <v xml:space="preserve"> </v>
      </c>
      <c r="AR31" s="80" t="str">
        <f t="array" aca="1" ref="AR31" ca="1">IFERROR(INDEX(TraitOfficers, SMALL(IF(ISNUMBER(MATCH(TraitNames,$AQ$2:$AQ$5, 0)), MATCH(ROW(TraitNames), ROW(TraitNames)), ""), ROWS($A$1:A30))),"")</f>
        <v/>
      </c>
      <c r="AS31" s="80" t="str">
        <f t="array" aca="1" ref="AS31" ca="1">IFERROR(INDEX(Planning3Match, MATCH(0,COUNTIF($AS$1:AS30,Planning3Match), 0))," ")</f>
        <v xml:space="preserve"> </v>
      </c>
      <c r="AU31" s="80" t="str">
        <f t="array" aca="1" ref="AU31" ca="1">IFERROR(INDEX(TraitOfficers, SMALL(IF(ISNUMBER(MATCH(TraitNames,$AT$2:$AT$5, 0)), MATCH(ROW(TraitNames), ROW(TraitNames)), ""), ROWS($A$1:A30))),"")</f>
        <v/>
      </c>
      <c r="AV31" s="80" t="str">
        <f t="array" aca="1" ref="AV31" ca="1">IFERROR(INDEX(Planning4Match, MATCH(0,COUNTIF($AV$1:AV30,Planning4Match), 0))," ")</f>
        <v xml:space="preserve"> </v>
      </c>
      <c r="AX31" s="80" t="str">
        <f t="array" aca="1" ref="AX31" ca="1">IFERROR(INDEX(TraitOfficers, SMALL(IF(ISNUMBER(MATCH(TraitNames,$AW$2:$AW$5, 0)), MATCH(ROW(TraitNames), ROW(TraitNames)), ""), ROWS($A$1:A30))),"")</f>
        <v/>
      </c>
      <c r="AY31" s="80" t="str">
        <f t="array" aca="1" ref="AY31" ca="1">IFERROR(INDEX(Planning5Match, MATCH(0,COUNTIF($AY$1:AY30,Planning5Match), 0))," ")</f>
        <v xml:space="preserve"> </v>
      </c>
      <c r="BA31" s="80" t="str">
        <f t="array" aca="1" ref="BA31" ca="1">IFERROR(INDEX(TraitOfficers, SMALL(IF(ISNUMBER(MATCH(TraitNames,$AZ$2:$AZ$5, 0)), MATCH(ROW(TraitNames), ROW(TraitNames)), ""), ROWS($A$1:A30))),"")</f>
        <v/>
      </c>
      <c r="BB31" s="80" t="str">
        <f t="array" aca="1" ref="BB31" ca="1">IFERROR(INDEX(Planning6Match, MATCH(0,COUNTIF($BB$1:BB30,Planning6Match), 0))," ")</f>
        <v xml:space="preserve"> </v>
      </c>
      <c r="BD31" s="80" t="str">
        <f t="array" aca="1" ref="BD31" ca="1">IFERROR(INDEX(TraitOfficers, SMALL(IF(ISNUMBER(MATCH(TraitNames,$BC$2:$BC$5, 0)), MATCH(ROW(TraitNames), ROW(TraitNames)), ""), ROWS($A$1:A30))),"")</f>
        <v/>
      </c>
      <c r="BE31" s="80" t="str">
        <f t="array" aca="1" ref="BE31" ca="1">IFERROR(INDEX(Planning7Match, MATCH(0,COUNTIF($BE$1:BE30,Planning7Match), 0))," ")</f>
        <v xml:space="preserve"> </v>
      </c>
      <c r="BG31" s="80" t="str">
        <f t="array" aca="1" ref="BG31" ca="1">IFERROR(INDEX(TraitOfficers, SMALL(IF(ISNUMBER(MATCH(TraitNames,$BF$2:$BF$5, 0)), MATCH(ROW(TraitNames), ROW(TraitNames)), ""), ROWS($A$1:A30))),"")</f>
        <v/>
      </c>
      <c r="BH31" s="80" t="str">
        <f t="array" aca="1" ref="BH31" ca="1">IFERROR(INDEX(Planning8Match, MATCH(0,COUNTIF($BH$1:BH30,Planning8Match), 0))," ")</f>
        <v xml:space="preserve"> </v>
      </c>
      <c r="BJ31" s="80" t="str">
        <f t="array" aca="1" ref="BJ31" ca="1">IFERROR(INDEX(TraitOfficers, SMALL(IF(ISNUMBER(MATCH(TraitNames,$BI$2:$BI$5, 0)), MATCH(ROW(TraitNames), ROW(TraitNames)), ""), ROWS($A$1:A30))),"")</f>
        <v/>
      </c>
      <c r="BK31" s="80" t="str">
        <f t="array" aca="1" ref="BK31" ca="1">IFERROR(INDEX(Planning9Match, MATCH(0,COUNTIF($BK$1:BK30,Planning9Match), 0))," ")</f>
        <v xml:space="preserve"> </v>
      </c>
      <c r="BM31" s="80" t="str">
        <f t="array" aca="1" ref="BM31" ca="1">IFERROR(INDEX(TraitOfficers, SMALL(IF(ISNUMBER(MATCH(TraitNames,$BL$2:$BL$5, 0)), MATCH(ROW(TraitNames), ROW(TraitNames)), ""), ROWS($A$1:A30))),"")</f>
        <v/>
      </c>
      <c r="BN31" s="80" t="str">
        <f t="array" aca="1" ref="BN31" ca="1">IFERROR(INDEX(Planning10Match, MATCH(0,COUNTIF($BN$1:BN30,Planning10Match), 0))," ")</f>
        <v xml:space="preserve"> </v>
      </c>
    </row>
    <row r="32" spans="1:66" x14ac:dyDescent="0.25">
      <c r="A32" s="80" t="s">
        <v>1682</v>
      </c>
      <c r="B32" s="80" t="s">
        <v>910</v>
      </c>
      <c r="C32" s="80" t="s">
        <v>112</v>
      </c>
      <c r="D32" s="80" t="s">
        <v>1683</v>
      </c>
      <c r="E32" s="80" t="s">
        <v>1398</v>
      </c>
      <c r="G32" s="80" t="s">
        <v>1684</v>
      </c>
      <c r="H32" s="80" t="s">
        <v>1400</v>
      </c>
      <c r="I32" s="80" t="s">
        <v>1401</v>
      </c>
      <c r="J32" s="80" t="s">
        <v>1402</v>
      </c>
      <c r="K32" s="80" t="s">
        <v>1403</v>
      </c>
      <c r="L32" s="80" t="s">
        <v>2117</v>
      </c>
      <c r="M32" s="81">
        <v>0.25</v>
      </c>
      <c r="N32" s="529">
        <v>3.85E-2</v>
      </c>
      <c r="O32" s="80">
        <v>13</v>
      </c>
      <c r="P32" s="81">
        <v>0.75</v>
      </c>
      <c r="Q32" s="80" t="str">
        <f t="array" ref="Q32">INDEX(AwayMissionRewardsAll, SMALL(IF(SMALL(IF(COUNTIF($Q$1:Q31, AwayMissionRewardsAll)+ISBLANK(AwayMissionRewardsAll)=0, COUNTIF(AwayMissionRewardsAll, "&lt;"&amp;AwayMissionRewardsAll)+1, ""), 1)=IF(ISBLANK(AwayMissionRewardsAll), "", COUNTIF(AwayMissionRewardsAll, "&lt;"&amp;AwayMissionRewardsAll)+1), ROW(AwayMissionRewardsAll)-MIN(ROW(AwayMissionRewardsAll))+1), 1), MATCH(MIN(IF(COUNTIF($Q$1:Q31, AwayMissionRewardsAll)+ISBLANK(AwayMissionRewardsAll)&gt;0, "", COUNTIF(AwayMissionRewardsAll, "&lt;"&amp;AwayMissionRewardsAll)+1)), INDEX(IF(ISBLANK(AwayMissionRewardsAll), "", COUNTIF(AwayMissionRewardsAll, "&lt;"&amp;AwayMissionRewardsAll)+1), SMALL(IF(SMALL(IF(COUNTIF($Q$1:Q31, AwayMissionRewardsAll)+ISBLANK(AwayMissionRewardsAll)=0, COUNTIF(AwayMissionRewardsAll, "&lt;"&amp;AwayMissionRewardsAll)+1, ""), 1)=IF(ISBLANK(AwayMissionRewardsAll), "", COUNTIF(AwayMissionRewardsAll, "&lt;"&amp;AwayMissionRewardsAll)+1), ROW(AwayMissionRewardsAll)-MIN(ROW(AwayMissionRewardsAll))+1), 1), , 1), 0), 1)</f>
        <v>Klingon Rep</v>
      </c>
      <c r="T32" s="80" t="str">
        <f t="array" ref="T32">INDEX(AwayMissionTraitsAll, SMALL(IF(SMALL(IF(COUNTIF($T$1:T31, AwayMissionTraitsAll)+ISBLANK(AwayMissionTraitsAll)=0, COUNTIF(AwayMissionTraitsAll, "&lt;"&amp;AwayMissionTraitsAll)+1, ""), 1)=IF(ISBLANK(AwayMissionTraitsAll), "", COUNTIF(AwayMissionTraitsAll, "&lt;"&amp;AwayMissionTraitsAll)+1), ROW(AwayMissionTraitsAll)-MIN(ROW(AwayMissionTraitsAll))+1), 1), MATCH(MIN(IF(COUNTIF($T$1:T31, AwayMissionTraitsAll)+ISBLANK(AwayMissionTraitsAll)&gt;0, "", COUNTIF(AwayMissionTraitsAll, "&lt;"&amp;AwayMissionTraitsAll)+1)), INDEX(IF(ISBLANK(AwayMissionTraitsAll), "", COUNTIF(AwayMissionTraitsAll, "&lt;"&amp;AwayMissionTraitsAll)+1), SMALL(IF(SMALL(IF(COUNTIF($T$1:T31, AwayMissionTraitsAll)+ISBLANK(AwayMissionTraitsAll)=0, COUNTIF(AwayMissionTraitsAll, "&lt;"&amp;AwayMissionTraitsAll)+1, ""), 1)=IF(ISBLANK(AwayMissionTraitsAll), "", COUNTIF(AwayMissionTraitsAll, "&lt;"&amp;AwayMissionTraitsAll)+1), ROW(AwayMissionTraitsAll)-MIN(ROW(AwayMissionTraitsAll))+1), 1), , 1), 0), 1)</f>
        <v>Impulsive</v>
      </c>
      <c r="U32" s="80">
        <f t="shared" si="0"/>
        <v>2</v>
      </c>
      <c r="V32" s="67" t="str">
        <f t="array" ref="V32">IFERROR(INDEX(AwayMissionsNames, SMALL(IF(ISNUMBER(MATCH(AwayMissionTraitsAll,'ATA Analysis'!$D$5:$D$7, 0)), MATCH(ROW(AwayMissionTraitsAll), ROW(AwayMissionTraitsAll)), ""), ROWS($A$1:A31))),"")</f>
        <v/>
      </c>
      <c r="AL32" s="80" t="str">
        <f t="array" aca="1" ref="AL32" ca="1">IFERROR(INDEX(TraitOfficers, SMALL(IF(ISNUMBER(MATCH(TraitNames,$AK$2:$AK$5, 0)), MATCH(ROW(TraitNames), ROW(TraitNames)), ""), ROWS($A$1:A31))),"")</f>
        <v/>
      </c>
      <c r="AM32" s="80" t="str">
        <f t="array" aca="1" ref="AM32" ca="1">IFERROR(INDEX(Planning1Match, MATCH(0,COUNTIF($AM$1:AM31,Planning1Match), 0))," ")</f>
        <v xml:space="preserve"> </v>
      </c>
      <c r="AO32" s="67" t="str">
        <f t="array" aca="1" ref="AO32" ca="1">IFERROR(INDEX(TraitOfficers, SMALL(IF(ISNUMBER(MATCH(TraitNames,$AN$2:$AN$5, 0)), MATCH(ROW(TraitNames), ROW(TraitNames)), ""), ROWS($A$1:A31))),"")</f>
        <v/>
      </c>
      <c r="AP32" s="80" t="str">
        <f t="array" aca="1" ref="AP32" ca="1">IFERROR(INDEX(Planning2Match, MATCH(0,COUNTIF($AP$1:AP31,Planning2Match), 0))," ")</f>
        <v xml:space="preserve"> </v>
      </c>
      <c r="AR32" s="80" t="str">
        <f t="array" aca="1" ref="AR32" ca="1">IFERROR(INDEX(TraitOfficers, SMALL(IF(ISNUMBER(MATCH(TraitNames,$AQ$2:$AQ$5, 0)), MATCH(ROW(TraitNames), ROW(TraitNames)), ""), ROWS($A$1:A31))),"")</f>
        <v/>
      </c>
      <c r="AS32" s="80" t="str">
        <f t="array" aca="1" ref="AS32" ca="1">IFERROR(INDEX(Planning3Match, MATCH(0,COUNTIF($AS$1:AS31,Planning3Match), 0))," ")</f>
        <v xml:space="preserve"> </v>
      </c>
      <c r="AU32" s="80" t="str">
        <f t="array" aca="1" ref="AU32" ca="1">IFERROR(INDEX(TraitOfficers, SMALL(IF(ISNUMBER(MATCH(TraitNames,$AT$2:$AT$5, 0)), MATCH(ROW(TraitNames), ROW(TraitNames)), ""), ROWS($A$1:A31))),"")</f>
        <v/>
      </c>
      <c r="AV32" s="80" t="str">
        <f t="array" aca="1" ref="AV32" ca="1">IFERROR(INDEX(Planning4Match, MATCH(0,COUNTIF($AV$1:AV31,Planning4Match), 0))," ")</f>
        <v xml:space="preserve"> </v>
      </c>
      <c r="AX32" s="80" t="str">
        <f t="array" aca="1" ref="AX32" ca="1">IFERROR(INDEX(TraitOfficers, SMALL(IF(ISNUMBER(MATCH(TraitNames,$AW$2:$AW$5, 0)), MATCH(ROW(TraitNames), ROW(TraitNames)), ""), ROWS($A$1:A31))),"")</f>
        <v/>
      </c>
      <c r="AY32" s="80" t="str">
        <f t="array" aca="1" ref="AY32" ca="1">IFERROR(INDEX(Planning5Match, MATCH(0,COUNTIF($AY$1:AY31,Planning5Match), 0))," ")</f>
        <v xml:space="preserve"> </v>
      </c>
      <c r="BA32" s="80" t="str">
        <f t="array" aca="1" ref="BA32" ca="1">IFERROR(INDEX(TraitOfficers, SMALL(IF(ISNUMBER(MATCH(TraitNames,$AZ$2:$AZ$5, 0)), MATCH(ROW(TraitNames), ROW(TraitNames)), ""), ROWS($A$1:A31))),"")</f>
        <v/>
      </c>
      <c r="BB32" s="80" t="str">
        <f t="array" aca="1" ref="BB32" ca="1">IFERROR(INDEX(Planning6Match, MATCH(0,COUNTIF($BB$1:BB31,Planning6Match), 0))," ")</f>
        <v xml:space="preserve"> </v>
      </c>
      <c r="BD32" s="80" t="str">
        <f t="array" aca="1" ref="BD32" ca="1">IFERROR(INDEX(TraitOfficers, SMALL(IF(ISNUMBER(MATCH(TraitNames,$BC$2:$BC$5, 0)), MATCH(ROW(TraitNames), ROW(TraitNames)), ""), ROWS($A$1:A31))),"")</f>
        <v/>
      </c>
      <c r="BE32" s="80" t="str">
        <f t="array" aca="1" ref="BE32" ca="1">IFERROR(INDEX(Planning7Match, MATCH(0,COUNTIF($BE$1:BE31,Planning7Match), 0))," ")</f>
        <v xml:space="preserve"> </v>
      </c>
      <c r="BG32" s="80" t="str">
        <f t="array" aca="1" ref="BG32" ca="1">IFERROR(INDEX(TraitOfficers, SMALL(IF(ISNUMBER(MATCH(TraitNames,$BF$2:$BF$5, 0)), MATCH(ROW(TraitNames), ROW(TraitNames)), ""), ROWS($A$1:A31))),"")</f>
        <v/>
      </c>
      <c r="BH32" s="80" t="str">
        <f t="array" aca="1" ref="BH32" ca="1">IFERROR(INDEX(Planning8Match, MATCH(0,COUNTIF($BH$1:BH31,Planning8Match), 0))," ")</f>
        <v xml:space="preserve"> </v>
      </c>
      <c r="BJ32" s="80" t="str">
        <f t="array" aca="1" ref="BJ32" ca="1">IFERROR(INDEX(TraitOfficers, SMALL(IF(ISNUMBER(MATCH(TraitNames,$BI$2:$BI$5, 0)), MATCH(ROW(TraitNames), ROW(TraitNames)), ""), ROWS($A$1:A31))),"")</f>
        <v/>
      </c>
      <c r="BK32" s="80" t="str">
        <f t="array" aca="1" ref="BK32" ca="1">IFERROR(INDEX(Planning9Match, MATCH(0,COUNTIF($BK$1:BK31,Planning9Match), 0))," ")</f>
        <v xml:space="preserve"> </v>
      </c>
      <c r="BM32" s="80" t="str">
        <f t="array" aca="1" ref="BM32" ca="1">IFERROR(INDEX(TraitOfficers, SMALL(IF(ISNUMBER(MATCH(TraitNames,$BL$2:$BL$5, 0)), MATCH(ROW(TraitNames), ROW(TraitNames)), ""), ROWS($A$1:A31))),"")</f>
        <v/>
      </c>
      <c r="BN32" s="80" t="str">
        <f t="array" aca="1" ref="BN32" ca="1">IFERROR(INDEX(Planning10Match, MATCH(0,COUNTIF($BN$1:BN31,Planning10Match), 0))," ")</f>
        <v xml:space="preserve"> </v>
      </c>
    </row>
    <row r="33" spans="1:66" x14ac:dyDescent="0.25">
      <c r="A33" s="80" t="s">
        <v>1443</v>
      </c>
      <c r="B33" s="80" t="s">
        <v>912</v>
      </c>
      <c r="C33" s="80" t="s">
        <v>111</v>
      </c>
      <c r="D33" s="80" t="s">
        <v>1405</v>
      </c>
      <c r="G33" s="80" t="s">
        <v>1444</v>
      </c>
      <c r="H33" s="80" t="s">
        <v>1445</v>
      </c>
      <c r="I33" s="80" t="s">
        <v>1424</v>
      </c>
      <c r="J33" s="80" t="s">
        <v>1412</v>
      </c>
      <c r="K33" s="80" t="s">
        <v>1446</v>
      </c>
      <c r="L33" s="80" t="s">
        <v>2120</v>
      </c>
      <c r="M33" s="81">
        <v>0</v>
      </c>
      <c r="N33" s="529">
        <v>0.05</v>
      </c>
      <c r="O33" s="80">
        <v>20</v>
      </c>
      <c r="P33" s="81">
        <v>1</v>
      </c>
      <c r="Q33" s="80" t="str">
        <f t="array" ref="Q33">INDEX(AwayMissionRewardsAll, SMALL(IF(SMALL(IF(COUNTIF($Q$1:Q32, AwayMissionRewardsAll)+ISBLANK(AwayMissionRewardsAll)=0, COUNTIF(AwayMissionRewardsAll, "&lt;"&amp;AwayMissionRewardsAll)+1, ""), 1)=IF(ISBLANK(AwayMissionRewardsAll), "", COUNTIF(AwayMissionRewardsAll, "&lt;"&amp;AwayMissionRewardsAll)+1), ROW(AwayMissionRewardsAll)-MIN(ROW(AwayMissionRewardsAll))+1), 1), MATCH(MIN(IF(COUNTIF($Q$1:Q32, AwayMissionRewardsAll)+ISBLANK(AwayMissionRewardsAll)&gt;0, "", COUNTIF(AwayMissionRewardsAll, "&lt;"&amp;AwayMissionRewardsAll)+1)), INDEX(IF(ISBLANK(AwayMissionRewardsAll), "", COUNTIF(AwayMissionRewardsAll, "&lt;"&amp;AwayMissionRewardsAll)+1), SMALL(IF(SMALL(IF(COUNTIF($Q$1:Q32, AwayMissionRewardsAll)+ISBLANK(AwayMissionRewardsAll)=0, COUNTIF(AwayMissionRewardsAll, "&lt;"&amp;AwayMissionRewardsAll)+1, ""), 1)=IF(ISBLANK(AwayMissionRewardsAll), "", COUNTIF(AwayMissionRewardsAll, "&lt;"&amp;AwayMissionRewardsAll)+1), ROW(AwayMissionRewardsAll)-MIN(ROW(AwayMissionRewardsAll))+1), 1), , 1), 0), 1)</f>
        <v>Klingon Ship BPs</v>
      </c>
      <c r="T33" s="80" t="str">
        <f t="array" ref="T33">INDEX(AwayMissionTraitsAll, SMALL(IF(SMALL(IF(COUNTIF($T$1:T32, AwayMissionTraitsAll)+ISBLANK(AwayMissionTraitsAll)=0, COUNTIF(AwayMissionTraitsAll, "&lt;"&amp;AwayMissionTraitsAll)+1, ""), 1)=IF(ISBLANK(AwayMissionTraitsAll), "", COUNTIF(AwayMissionTraitsAll, "&lt;"&amp;AwayMissionTraitsAll)+1), ROW(AwayMissionTraitsAll)-MIN(ROW(AwayMissionTraitsAll))+1), 1), MATCH(MIN(IF(COUNTIF($T$1:T32, AwayMissionTraitsAll)+ISBLANK(AwayMissionTraitsAll)&gt;0, "", COUNTIF(AwayMissionTraitsAll, "&lt;"&amp;AwayMissionTraitsAll)+1)), INDEX(IF(ISBLANK(AwayMissionTraitsAll), "", COUNTIF(AwayMissionTraitsAll, "&lt;"&amp;AwayMissionTraitsAll)+1), SMALL(IF(SMALL(IF(COUNTIF($T$1:T32, AwayMissionTraitsAll)+ISBLANK(AwayMissionTraitsAll)=0, COUNTIF(AwayMissionTraitsAll, "&lt;"&amp;AwayMissionTraitsAll)+1, ""), 1)=IF(ISBLANK(AwayMissionTraitsAll), "", COUNTIF(AwayMissionTraitsAll, "&lt;"&amp;AwayMissionTraitsAll)+1), ROW(AwayMissionTraitsAll)-MIN(ROW(AwayMissionTraitsAll))+1), 1), , 1), 0), 1)</f>
        <v>Intimidating</v>
      </c>
      <c r="U33" s="80">
        <f t="shared" si="0"/>
        <v>2</v>
      </c>
      <c r="V33" s="67" t="str">
        <f t="array" ref="V33">IFERROR(INDEX(AwayMissionsNames, SMALL(IF(ISNUMBER(MATCH(AwayMissionTraitsAll,'ATA Analysis'!$D$5:$D$7, 0)), MATCH(ROW(AwayMissionTraitsAll), ROW(AwayMissionTraitsAll)), ""), ROWS($A$1:A32))),"")</f>
        <v/>
      </c>
      <c r="AL33" s="80" t="str">
        <f t="array" aca="1" ref="AL33" ca="1">IFERROR(INDEX(TraitOfficers, SMALL(IF(ISNUMBER(MATCH(TraitNames,$AK$2:$AK$5, 0)), MATCH(ROW(TraitNames), ROW(TraitNames)), ""), ROWS($A$1:A32))),"")</f>
        <v/>
      </c>
      <c r="AM33" s="80" t="str">
        <f t="array" aca="1" ref="AM33" ca="1">IFERROR(INDEX(Planning1Match, MATCH(0,COUNTIF($AM$1:AM32,Planning1Match), 0))," ")</f>
        <v xml:space="preserve"> </v>
      </c>
      <c r="AO33" s="67" t="str">
        <f t="array" aca="1" ref="AO33" ca="1">IFERROR(INDEX(TraitOfficers, SMALL(IF(ISNUMBER(MATCH(TraitNames,$AN$2:$AN$5, 0)), MATCH(ROW(TraitNames), ROW(TraitNames)), ""), ROWS($A$1:A32))),"")</f>
        <v/>
      </c>
      <c r="AP33" s="80" t="str">
        <f t="array" aca="1" ref="AP33" ca="1">IFERROR(INDEX(Planning2Match, MATCH(0,COUNTIF($AP$1:AP32,Planning2Match), 0))," ")</f>
        <v xml:space="preserve"> </v>
      </c>
      <c r="AR33" s="80" t="str">
        <f t="array" aca="1" ref="AR33" ca="1">IFERROR(INDEX(TraitOfficers, SMALL(IF(ISNUMBER(MATCH(TraitNames,$AQ$2:$AQ$5, 0)), MATCH(ROW(TraitNames), ROW(TraitNames)), ""), ROWS($A$1:A32))),"")</f>
        <v/>
      </c>
      <c r="AS33" s="80" t="str">
        <f t="array" aca="1" ref="AS33" ca="1">IFERROR(INDEX(Planning3Match, MATCH(0,COUNTIF($AS$1:AS32,Planning3Match), 0))," ")</f>
        <v xml:space="preserve"> </v>
      </c>
      <c r="AU33" s="80" t="str">
        <f t="array" aca="1" ref="AU33" ca="1">IFERROR(INDEX(TraitOfficers, SMALL(IF(ISNUMBER(MATCH(TraitNames,$AT$2:$AT$5, 0)), MATCH(ROW(TraitNames), ROW(TraitNames)), ""), ROWS($A$1:A32))),"")</f>
        <v/>
      </c>
      <c r="AV33" s="80" t="str">
        <f t="array" aca="1" ref="AV33" ca="1">IFERROR(INDEX(Planning4Match, MATCH(0,COUNTIF($AV$1:AV32,Planning4Match), 0))," ")</f>
        <v xml:space="preserve"> </v>
      </c>
      <c r="AX33" s="80" t="str">
        <f t="array" aca="1" ref="AX33" ca="1">IFERROR(INDEX(TraitOfficers, SMALL(IF(ISNUMBER(MATCH(TraitNames,$AW$2:$AW$5, 0)), MATCH(ROW(TraitNames), ROW(TraitNames)), ""), ROWS($A$1:A32))),"")</f>
        <v/>
      </c>
      <c r="AY33" s="80" t="str">
        <f t="array" aca="1" ref="AY33" ca="1">IFERROR(INDEX(Planning5Match, MATCH(0,COUNTIF($AY$1:AY32,Planning5Match), 0))," ")</f>
        <v xml:space="preserve"> </v>
      </c>
      <c r="BA33" s="80" t="str">
        <f t="array" aca="1" ref="BA33" ca="1">IFERROR(INDEX(TraitOfficers, SMALL(IF(ISNUMBER(MATCH(TraitNames,$AZ$2:$AZ$5, 0)), MATCH(ROW(TraitNames), ROW(TraitNames)), ""), ROWS($A$1:A32))),"")</f>
        <v/>
      </c>
      <c r="BB33" s="80" t="str">
        <f t="array" aca="1" ref="BB33" ca="1">IFERROR(INDEX(Planning6Match, MATCH(0,COUNTIF($BB$1:BB32,Planning6Match), 0))," ")</f>
        <v xml:space="preserve"> </v>
      </c>
      <c r="BD33" s="80" t="str">
        <f t="array" aca="1" ref="BD33" ca="1">IFERROR(INDEX(TraitOfficers, SMALL(IF(ISNUMBER(MATCH(TraitNames,$BC$2:$BC$5, 0)), MATCH(ROW(TraitNames), ROW(TraitNames)), ""), ROWS($A$1:A32))),"")</f>
        <v/>
      </c>
      <c r="BE33" s="80" t="str">
        <f t="array" aca="1" ref="BE33" ca="1">IFERROR(INDEX(Planning7Match, MATCH(0,COUNTIF($BE$1:BE32,Planning7Match), 0))," ")</f>
        <v xml:space="preserve"> </v>
      </c>
      <c r="BG33" s="80" t="str">
        <f t="array" aca="1" ref="BG33" ca="1">IFERROR(INDEX(TraitOfficers, SMALL(IF(ISNUMBER(MATCH(TraitNames,$BF$2:$BF$5, 0)), MATCH(ROW(TraitNames), ROW(TraitNames)), ""), ROWS($A$1:A32))),"")</f>
        <v/>
      </c>
      <c r="BH33" s="80" t="str">
        <f t="array" aca="1" ref="BH33" ca="1">IFERROR(INDEX(Planning8Match, MATCH(0,COUNTIF($BH$1:BH32,Planning8Match), 0))," ")</f>
        <v xml:space="preserve"> </v>
      </c>
      <c r="BJ33" s="80" t="str">
        <f t="array" aca="1" ref="BJ33" ca="1">IFERROR(INDEX(TraitOfficers, SMALL(IF(ISNUMBER(MATCH(TraitNames,$BI$2:$BI$5, 0)), MATCH(ROW(TraitNames), ROW(TraitNames)), ""), ROWS($A$1:A32))),"")</f>
        <v/>
      </c>
      <c r="BK33" s="80" t="str">
        <f t="array" aca="1" ref="BK33" ca="1">IFERROR(INDEX(Planning9Match, MATCH(0,COUNTIF($BK$1:BK32,Planning9Match), 0))," ")</f>
        <v xml:space="preserve"> </v>
      </c>
      <c r="BM33" s="80" t="str">
        <f t="array" aca="1" ref="BM33" ca="1">IFERROR(INDEX(TraitOfficers, SMALL(IF(ISNUMBER(MATCH(TraitNames,$BL$2:$BL$5, 0)), MATCH(ROW(TraitNames), ROW(TraitNames)), ""), ROWS($A$1:A32))),"")</f>
        <v/>
      </c>
      <c r="BN33" s="80" t="str">
        <f t="array" aca="1" ref="BN33" ca="1">IFERROR(INDEX(Planning10Match, MATCH(0,COUNTIF($BN$1:BN32,Planning10Match), 0))," ")</f>
        <v xml:space="preserve"> </v>
      </c>
    </row>
    <row r="34" spans="1:66" x14ac:dyDescent="0.25">
      <c r="A34" s="80" t="s">
        <v>2142</v>
      </c>
      <c r="B34" s="80" t="s">
        <v>910</v>
      </c>
      <c r="C34" s="80" t="s">
        <v>110</v>
      </c>
      <c r="D34" s="80" t="s">
        <v>1586</v>
      </c>
      <c r="G34" s="80" t="s">
        <v>2123</v>
      </c>
      <c r="H34" s="80" t="s">
        <v>1440</v>
      </c>
      <c r="I34" s="80" t="s">
        <v>1484</v>
      </c>
      <c r="J34" s="80" t="s">
        <v>1414</v>
      </c>
      <c r="L34" s="80" t="s">
        <v>2124</v>
      </c>
      <c r="M34" s="81">
        <v>0.15</v>
      </c>
      <c r="N34" s="529">
        <v>3.8800000000000001E-2</v>
      </c>
      <c r="O34" s="80">
        <v>9</v>
      </c>
      <c r="P34" s="81">
        <v>0.5</v>
      </c>
      <c r="Q34" s="80" t="str">
        <f t="array" ref="Q34">INDEX(AwayMissionRewardsAll, SMALL(IF(SMALL(IF(COUNTIF($Q$1:Q33, AwayMissionRewardsAll)+ISBLANK(AwayMissionRewardsAll)=0, COUNTIF(AwayMissionRewardsAll, "&lt;"&amp;AwayMissionRewardsAll)+1, ""), 1)=IF(ISBLANK(AwayMissionRewardsAll), "", COUNTIF(AwayMissionRewardsAll, "&lt;"&amp;AwayMissionRewardsAll)+1), ROW(AwayMissionRewardsAll)-MIN(ROW(AwayMissionRewardsAll))+1), 1), MATCH(MIN(IF(COUNTIF($Q$1:Q33, AwayMissionRewardsAll)+ISBLANK(AwayMissionRewardsAll)&gt;0, "", COUNTIF(AwayMissionRewardsAll, "&lt;"&amp;AwayMissionRewardsAll)+1)), INDEX(IF(ISBLANK(AwayMissionRewardsAll), "", COUNTIF(AwayMissionRewardsAll, "&lt;"&amp;AwayMissionRewardsAll)+1), SMALL(IF(SMALL(IF(COUNTIF($Q$1:Q33, AwayMissionRewardsAll)+ISBLANK(AwayMissionRewardsAll)=0, COUNTIF(AwayMissionRewardsAll, "&lt;"&amp;AwayMissionRewardsAll)+1, ""), 1)=IF(ISBLANK(AwayMissionRewardsAll), "", COUNTIF(AwayMissionRewardsAll, "&lt;"&amp;AwayMissionRewardsAll)+1), ROW(AwayMissionRewardsAll)-MIN(ROW(AwayMissionRewardsAll))+1), 1), , 1), 0), 1)</f>
        <v>Latinum</v>
      </c>
      <c r="T34" s="80" t="str">
        <f t="array" ref="T34">INDEX(AwayMissionTraitsAll, SMALL(IF(SMALL(IF(COUNTIF($T$1:T33, AwayMissionTraitsAll)+ISBLANK(AwayMissionTraitsAll)=0, COUNTIF(AwayMissionTraitsAll, "&lt;"&amp;AwayMissionTraitsAll)+1, ""), 1)=IF(ISBLANK(AwayMissionTraitsAll), "", COUNTIF(AwayMissionTraitsAll, "&lt;"&amp;AwayMissionTraitsAll)+1), ROW(AwayMissionTraitsAll)-MIN(ROW(AwayMissionTraitsAll))+1), 1), MATCH(MIN(IF(COUNTIF($T$1:T33, AwayMissionTraitsAll)+ISBLANK(AwayMissionTraitsAll)&gt;0, "", COUNTIF(AwayMissionTraitsAll, "&lt;"&amp;AwayMissionTraitsAll)+1)), INDEX(IF(ISBLANK(AwayMissionTraitsAll), "", COUNTIF(AwayMissionTraitsAll, "&lt;"&amp;AwayMissionTraitsAll)+1), SMALL(IF(SMALL(IF(COUNTIF($T$1:T33, AwayMissionTraitsAll)+ISBLANK(AwayMissionTraitsAll)=0, COUNTIF(AwayMissionTraitsAll, "&lt;"&amp;AwayMissionTraitsAll)+1, ""), 1)=IF(ISBLANK(AwayMissionTraitsAll), "", COUNTIF(AwayMissionTraitsAll, "&lt;"&amp;AwayMissionTraitsAll)+1), ROW(AwayMissionTraitsAll)-MIN(ROW(AwayMissionTraitsAll))+1), 1), , 1), 0), 1)</f>
        <v>Inventor</v>
      </c>
      <c r="U34" s="80">
        <f t="shared" ref="U34:U59" si="2">COUNTIF(AwayMissionTraitsAll,T34)</f>
        <v>6</v>
      </c>
      <c r="V34" s="67" t="str">
        <f t="array" ref="V34">IFERROR(INDEX(AwayMissionsNames, SMALL(IF(ISNUMBER(MATCH(AwayMissionTraitsAll,'ATA Analysis'!$D$5:$D$7, 0)), MATCH(ROW(AwayMissionTraitsAll), ROW(AwayMissionTraitsAll)), ""), ROWS($A$1:A33))),"")</f>
        <v/>
      </c>
      <c r="AL34" s="80" t="str">
        <f t="array" aca="1" ref="AL34" ca="1">IFERROR(INDEX(TraitOfficers, SMALL(IF(ISNUMBER(MATCH(TraitNames,$AK$2:$AK$5, 0)), MATCH(ROW(TraitNames), ROW(TraitNames)), ""), ROWS($A$1:A33))),"")</f>
        <v/>
      </c>
      <c r="AM34" s="80" t="str">
        <f t="array" aca="1" ref="AM34" ca="1">IFERROR(INDEX(Planning1Match, MATCH(0,COUNTIF($AM$1:AM33,Planning1Match), 0))," ")</f>
        <v xml:space="preserve"> </v>
      </c>
      <c r="AO34" s="67" t="str">
        <f t="array" aca="1" ref="AO34" ca="1">IFERROR(INDEX(TraitOfficers, SMALL(IF(ISNUMBER(MATCH(TraitNames,$AN$2:$AN$5, 0)), MATCH(ROW(TraitNames), ROW(TraitNames)), ""), ROWS($A$1:A33))),"")</f>
        <v/>
      </c>
      <c r="AP34" s="80" t="str">
        <f t="array" aca="1" ref="AP34" ca="1">IFERROR(INDEX(Planning2Match, MATCH(0,COUNTIF($AP$1:AP33,Planning2Match), 0))," ")</f>
        <v xml:space="preserve"> </v>
      </c>
      <c r="AR34" s="80" t="str">
        <f t="array" aca="1" ref="AR34" ca="1">IFERROR(INDEX(TraitOfficers, SMALL(IF(ISNUMBER(MATCH(TraitNames,$AQ$2:$AQ$5, 0)), MATCH(ROW(TraitNames), ROW(TraitNames)), ""), ROWS($A$1:A33))),"")</f>
        <v/>
      </c>
      <c r="AS34" s="80" t="str">
        <f t="array" aca="1" ref="AS34" ca="1">IFERROR(INDEX(Planning3Match, MATCH(0,COUNTIF($AS$1:AS33,Planning3Match), 0))," ")</f>
        <v xml:space="preserve"> </v>
      </c>
      <c r="AU34" s="80" t="str">
        <f t="array" aca="1" ref="AU34" ca="1">IFERROR(INDEX(TraitOfficers, SMALL(IF(ISNUMBER(MATCH(TraitNames,$AT$2:$AT$5, 0)), MATCH(ROW(TraitNames), ROW(TraitNames)), ""), ROWS($A$1:A33))),"")</f>
        <v/>
      </c>
      <c r="AV34" s="80" t="str">
        <f t="array" aca="1" ref="AV34" ca="1">IFERROR(INDEX(Planning4Match, MATCH(0,COUNTIF($AV$1:AV33,Planning4Match), 0))," ")</f>
        <v xml:space="preserve"> </v>
      </c>
      <c r="AX34" s="80" t="str">
        <f t="array" aca="1" ref="AX34" ca="1">IFERROR(INDEX(TraitOfficers, SMALL(IF(ISNUMBER(MATCH(TraitNames,$AW$2:$AW$5, 0)), MATCH(ROW(TraitNames), ROW(TraitNames)), ""), ROWS($A$1:A33))),"")</f>
        <v/>
      </c>
      <c r="AY34" s="80" t="str">
        <f t="array" aca="1" ref="AY34" ca="1">IFERROR(INDEX(Planning5Match, MATCH(0,COUNTIF($AY$1:AY33,Planning5Match), 0))," ")</f>
        <v xml:space="preserve"> </v>
      </c>
      <c r="BA34" s="80" t="str">
        <f t="array" aca="1" ref="BA34" ca="1">IFERROR(INDEX(TraitOfficers, SMALL(IF(ISNUMBER(MATCH(TraitNames,$AZ$2:$AZ$5, 0)), MATCH(ROW(TraitNames), ROW(TraitNames)), ""), ROWS($A$1:A33))),"")</f>
        <v/>
      </c>
      <c r="BB34" s="80" t="str">
        <f t="array" aca="1" ref="BB34" ca="1">IFERROR(INDEX(Planning6Match, MATCH(0,COUNTIF($BB$1:BB33,Planning6Match), 0))," ")</f>
        <v xml:space="preserve"> </v>
      </c>
      <c r="BD34" s="80" t="str">
        <f t="array" aca="1" ref="BD34" ca="1">IFERROR(INDEX(TraitOfficers, SMALL(IF(ISNUMBER(MATCH(TraitNames,$BC$2:$BC$5, 0)), MATCH(ROW(TraitNames), ROW(TraitNames)), ""), ROWS($A$1:A33))),"")</f>
        <v/>
      </c>
      <c r="BE34" s="80" t="str">
        <f t="array" aca="1" ref="BE34" ca="1">IFERROR(INDEX(Planning7Match, MATCH(0,COUNTIF($BE$1:BE33,Planning7Match), 0))," ")</f>
        <v xml:space="preserve"> </v>
      </c>
      <c r="BG34" s="80" t="str">
        <f t="array" aca="1" ref="BG34" ca="1">IFERROR(INDEX(TraitOfficers, SMALL(IF(ISNUMBER(MATCH(TraitNames,$BF$2:$BF$5, 0)), MATCH(ROW(TraitNames), ROW(TraitNames)), ""), ROWS($A$1:A33))),"")</f>
        <v/>
      </c>
      <c r="BH34" s="80" t="str">
        <f t="array" aca="1" ref="BH34" ca="1">IFERROR(INDEX(Planning8Match, MATCH(0,COUNTIF($BH$1:BH33,Planning8Match), 0))," ")</f>
        <v xml:space="preserve"> </v>
      </c>
      <c r="BJ34" s="80" t="str">
        <f t="array" aca="1" ref="BJ34" ca="1">IFERROR(INDEX(TraitOfficers, SMALL(IF(ISNUMBER(MATCH(TraitNames,$BI$2:$BI$5, 0)), MATCH(ROW(TraitNames), ROW(TraitNames)), ""), ROWS($A$1:A33))),"")</f>
        <v/>
      </c>
      <c r="BK34" s="80" t="str">
        <f t="array" aca="1" ref="BK34" ca="1">IFERROR(INDEX(Planning9Match, MATCH(0,COUNTIF($BK$1:BK33,Planning9Match), 0))," ")</f>
        <v xml:space="preserve"> </v>
      </c>
      <c r="BM34" s="80" t="str">
        <f t="array" aca="1" ref="BM34" ca="1">IFERROR(INDEX(TraitOfficers, SMALL(IF(ISNUMBER(MATCH(TraitNames,$BL$2:$BL$5, 0)), MATCH(ROW(TraitNames), ROW(TraitNames)), ""), ROWS($A$1:A33))),"")</f>
        <v/>
      </c>
      <c r="BN34" s="80" t="str">
        <f t="array" aca="1" ref="BN34" ca="1">IFERROR(INDEX(Planning10Match, MATCH(0,COUNTIF($BN$1:BN33,Planning10Match), 0))," ")</f>
        <v xml:space="preserve"> </v>
      </c>
    </row>
    <row r="35" spans="1:66" x14ac:dyDescent="0.25">
      <c r="A35" s="80" t="s">
        <v>2143</v>
      </c>
      <c r="B35" s="80" t="s">
        <v>910</v>
      </c>
      <c r="C35" s="80" t="s">
        <v>110</v>
      </c>
      <c r="D35" s="80" t="s">
        <v>1416</v>
      </c>
      <c r="G35" s="80" t="s">
        <v>2144</v>
      </c>
      <c r="H35" s="80" t="s">
        <v>1440</v>
      </c>
      <c r="I35" s="80" t="s">
        <v>1484</v>
      </c>
      <c r="J35" s="80" t="s">
        <v>1414</v>
      </c>
      <c r="L35" s="80" t="s">
        <v>2117</v>
      </c>
      <c r="M35" s="81">
        <v>0.15</v>
      </c>
      <c r="N35" s="529">
        <v>3.8800000000000001E-2</v>
      </c>
      <c r="O35" s="80">
        <v>9</v>
      </c>
      <c r="P35" s="81">
        <v>0.5</v>
      </c>
      <c r="Q35" s="80" t="str">
        <f t="array" ref="Q35">INDEX(AwayMissionRewardsAll, SMALL(IF(SMALL(IF(COUNTIF($Q$1:Q34, AwayMissionRewardsAll)+ISBLANK(AwayMissionRewardsAll)=0, COUNTIF(AwayMissionRewardsAll, "&lt;"&amp;AwayMissionRewardsAll)+1, ""), 1)=IF(ISBLANK(AwayMissionRewardsAll), "", COUNTIF(AwayMissionRewardsAll, "&lt;"&amp;AwayMissionRewardsAll)+1), ROW(AwayMissionRewardsAll)-MIN(ROW(AwayMissionRewardsAll))+1), 1), MATCH(MIN(IF(COUNTIF($Q$1:Q34, AwayMissionRewardsAll)+ISBLANK(AwayMissionRewardsAll)&gt;0, "", COUNTIF(AwayMissionRewardsAll, "&lt;"&amp;AwayMissionRewardsAll)+1)), INDEX(IF(ISBLANK(AwayMissionRewardsAll), "", COUNTIF(AwayMissionRewardsAll, "&lt;"&amp;AwayMissionRewardsAll)+1), SMALL(IF(SMALL(IF(COUNTIF($Q$1:Q34, AwayMissionRewardsAll)+ISBLANK(AwayMissionRewardsAll)=0, COUNTIF(AwayMissionRewardsAll, "&lt;"&amp;AwayMissionRewardsAll)+1, ""), 1)=IF(ISBLANK(AwayMissionRewardsAll), "", COUNTIF(AwayMissionRewardsAll, "&lt;"&amp;AwayMissionRewardsAll)+1), ROW(AwayMissionRewardsAll)-MIN(ROW(AwayMissionRewardsAll))+1), 1), , 1), 0), 1)</f>
        <v>Merits of Honor</v>
      </c>
      <c r="T35" s="80" t="str">
        <f t="array" ref="T35">INDEX(AwayMissionTraitsAll, SMALL(IF(SMALL(IF(COUNTIF($T$1:T34, AwayMissionTraitsAll)+ISBLANK(AwayMissionTraitsAll)=0, COUNTIF(AwayMissionTraitsAll, "&lt;"&amp;AwayMissionTraitsAll)+1, ""), 1)=IF(ISBLANK(AwayMissionTraitsAll), "", COUNTIF(AwayMissionTraitsAll, "&lt;"&amp;AwayMissionTraitsAll)+1), ROW(AwayMissionTraitsAll)-MIN(ROW(AwayMissionTraitsAll))+1), 1), MATCH(MIN(IF(COUNTIF($T$1:T34, AwayMissionTraitsAll)+ISBLANK(AwayMissionTraitsAll)&gt;0, "", COUNTIF(AwayMissionTraitsAll, "&lt;"&amp;AwayMissionTraitsAll)+1)), INDEX(IF(ISBLANK(AwayMissionTraitsAll), "", COUNTIF(AwayMissionTraitsAll, "&lt;"&amp;AwayMissionTraitsAll)+1), SMALL(IF(SMALL(IF(COUNTIF($T$1:T34, AwayMissionTraitsAll)+ISBLANK(AwayMissionTraitsAll)=0, COUNTIF(AwayMissionTraitsAll, "&lt;"&amp;AwayMissionTraitsAll)+1, ""), 1)=IF(ISBLANK(AwayMissionTraitsAll), "", COUNTIF(AwayMissionTraitsAll, "&lt;"&amp;AwayMissionTraitsAll)+1), ROW(AwayMissionTraitsAll)-MIN(ROW(AwayMissionTraitsAll))+1), 1), , 1), 0), 1)</f>
        <v>Leader</v>
      </c>
      <c r="U35" s="80">
        <f t="shared" si="2"/>
        <v>7</v>
      </c>
      <c r="V35" s="67" t="str">
        <f t="array" ref="V35">IFERROR(INDEX(AwayMissionsNames, SMALL(IF(ISNUMBER(MATCH(AwayMissionTraitsAll,'ATA Analysis'!$D$5:$D$7, 0)), MATCH(ROW(AwayMissionTraitsAll), ROW(AwayMissionTraitsAll)), ""), ROWS($A$1:A34))),"")</f>
        <v/>
      </c>
      <c r="AL35" s="80" t="str">
        <f t="array" aca="1" ref="AL35" ca="1">IFERROR(INDEX(TraitOfficers, SMALL(IF(ISNUMBER(MATCH(TraitNames,$AK$2:$AK$5, 0)), MATCH(ROW(TraitNames), ROW(TraitNames)), ""), ROWS($A$1:A34))),"")</f>
        <v/>
      </c>
      <c r="AM35" s="80" t="str">
        <f t="array" aca="1" ref="AM35" ca="1">IFERROR(INDEX(Planning1Match, MATCH(0,COUNTIF($AM$1:AM34,Planning1Match), 0))," ")</f>
        <v xml:space="preserve"> </v>
      </c>
      <c r="AO35" s="67" t="str">
        <f t="array" aca="1" ref="AO35" ca="1">IFERROR(INDEX(TraitOfficers, SMALL(IF(ISNUMBER(MATCH(TraitNames,$AN$2:$AN$5, 0)), MATCH(ROW(TraitNames), ROW(TraitNames)), ""), ROWS($A$1:A34))),"")</f>
        <v/>
      </c>
      <c r="AP35" s="80" t="str">
        <f t="array" aca="1" ref="AP35" ca="1">IFERROR(INDEX(Planning2Match, MATCH(0,COUNTIF($AP$1:AP34,Planning2Match), 0))," ")</f>
        <v xml:space="preserve"> </v>
      </c>
      <c r="AR35" s="80" t="str">
        <f t="array" aca="1" ref="AR35" ca="1">IFERROR(INDEX(TraitOfficers, SMALL(IF(ISNUMBER(MATCH(TraitNames,$AQ$2:$AQ$5, 0)), MATCH(ROW(TraitNames), ROW(TraitNames)), ""), ROWS($A$1:A34))),"")</f>
        <v/>
      </c>
      <c r="AS35" s="80" t="str">
        <f t="array" aca="1" ref="AS35" ca="1">IFERROR(INDEX(Planning3Match, MATCH(0,COUNTIF($AS$1:AS34,Planning3Match), 0))," ")</f>
        <v xml:space="preserve"> </v>
      </c>
      <c r="AU35" s="80" t="str">
        <f t="array" aca="1" ref="AU35" ca="1">IFERROR(INDEX(TraitOfficers, SMALL(IF(ISNUMBER(MATCH(TraitNames,$AT$2:$AT$5, 0)), MATCH(ROW(TraitNames), ROW(TraitNames)), ""), ROWS($A$1:A34))),"")</f>
        <v/>
      </c>
      <c r="AV35" s="80" t="str">
        <f t="array" aca="1" ref="AV35" ca="1">IFERROR(INDEX(Planning4Match, MATCH(0,COUNTIF($AV$1:AV34,Planning4Match), 0))," ")</f>
        <v xml:space="preserve"> </v>
      </c>
      <c r="AX35" s="80" t="str">
        <f t="array" aca="1" ref="AX35" ca="1">IFERROR(INDEX(TraitOfficers, SMALL(IF(ISNUMBER(MATCH(TraitNames,$AW$2:$AW$5, 0)), MATCH(ROW(TraitNames), ROW(TraitNames)), ""), ROWS($A$1:A34))),"")</f>
        <v/>
      </c>
      <c r="AY35" s="80" t="str">
        <f t="array" aca="1" ref="AY35" ca="1">IFERROR(INDEX(Planning5Match, MATCH(0,COUNTIF($AY$1:AY34,Planning5Match), 0))," ")</f>
        <v xml:space="preserve"> </v>
      </c>
      <c r="BA35" s="80" t="str">
        <f t="array" aca="1" ref="BA35" ca="1">IFERROR(INDEX(TraitOfficers, SMALL(IF(ISNUMBER(MATCH(TraitNames,$AZ$2:$AZ$5, 0)), MATCH(ROW(TraitNames), ROW(TraitNames)), ""), ROWS($A$1:A34))),"")</f>
        <v/>
      </c>
      <c r="BB35" s="80" t="str">
        <f t="array" aca="1" ref="BB35" ca="1">IFERROR(INDEX(Planning6Match, MATCH(0,COUNTIF($BB$1:BB34,Planning6Match), 0))," ")</f>
        <v xml:space="preserve"> </v>
      </c>
      <c r="BD35" s="80" t="str">
        <f t="array" aca="1" ref="BD35" ca="1">IFERROR(INDEX(TraitOfficers, SMALL(IF(ISNUMBER(MATCH(TraitNames,$BC$2:$BC$5, 0)), MATCH(ROW(TraitNames), ROW(TraitNames)), ""), ROWS($A$1:A34))),"")</f>
        <v/>
      </c>
      <c r="BE35" s="80" t="str">
        <f t="array" aca="1" ref="BE35" ca="1">IFERROR(INDEX(Planning7Match, MATCH(0,COUNTIF($BE$1:BE34,Planning7Match), 0))," ")</f>
        <v xml:space="preserve"> </v>
      </c>
      <c r="BG35" s="80" t="str">
        <f t="array" aca="1" ref="BG35" ca="1">IFERROR(INDEX(TraitOfficers, SMALL(IF(ISNUMBER(MATCH(TraitNames,$BF$2:$BF$5, 0)), MATCH(ROW(TraitNames), ROW(TraitNames)), ""), ROWS($A$1:A34))),"")</f>
        <v/>
      </c>
      <c r="BH35" s="80" t="str">
        <f t="array" aca="1" ref="BH35" ca="1">IFERROR(INDEX(Planning8Match, MATCH(0,COUNTIF($BH$1:BH34,Planning8Match), 0))," ")</f>
        <v xml:space="preserve"> </v>
      </c>
      <c r="BJ35" s="80" t="str">
        <f t="array" aca="1" ref="BJ35" ca="1">IFERROR(INDEX(TraitOfficers, SMALL(IF(ISNUMBER(MATCH(TraitNames,$BI$2:$BI$5, 0)), MATCH(ROW(TraitNames), ROW(TraitNames)), ""), ROWS($A$1:A34))),"")</f>
        <v/>
      </c>
      <c r="BK35" s="80" t="str">
        <f t="array" aca="1" ref="BK35" ca="1">IFERROR(INDEX(Planning9Match, MATCH(0,COUNTIF($BK$1:BK34,Planning9Match), 0))," ")</f>
        <v xml:space="preserve"> </v>
      </c>
      <c r="BM35" s="80" t="str">
        <f t="array" aca="1" ref="BM35" ca="1">IFERROR(INDEX(TraitOfficers, SMALL(IF(ISNUMBER(MATCH(TraitNames,$BL$2:$BL$5, 0)), MATCH(ROW(TraitNames), ROW(TraitNames)), ""), ROWS($A$1:A34))),"")</f>
        <v/>
      </c>
      <c r="BN35" s="80" t="str">
        <f t="array" aca="1" ref="BN35" ca="1">IFERROR(INDEX(Planning10Match, MATCH(0,COUNTIF($BN$1:BN34,Planning10Match), 0))," ")</f>
        <v xml:space="preserve"> </v>
      </c>
    </row>
    <row r="36" spans="1:66" x14ac:dyDescent="0.25">
      <c r="A36" s="80" t="s">
        <v>1587</v>
      </c>
      <c r="B36" s="80" t="s">
        <v>912</v>
      </c>
      <c r="C36" s="80" t="s">
        <v>112</v>
      </c>
      <c r="D36" s="80" t="s">
        <v>1437</v>
      </c>
      <c r="E36" s="80" t="s">
        <v>1398</v>
      </c>
      <c r="G36" s="80" t="s">
        <v>1438</v>
      </c>
      <c r="H36" s="80" t="s">
        <v>1513</v>
      </c>
      <c r="I36" s="80" t="s">
        <v>1451</v>
      </c>
      <c r="J36" s="80" t="s">
        <v>1433</v>
      </c>
      <c r="K36" s="80" t="s">
        <v>817</v>
      </c>
      <c r="L36" s="80" t="s">
        <v>2117</v>
      </c>
      <c r="M36" s="81">
        <v>0.2</v>
      </c>
      <c r="N36" s="529">
        <v>0.02</v>
      </c>
      <c r="O36" s="80">
        <v>20</v>
      </c>
      <c r="P36" s="81">
        <v>0.6</v>
      </c>
      <c r="Q36" s="80" t="str">
        <f t="array" ref="Q36">INDEX(AwayMissionRewardsAll, SMALL(IF(SMALL(IF(COUNTIF($Q$1:Q35, AwayMissionRewardsAll)+ISBLANK(AwayMissionRewardsAll)=0, COUNTIF(AwayMissionRewardsAll, "&lt;"&amp;AwayMissionRewardsAll)+1, ""), 1)=IF(ISBLANK(AwayMissionRewardsAll), "", COUNTIF(AwayMissionRewardsAll, "&lt;"&amp;AwayMissionRewardsAll)+1), ROW(AwayMissionRewardsAll)-MIN(ROW(AwayMissionRewardsAll))+1), 1), MATCH(MIN(IF(COUNTIF($Q$1:Q35, AwayMissionRewardsAll)+ISBLANK(AwayMissionRewardsAll)&gt;0, "", COUNTIF(AwayMissionRewardsAll, "&lt;"&amp;AwayMissionRewardsAll)+1)), INDEX(IF(ISBLANK(AwayMissionRewardsAll), "", COUNTIF(AwayMissionRewardsAll, "&lt;"&amp;AwayMissionRewardsAll)+1), SMALL(IF(SMALL(IF(COUNTIF($Q$1:Q35, AwayMissionRewardsAll)+ISBLANK(AwayMissionRewardsAll)=0, COUNTIF(AwayMissionRewardsAll, "&lt;"&amp;AwayMissionRewardsAll)+1, ""), 1)=IF(ISBLANK(AwayMissionRewardsAll), "", COUNTIF(AwayMissionRewardsAll, "&lt;"&amp;AwayMissionRewardsAll)+1), ROW(AwayMissionRewardsAll)-MIN(ROW(AwayMissionRewardsAll))+1), 1), , 1), 0), 1)</f>
        <v>Michael Burnham Shards</v>
      </c>
      <c r="T36" s="80" t="str">
        <f t="array" ref="T36">INDEX(AwayMissionTraitsAll, SMALL(IF(SMALL(IF(COUNTIF($T$1:T35, AwayMissionTraitsAll)+ISBLANK(AwayMissionTraitsAll)=0, COUNTIF(AwayMissionTraitsAll, "&lt;"&amp;AwayMissionTraitsAll)+1, ""), 1)=IF(ISBLANK(AwayMissionTraitsAll), "", COUNTIF(AwayMissionTraitsAll, "&lt;"&amp;AwayMissionTraitsAll)+1), ROW(AwayMissionTraitsAll)-MIN(ROW(AwayMissionTraitsAll))+1), 1), MATCH(MIN(IF(COUNTIF($T$1:T35, AwayMissionTraitsAll)+ISBLANK(AwayMissionTraitsAll)&gt;0, "", COUNTIF(AwayMissionTraitsAll, "&lt;"&amp;AwayMissionTraitsAll)+1)), INDEX(IF(ISBLANK(AwayMissionTraitsAll), "", COUNTIF(AwayMissionTraitsAll, "&lt;"&amp;AwayMissionTraitsAll)+1), SMALL(IF(SMALL(IF(COUNTIF($T$1:T35, AwayMissionTraitsAll)+ISBLANK(AwayMissionTraitsAll)=0, COUNTIF(AwayMissionTraitsAll, "&lt;"&amp;AwayMissionTraitsAll)+1, ""), 1)=IF(ISBLANK(AwayMissionTraitsAll), "", COUNTIF(AwayMissionTraitsAll, "&lt;"&amp;AwayMissionTraitsAll)+1), ROW(AwayMissionTraitsAll)-MIN(ROW(AwayMissionTraitsAll))+1), 1), , 1), 0), 1)</f>
        <v>Manipulative</v>
      </c>
      <c r="U36" s="80">
        <f t="shared" si="2"/>
        <v>2</v>
      </c>
      <c r="V36" s="67" t="str">
        <f t="array" ref="V36">IFERROR(INDEX(AwayMissionsNames, SMALL(IF(ISNUMBER(MATCH(AwayMissionTraitsAll,'ATA Analysis'!$D$5:$D$7, 0)), MATCH(ROW(AwayMissionTraitsAll), ROW(AwayMissionTraitsAll)), ""), ROWS($A$1:A35))),"")</f>
        <v/>
      </c>
      <c r="AL36" s="80" t="str">
        <f t="array" aca="1" ref="AL36" ca="1">IFERROR(INDEX(TraitOfficers, SMALL(IF(ISNUMBER(MATCH(TraitNames,$AK$2:$AK$5, 0)), MATCH(ROW(TraitNames), ROW(TraitNames)), ""), ROWS($A$1:A35))),"")</f>
        <v/>
      </c>
      <c r="AM36" s="80" t="str">
        <f t="array" aca="1" ref="AM36" ca="1">IFERROR(INDEX(Planning1Match, MATCH(0,COUNTIF($AM$1:AM35,Planning1Match), 0))," ")</f>
        <v xml:space="preserve"> </v>
      </c>
      <c r="AO36" s="67" t="str">
        <f t="array" aca="1" ref="AO36" ca="1">IFERROR(INDEX(TraitOfficers, SMALL(IF(ISNUMBER(MATCH(TraitNames,$AN$2:$AN$5, 0)), MATCH(ROW(TraitNames), ROW(TraitNames)), ""), ROWS($A$1:A35))),"")</f>
        <v/>
      </c>
      <c r="AP36" s="80" t="str">
        <f t="array" aca="1" ref="AP36" ca="1">IFERROR(INDEX(Planning2Match, MATCH(0,COUNTIF($AP$1:AP35,Planning2Match), 0))," ")</f>
        <v xml:space="preserve"> </v>
      </c>
      <c r="AR36" s="80" t="str">
        <f t="array" aca="1" ref="AR36" ca="1">IFERROR(INDEX(TraitOfficers, SMALL(IF(ISNUMBER(MATCH(TraitNames,$AQ$2:$AQ$5, 0)), MATCH(ROW(TraitNames), ROW(TraitNames)), ""), ROWS($A$1:A35))),"")</f>
        <v/>
      </c>
      <c r="AS36" s="80" t="str">
        <f t="array" aca="1" ref="AS36" ca="1">IFERROR(INDEX(Planning3Match, MATCH(0,COUNTIF($AS$1:AS35,Planning3Match), 0))," ")</f>
        <v xml:space="preserve"> </v>
      </c>
      <c r="AU36" s="80" t="str">
        <f t="array" aca="1" ref="AU36" ca="1">IFERROR(INDEX(TraitOfficers, SMALL(IF(ISNUMBER(MATCH(TraitNames,$AT$2:$AT$5, 0)), MATCH(ROW(TraitNames), ROW(TraitNames)), ""), ROWS($A$1:A35))),"")</f>
        <v/>
      </c>
      <c r="AV36" s="80" t="str">
        <f t="array" aca="1" ref="AV36" ca="1">IFERROR(INDEX(Planning4Match, MATCH(0,COUNTIF($AV$1:AV35,Planning4Match), 0))," ")</f>
        <v xml:space="preserve"> </v>
      </c>
      <c r="AX36" s="80" t="str">
        <f t="array" aca="1" ref="AX36" ca="1">IFERROR(INDEX(TraitOfficers, SMALL(IF(ISNUMBER(MATCH(TraitNames,$AW$2:$AW$5, 0)), MATCH(ROW(TraitNames), ROW(TraitNames)), ""), ROWS($A$1:A35))),"")</f>
        <v/>
      </c>
      <c r="AY36" s="80" t="str">
        <f t="array" aca="1" ref="AY36" ca="1">IFERROR(INDEX(Planning5Match, MATCH(0,COUNTIF($AY$1:AY35,Planning5Match), 0))," ")</f>
        <v xml:space="preserve"> </v>
      </c>
      <c r="BA36" s="80" t="str">
        <f t="array" aca="1" ref="BA36" ca="1">IFERROR(INDEX(TraitOfficers, SMALL(IF(ISNUMBER(MATCH(TraitNames,$AZ$2:$AZ$5, 0)), MATCH(ROW(TraitNames), ROW(TraitNames)), ""), ROWS($A$1:A35))),"")</f>
        <v/>
      </c>
      <c r="BB36" s="80" t="str">
        <f t="array" aca="1" ref="BB36" ca="1">IFERROR(INDEX(Planning6Match, MATCH(0,COUNTIF($BB$1:BB35,Planning6Match), 0))," ")</f>
        <v xml:space="preserve"> </v>
      </c>
      <c r="BD36" s="80" t="str">
        <f t="array" aca="1" ref="BD36" ca="1">IFERROR(INDEX(TraitOfficers, SMALL(IF(ISNUMBER(MATCH(TraitNames,$BC$2:$BC$5, 0)), MATCH(ROW(TraitNames), ROW(TraitNames)), ""), ROWS($A$1:A35))),"")</f>
        <v/>
      </c>
      <c r="BE36" s="80" t="str">
        <f t="array" aca="1" ref="BE36" ca="1">IFERROR(INDEX(Planning7Match, MATCH(0,COUNTIF($BE$1:BE35,Planning7Match), 0))," ")</f>
        <v xml:space="preserve"> </v>
      </c>
      <c r="BG36" s="80" t="str">
        <f t="array" aca="1" ref="BG36" ca="1">IFERROR(INDEX(TraitOfficers, SMALL(IF(ISNUMBER(MATCH(TraitNames,$BF$2:$BF$5, 0)), MATCH(ROW(TraitNames), ROW(TraitNames)), ""), ROWS($A$1:A35))),"")</f>
        <v/>
      </c>
      <c r="BH36" s="80" t="str">
        <f t="array" aca="1" ref="BH36" ca="1">IFERROR(INDEX(Planning8Match, MATCH(0,COUNTIF($BH$1:BH35,Planning8Match), 0))," ")</f>
        <v xml:space="preserve"> </v>
      </c>
      <c r="BJ36" s="80" t="str">
        <f t="array" aca="1" ref="BJ36" ca="1">IFERROR(INDEX(TraitOfficers, SMALL(IF(ISNUMBER(MATCH(TraitNames,$BI$2:$BI$5, 0)), MATCH(ROW(TraitNames), ROW(TraitNames)), ""), ROWS($A$1:A35))),"")</f>
        <v/>
      </c>
      <c r="BK36" s="80" t="str">
        <f t="array" aca="1" ref="BK36" ca="1">IFERROR(INDEX(Planning9Match, MATCH(0,COUNTIF($BK$1:BK35,Planning9Match), 0))," ")</f>
        <v xml:space="preserve"> </v>
      </c>
      <c r="BM36" s="80" t="str">
        <f t="array" aca="1" ref="BM36" ca="1">IFERROR(INDEX(TraitOfficers, SMALL(IF(ISNUMBER(MATCH(TraitNames,$BL$2:$BL$5, 0)), MATCH(ROW(TraitNames), ROW(TraitNames)), ""), ROWS($A$1:A35))),"")</f>
        <v/>
      </c>
      <c r="BN36" s="80" t="str">
        <f t="array" aca="1" ref="BN36" ca="1">IFERROR(INDEX(Planning10Match, MATCH(0,COUNTIF($BN$1:BN35,Planning10Match), 0))," ")</f>
        <v xml:space="preserve"> </v>
      </c>
    </row>
    <row r="37" spans="1:66" x14ac:dyDescent="0.25">
      <c r="A37" s="80" t="s">
        <v>1539</v>
      </c>
      <c r="B37" s="80" t="s">
        <v>912</v>
      </c>
      <c r="C37" s="80" t="s">
        <v>110</v>
      </c>
      <c r="D37" s="80" t="s">
        <v>1398</v>
      </c>
      <c r="G37" s="80" t="s">
        <v>1540</v>
      </c>
      <c r="H37" s="80" t="s">
        <v>1471</v>
      </c>
      <c r="I37" s="80" t="s">
        <v>1424</v>
      </c>
      <c r="J37" s="80" t="s">
        <v>1511</v>
      </c>
      <c r="L37" s="80" t="s">
        <v>2120</v>
      </c>
      <c r="M37" s="81">
        <v>0.3</v>
      </c>
      <c r="N37" s="529">
        <v>3.2399999999999998E-2</v>
      </c>
      <c r="O37" s="80">
        <v>17</v>
      </c>
      <c r="P37" s="81">
        <v>0.85</v>
      </c>
      <c r="Q37" s="80" t="str">
        <f t="array" ref="Q37">INDEX(AwayMissionRewardsAll, SMALL(IF(SMALL(IF(COUNTIF($Q$1:Q36, AwayMissionRewardsAll)+ISBLANK(AwayMissionRewardsAll)=0, COUNTIF(AwayMissionRewardsAll, "&lt;"&amp;AwayMissionRewardsAll)+1, ""), 1)=IF(ISBLANK(AwayMissionRewardsAll), "", COUNTIF(AwayMissionRewardsAll, "&lt;"&amp;AwayMissionRewardsAll)+1), ROW(AwayMissionRewardsAll)-MIN(ROW(AwayMissionRewardsAll))+1), 1), MATCH(MIN(IF(COUNTIF($Q$1:Q36, AwayMissionRewardsAll)+ISBLANK(AwayMissionRewardsAll)&gt;0, "", COUNTIF(AwayMissionRewardsAll, "&lt;"&amp;AwayMissionRewardsAll)+1)), INDEX(IF(ISBLANK(AwayMissionRewardsAll), "", COUNTIF(AwayMissionRewardsAll, "&lt;"&amp;AwayMissionRewardsAll)+1), SMALL(IF(SMALL(IF(COUNTIF($Q$1:Q36, AwayMissionRewardsAll)+ISBLANK(AwayMissionRewardsAll)=0, COUNTIF(AwayMissionRewardsAll, "&lt;"&amp;AwayMissionRewardsAll)+1, ""), 1)=IF(ISBLANK(AwayMissionRewardsAll), "", COUNTIF(AwayMissionRewardsAll, "&lt;"&amp;AwayMissionRewardsAll)+1), ROW(AwayMissionRewardsAll)-MIN(ROW(AwayMissionRewardsAll))+1), 1), , 1), 0), 1)</f>
        <v>Officer XP</v>
      </c>
      <c r="T37" s="80" t="str">
        <f t="array" ref="T37">INDEX(AwayMissionTraitsAll, SMALL(IF(SMALL(IF(COUNTIF($T$1:T36, AwayMissionTraitsAll)+ISBLANK(AwayMissionTraitsAll)=0, COUNTIF(AwayMissionTraitsAll, "&lt;"&amp;AwayMissionTraitsAll)+1, ""), 1)=IF(ISBLANK(AwayMissionTraitsAll), "", COUNTIF(AwayMissionTraitsAll, "&lt;"&amp;AwayMissionTraitsAll)+1), ROW(AwayMissionTraitsAll)-MIN(ROW(AwayMissionTraitsAll))+1), 1), MATCH(MIN(IF(COUNTIF($T$1:T36, AwayMissionTraitsAll)+ISBLANK(AwayMissionTraitsAll)&gt;0, "", COUNTIF(AwayMissionTraitsAll, "&lt;"&amp;AwayMissionTraitsAll)+1)), INDEX(IF(ISBLANK(AwayMissionTraitsAll), "", COUNTIF(AwayMissionTraitsAll, "&lt;"&amp;AwayMissionTraitsAll)+1), SMALL(IF(SMALL(IF(COUNTIF($T$1:T36, AwayMissionTraitsAll)+ISBLANK(AwayMissionTraitsAll)=0, COUNTIF(AwayMissionTraitsAll, "&lt;"&amp;AwayMissionTraitsAll)+1, ""), 1)=IF(ISBLANK(AwayMissionTraitsAll), "", COUNTIF(AwayMissionTraitsAll, "&lt;"&amp;AwayMissionTraitsAll)+1), ROW(AwayMissionTraitsAll)-MIN(ROW(AwayMissionTraitsAll))+1), 1), , 1), 0), 1)</f>
        <v>Marksman</v>
      </c>
      <c r="U37" s="80">
        <f t="shared" si="2"/>
        <v>1</v>
      </c>
      <c r="V37" s="67" t="str">
        <f t="array" ref="V37">IFERROR(INDEX(AwayMissionsNames, SMALL(IF(ISNUMBER(MATCH(AwayMissionTraitsAll,'ATA Analysis'!$D$5:$D$7, 0)), MATCH(ROW(AwayMissionTraitsAll), ROW(AwayMissionTraitsAll)), ""), ROWS($A$1:A36))),"")</f>
        <v/>
      </c>
      <c r="AL37" s="80" t="str">
        <f t="array" aca="1" ref="AL37" ca="1">IFERROR(INDEX(TraitOfficers, SMALL(IF(ISNUMBER(MATCH(TraitNames,$AK$2:$AK$5, 0)), MATCH(ROW(TraitNames), ROW(TraitNames)), ""), ROWS($A$1:A36))),"")</f>
        <v/>
      </c>
      <c r="AM37" s="80" t="str">
        <f t="array" aca="1" ref="AM37" ca="1">IFERROR(INDEX(Planning1Match, MATCH(0,COUNTIF($AM$1:AM36,Planning1Match), 0))," ")</f>
        <v xml:space="preserve"> </v>
      </c>
      <c r="AO37" s="67" t="str">
        <f t="array" aca="1" ref="AO37" ca="1">IFERROR(INDEX(TraitOfficers, SMALL(IF(ISNUMBER(MATCH(TraitNames,$AN$2:$AN$5, 0)), MATCH(ROW(TraitNames), ROW(TraitNames)), ""), ROWS($A$1:A36))),"")</f>
        <v/>
      </c>
      <c r="AP37" s="80" t="str">
        <f t="array" aca="1" ref="AP37" ca="1">IFERROR(INDEX(Planning2Match, MATCH(0,COUNTIF($AP$1:AP36,Planning2Match), 0))," ")</f>
        <v xml:space="preserve"> </v>
      </c>
      <c r="AR37" s="80" t="str">
        <f t="array" aca="1" ref="AR37" ca="1">IFERROR(INDEX(TraitOfficers, SMALL(IF(ISNUMBER(MATCH(TraitNames,$AQ$2:$AQ$5, 0)), MATCH(ROW(TraitNames), ROW(TraitNames)), ""), ROWS($A$1:A36))),"")</f>
        <v/>
      </c>
      <c r="AS37" s="80" t="str">
        <f t="array" aca="1" ref="AS37" ca="1">IFERROR(INDEX(Planning3Match, MATCH(0,COUNTIF($AS$1:AS36,Planning3Match), 0))," ")</f>
        <v xml:space="preserve"> </v>
      </c>
      <c r="AU37" s="80" t="str">
        <f t="array" aca="1" ref="AU37" ca="1">IFERROR(INDEX(TraitOfficers, SMALL(IF(ISNUMBER(MATCH(TraitNames,$AT$2:$AT$5, 0)), MATCH(ROW(TraitNames), ROW(TraitNames)), ""), ROWS($A$1:A36))),"")</f>
        <v/>
      </c>
      <c r="AV37" s="80" t="str">
        <f t="array" aca="1" ref="AV37" ca="1">IFERROR(INDEX(Planning4Match, MATCH(0,COUNTIF($AV$1:AV36,Planning4Match), 0))," ")</f>
        <v xml:space="preserve"> </v>
      </c>
      <c r="AX37" s="80" t="str">
        <f t="array" aca="1" ref="AX37" ca="1">IFERROR(INDEX(TraitOfficers, SMALL(IF(ISNUMBER(MATCH(TraitNames,$AW$2:$AW$5, 0)), MATCH(ROW(TraitNames), ROW(TraitNames)), ""), ROWS($A$1:A36))),"")</f>
        <v/>
      </c>
      <c r="AY37" s="80" t="str">
        <f t="array" aca="1" ref="AY37" ca="1">IFERROR(INDEX(Planning5Match, MATCH(0,COUNTIF($AY$1:AY36,Planning5Match), 0))," ")</f>
        <v xml:space="preserve"> </v>
      </c>
      <c r="BA37" s="80" t="str">
        <f t="array" aca="1" ref="BA37" ca="1">IFERROR(INDEX(TraitOfficers, SMALL(IF(ISNUMBER(MATCH(TraitNames,$AZ$2:$AZ$5, 0)), MATCH(ROW(TraitNames), ROW(TraitNames)), ""), ROWS($A$1:A36))),"")</f>
        <v/>
      </c>
      <c r="BB37" s="80" t="str">
        <f t="array" aca="1" ref="BB37" ca="1">IFERROR(INDEX(Planning6Match, MATCH(0,COUNTIF($BB$1:BB36,Planning6Match), 0))," ")</f>
        <v xml:space="preserve"> </v>
      </c>
      <c r="BD37" s="80" t="str">
        <f t="array" aca="1" ref="BD37" ca="1">IFERROR(INDEX(TraitOfficers, SMALL(IF(ISNUMBER(MATCH(TraitNames,$BC$2:$BC$5, 0)), MATCH(ROW(TraitNames), ROW(TraitNames)), ""), ROWS($A$1:A36))),"")</f>
        <v/>
      </c>
      <c r="BE37" s="80" t="str">
        <f t="array" aca="1" ref="BE37" ca="1">IFERROR(INDEX(Planning7Match, MATCH(0,COUNTIF($BE$1:BE36,Planning7Match), 0))," ")</f>
        <v xml:space="preserve"> </v>
      </c>
      <c r="BG37" s="80" t="str">
        <f t="array" aca="1" ref="BG37" ca="1">IFERROR(INDEX(TraitOfficers, SMALL(IF(ISNUMBER(MATCH(TraitNames,$BF$2:$BF$5, 0)), MATCH(ROW(TraitNames), ROW(TraitNames)), ""), ROWS($A$1:A36))),"")</f>
        <v/>
      </c>
      <c r="BH37" s="80" t="str">
        <f t="array" aca="1" ref="BH37" ca="1">IFERROR(INDEX(Planning8Match, MATCH(0,COUNTIF($BH$1:BH36,Planning8Match), 0))," ")</f>
        <v xml:space="preserve"> </v>
      </c>
      <c r="BJ37" s="80" t="str">
        <f t="array" aca="1" ref="BJ37" ca="1">IFERROR(INDEX(TraitOfficers, SMALL(IF(ISNUMBER(MATCH(TraitNames,$BI$2:$BI$5, 0)), MATCH(ROW(TraitNames), ROW(TraitNames)), ""), ROWS($A$1:A36))),"")</f>
        <v/>
      </c>
      <c r="BK37" s="80" t="str">
        <f t="array" aca="1" ref="BK37" ca="1">IFERROR(INDEX(Planning9Match, MATCH(0,COUNTIF($BK$1:BK36,Planning9Match), 0))," ")</f>
        <v xml:space="preserve"> </v>
      </c>
      <c r="BM37" s="80" t="str">
        <f t="array" aca="1" ref="BM37" ca="1">IFERROR(INDEX(TraitOfficers, SMALL(IF(ISNUMBER(MATCH(TraitNames,$BL$2:$BL$5, 0)), MATCH(ROW(TraitNames), ROW(TraitNames)), ""), ROWS($A$1:A36))),"")</f>
        <v/>
      </c>
      <c r="BN37" s="80" t="str">
        <f t="array" aca="1" ref="BN37" ca="1">IFERROR(INDEX(Planning10Match, MATCH(0,COUNTIF($BN$1:BN36,Planning10Match), 0))," ")</f>
        <v xml:space="preserve"> </v>
      </c>
    </row>
    <row r="38" spans="1:66" x14ac:dyDescent="0.25">
      <c r="A38" s="80" t="s">
        <v>1447</v>
      </c>
      <c r="B38" s="80" t="s">
        <v>910</v>
      </c>
      <c r="C38" s="80" t="s">
        <v>112</v>
      </c>
      <c r="D38" s="80" t="s">
        <v>1405</v>
      </c>
      <c r="G38" s="80" t="s">
        <v>1399</v>
      </c>
      <c r="H38" s="80" t="s">
        <v>1448</v>
      </c>
      <c r="I38" s="80" t="s">
        <v>1449</v>
      </c>
      <c r="J38" s="80" t="s">
        <v>1450</v>
      </c>
      <c r="K38" s="80" t="s">
        <v>1451</v>
      </c>
      <c r="L38" s="80" t="s">
        <v>2124</v>
      </c>
      <c r="M38" s="81">
        <v>0</v>
      </c>
      <c r="N38" s="529">
        <v>3.2300000000000002E-2</v>
      </c>
      <c r="O38" s="80">
        <v>31</v>
      </c>
      <c r="P38" s="81">
        <v>1</v>
      </c>
      <c r="Q38" s="80" t="str">
        <f t="array" ref="Q38">INDEX(AwayMissionRewardsAll, SMALL(IF(SMALL(IF(COUNTIF($Q$1:Q37, AwayMissionRewardsAll)+ISBLANK(AwayMissionRewardsAll)=0, COUNTIF(AwayMissionRewardsAll, "&lt;"&amp;AwayMissionRewardsAll)+1, ""), 1)=IF(ISBLANK(AwayMissionRewardsAll), "", COUNTIF(AwayMissionRewardsAll, "&lt;"&amp;AwayMissionRewardsAll)+1), ROW(AwayMissionRewardsAll)-MIN(ROW(AwayMissionRewardsAll))+1), 1), MATCH(MIN(IF(COUNTIF($Q$1:Q37, AwayMissionRewardsAll)+ISBLANK(AwayMissionRewardsAll)&gt;0, "", COUNTIF(AwayMissionRewardsAll, "&lt;"&amp;AwayMissionRewardsAll)+1)), INDEX(IF(ISBLANK(AwayMissionRewardsAll), "", COUNTIF(AwayMissionRewardsAll, "&lt;"&amp;AwayMissionRewardsAll)+1), SMALL(IF(SMALL(IF(COUNTIF($Q$1:Q37, AwayMissionRewardsAll)+ISBLANK(AwayMissionRewardsAll)=0, COUNTIF(AwayMissionRewardsAll, "&lt;"&amp;AwayMissionRewardsAll)+1, ""), 1)=IF(ISBLANK(AwayMissionRewardsAll), "", COUNTIF(AwayMissionRewardsAll, "&lt;"&amp;AwayMissionRewardsAll)+1), ROW(AwayMissionRewardsAll)-MIN(ROW(AwayMissionRewardsAll))+1), 1), , 1), 0), 1)</f>
        <v>Pike Shards</v>
      </c>
      <c r="T38" s="80" t="str">
        <f t="array" ref="T38">INDEX(AwayMissionTraitsAll, SMALL(IF(SMALL(IF(COUNTIF($T$1:T37, AwayMissionTraitsAll)+ISBLANK(AwayMissionTraitsAll)=0, COUNTIF(AwayMissionTraitsAll, "&lt;"&amp;AwayMissionTraitsAll)+1, ""), 1)=IF(ISBLANK(AwayMissionTraitsAll), "", COUNTIF(AwayMissionTraitsAll, "&lt;"&amp;AwayMissionTraitsAll)+1), ROW(AwayMissionTraitsAll)-MIN(ROW(AwayMissionTraitsAll))+1), 1), MATCH(MIN(IF(COUNTIF($T$1:T37, AwayMissionTraitsAll)+ISBLANK(AwayMissionTraitsAll)&gt;0, "", COUNTIF(AwayMissionTraitsAll, "&lt;"&amp;AwayMissionTraitsAll)+1)), INDEX(IF(ISBLANK(AwayMissionTraitsAll), "", COUNTIF(AwayMissionTraitsAll, "&lt;"&amp;AwayMissionTraitsAll)+1), SMALL(IF(SMALL(IF(COUNTIF($T$1:T37, AwayMissionTraitsAll)+ISBLANK(AwayMissionTraitsAll)=0, COUNTIF(AwayMissionTraitsAll, "&lt;"&amp;AwayMissionTraitsAll)+1, ""), 1)=IF(ISBLANK(AwayMissionTraitsAll), "", COUNTIF(AwayMissionTraitsAll, "&lt;"&amp;AwayMissionTraitsAll)+1), ROW(AwayMissionTraitsAll)-MIN(ROW(AwayMissionTraitsAll))+1), 1), , 1), 0), 1)</f>
        <v>Mastermind</v>
      </c>
      <c r="U38" s="80">
        <f t="shared" si="2"/>
        <v>3</v>
      </c>
      <c r="V38" s="67" t="str">
        <f t="array" ref="V38">IFERROR(INDEX(AwayMissionsNames, SMALL(IF(ISNUMBER(MATCH(AwayMissionTraitsAll,'ATA Analysis'!$D$5:$D$7, 0)), MATCH(ROW(AwayMissionTraitsAll), ROW(AwayMissionTraitsAll)), ""), ROWS($A$1:A37))),"")</f>
        <v/>
      </c>
      <c r="AL38" s="80" t="str">
        <f t="array" aca="1" ref="AL38" ca="1">IFERROR(INDEX(TraitOfficers, SMALL(IF(ISNUMBER(MATCH(TraitNames,$AK$2:$AK$5, 0)), MATCH(ROW(TraitNames), ROW(TraitNames)), ""), ROWS($A$1:A37))),"")</f>
        <v/>
      </c>
      <c r="AM38" s="80" t="str">
        <f t="array" aca="1" ref="AM38" ca="1">IFERROR(INDEX(Planning1Match, MATCH(0,COUNTIF($AM$1:AM37,Planning1Match), 0))," ")</f>
        <v xml:space="preserve"> </v>
      </c>
      <c r="AO38" s="67" t="str">
        <f t="array" aca="1" ref="AO38" ca="1">IFERROR(INDEX(TraitOfficers, SMALL(IF(ISNUMBER(MATCH(TraitNames,$AN$2:$AN$5, 0)), MATCH(ROW(TraitNames), ROW(TraitNames)), ""), ROWS($A$1:A37))),"")</f>
        <v/>
      </c>
      <c r="AP38" s="80" t="str">
        <f t="array" aca="1" ref="AP38" ca="1">IFERROR(INDEX(Planning2Match, MATCH(0,COUNTIF($AP$1:AP37,Planning2Match), 0))," ")</f>
        <v xml:space="preserve"> </v>
      </c>
      <c r="AR38" s="80" t="str">
        <f t="array" aca="1" ref="AR38" ca="1">IFERROR(INDEX(TraitOfficers, SMALL(IF(ISNUMBER(MATCH(TraitNames,$AQ$2:$AQ$5, 0)), MATCH(ROW(TraitNames), ROW(TraitNames)), ""), ROWS($A$1:A37))),"")</f>
        <v/>
      </c>
      <c r="AS38" s="80" t="str">
        <f t="array" aca="1" ref="AS38" ca="1">IFERROR(INDEX(Planning3Match, MATCH(0,COUNTIF($AS$1:AS37,Planning3Match), 0))," ")</f>
        <v xml:space="preserve"> </v>
      </c>
      <c r="AU38" s="80" t="str">
        <f t="array" aca="1" ref="AU38" ca="1">IFERROR(INDEX(TraitOfficers, SMALL(IF(ISNUMBER(MATCH(TraitNames,$AT$2:$AT$5, 0)), MATCH(ROW(TraitNames), ROW(TraitNames)), ""), ROWS($A$1:A37))),"")</f>
        <v/>
      </c>
      <c r="AV38" s="80" t="str">
        <f t="array" aca="1" ref="AV38" ca="1">IFERROR(INDEX(Planning4Match, MATCH(0,COUNTIF($AV$1:AV37,Planning4Match), 0))," ")</f>
        <v xml:space="preserve"> </v>
      </c>
      <c r="AX38" s="80" t="str">
        <f t="array" aca="1" ref="AX38" ca="1">IFERROR(INDEX(TraitOfficers, SMALL(IF(ISNUMBER(MATCH(TraitNames,$AW$2:$AW$5, 0)), MATCH(ROW(TraitNames), ROW(TraitNames)), ""), ROWS($A$1:A37))),"")</f>
        <v/>
      </c>
      <c r="AY38" s="80" t="str">
        <f t="array" aca="1" ref="AY38" ca="1">IFERROR(INDEX(Planning5Match, MATCH(0,COUNTIF($AY$1:AY37,Planning5Match), 0))," ")</f>
        <v xml:space="preserve"> </v>
      </c>
      <c r="BA38" s="80" t="str">
        <f t="array" aca="1" ref="BA38" ca="1">IFERROR(INDEX(TraitOfficers, SMALL(IF(ISNUMBER(MATCH(TraitNames,$AZ$2:$AZ$5, 0)), MATCH(ROW(TraitNames), ROW(TraitNames)), ""), ROWS($A$1:A37))),"")</f>
        <v/>
      </c>
      <c r="BB38" s="80" t="str">
        <f t="array" aca="1" ref="BB38" ca="1">IFERROR(INDEX(Planning6Match, MATCH(0,COUNTIF($BB$1:BB37,Planning6Match), 0))," ")</f>
        <v xml:space="preserve"> </v>
      </c>
      <c r="BD38" s="80" t="str">
        <f t="array" aca="1" ref="BD38" ca="1">IFERROR(INDEX(TraitOfficers, SMALL(IF(ISNUMBER(MATCH(TraitNames,$BC$2:$BC$5, 0)), MATCH(ROW(TraitNames), ROW(TraitNames)), ""), ROWS($A$1:A37))),"")</f>
        <v/>
      </c>
      <c r="BE38" s="80" t="str">
        <f t="array" aca="1" ref="BE38" ca="1">IFERROR(INDEX(Planning7Match, MATCH(0,COUNTIF($BE$1:BE37,Planning7Match), 0))," ")</f>
        <v xml:space="preserve"> </v>
      </c>
      <c r="BG38" s="80" t="str">
        <f t="array" aca="1" ref="BG38" ca="1">IFERROR(INDEX(TraitOfficers, SMALL(IF(ISNUMBER(MATCH(TraitNames,$BF$2:$BF$5, 0)), MATCH(ROW(TraitNames), ROW(TraitNames)), ""), ROWS($A$1:A37))),"")</f>
        <v/>
      </c>
      <c r="BH38" s="80" t="str">
        <f t="array" aca="1" ref="BH38" ca="1">IFERROR(INDEX(Planning8Match, MATCH(0,COUNTIF($BH$1:BH37,Planning8Match), 0))," ")</f>
        <v xml:space="preserve"> </v>
      </c>
      <c r="BJ38" s="80" t="str">
        <f t="array" aca="1" ref="BJ38" ca="1">IFERROR(INDEX(TraitOfficers, SMALL(IF(ISNUMBER(MATCH(TraitNames,$BI$2:$BI$5, 0)), MATCH(ROW(TraitNames), ROW(TraitNames)), ""), ROWS($A$1:A37))),"")</f>
        <v/>
      </c>
      <c r="BK38" s="80" t="str">
        <f t="array" aca="1" ref="BK38" ca="1">IFERROR(INDEX(Planning9Match, MATCH(0,COUNTIF($BK$1:BK37,Planning9Match), 0))," ")</f>
        <v xml:space="preserve"> </v>
      </c>
      <c r="BM38" s="80" t="str">
        <f t="array" aca="1" ref="BM38" ca="1">IFERROR(INDEX(TraitOfficers, SMALL(IF(ISNUMBER(MATCH(TraitNames,$BL$2:$BL$5, 0)), MATCH(ROW(TraitNames), ROW(TraitNames)), ""), ROWS($A$1:A37))),"")</f>
        <v/>
      </c>
      <c r="BN38" s="80" t="str">
        <f t="array" aca="1" ref="BN38" ca="1">IFERROR(INDEX(Planning10Match, MATCH(0,COUNTIF($BN$1:BN37,Planning10Match), 0))," ")</f>
        <v xml:space="preserve"> </v>
      </c>
    </row>
    <row r="39" spans="1:66" x14ac:dyDescent="0.25">
      <c r="A39" s="80" t="s">
        <v>1685</v>
      </c>
      <c r="B39" s="80" t="s">
        <v>910</v>
      </c>
      <c r="C39" s="80" t="s">
        <v>111</v>
      </c>
      <c r="D39" s="80" t="s">
        <v>1519</v>
      </c>
      <c r="G39" s="80" t="s">
        <v>1456</v>
      </c>
      <c r="H39" s="80" t="s">
        <v>1430</v>
      </c>
      <c r="I39" s="80" t="s">
        <v>1403</v>
      </c>
      <c r="J39" s="80" t="s">
        <v>1401</v>
      </c>
      <c r="L39" s="80" t="s">
        <v>2124</v>
      </c>
      <c r="M39" s="81">
        <v>0.25</v>
      </c>
      <c r="N39" s="529">
        <v>0.05</v>
      </c>
      <c r="O39" s="80">
        <v>10</v>
      </c>
      <c r="P39" s="81">
        <v>0.75</v>
      </c>
      <c r="Q39" s="80" t="str">
        <f t="array" ref="Q39">INDEX(AwayMissionRewardsAll, SMALL(IF(SMALL(IF(COUNTIF($Q$1:Q38, AwayMissionRewardsAll)+ISBLANK(AwayMissionRewardsAll)=0, COUNTIF(AwayMissionRewardsAll, "&lt;"&amp;AwayMissionRewardsAll)+1, ""), 1)=IF(ISBLANK(AwayMissionRewardsAll), "", COUNTIF(AwayMissionRewardsAll, "&lt;"&amp;AwayMissionRewardsAll)+1), ROW(AwayMissionRewardsAll)-MIN(ROW(AwayMissionRewardsAll))+1), 1), MATCH(MIN(IF(COUNTIF($Q$1:Q38, AwayMissionRewardsAll)+ISBLANK(AwayMissionRewardsAll)&gt;0, "", COUNTIF(AwayMissionRewardsAll, "&lt;"&amp;AwayMissionRewardsAll)+1)), INDEX(IF(ISBLANK(AwayMissionRewardsAll), "", COUNTIF(AwayMissionRewardsAll, "&lt;"&amp;AwayMissionRewardsAll)+1), SMALL(IF(SMALL(IF(COUNTIF($Q$1:Q38, AwayMissionRewardsAll)+ISBLANK(AwayMissionRewardsAll)=0, COUNTIF(AwayMissionRewardsAll, "&lt;"&amp;AwayMissionRewardsAll)+1, ""), 1)=IF(ISBLANK(AwayMissionRewardsAll), "", COUNTIF(AwayMissionRewardsAll, "&lt;"&amp;AwayMissionRewardsAll)+1), ROW(AwayMissionRewardsAll)-MIN(ROW(AwayMissionRewardsAll))+1), 1), , 1), 0), 1)</f>
        <v>Premium Recruit Tokens</v>
      </c>
      <c r="T39" s="80" t="str">
        <f t="array" ref="T39">INDEX(AwayMissionTraitsAll, SMALL(IF(SMALL(IF(COUNTIF($T$1:T38, AwayMissionTraitsAll)+ISBLANK(AwayMissionTraitsAll)=0, COUNTIF(AwayMissionTraitsAll, "&lt;"&amp;AwayMissionTraitsAll)+1, ""), 1)=IF(ISBLANK(AwayMissionTraitsAll), "", COUNTIF(AwayMissionTraitsAll, "&lt;"&amp;AwayMissionTraitsAll)+1), ROW(AwayMissionTraitsAll)-MIN(ROW(AwayMissionTraitsAll))+1), 1), MATCH(MIN(IF(COUNTIF($T$1:T38, AwayMissionTraitsAll)+ISBLANK(AwayMissionTraitsAll)&gt;0, "", COUNTIF(AwayMissionTraitsAll, "&lt;"&amp;AwayMissionTraitsAll)+1)), INDEX(IF(ISBLANK(AwayMissionTraitsAll), "", COUNTIF(AwayMissionTraitsAll, "&lt;"&amp;AwayMissionTraitsAll)+1), SMALL(IF(SMALL(IF(COUNTIF($T$1:T38, AwayMissionTraitsAll)+ISBLANK(AwayMissionTraitsAll)=0, COUNTIF(AwayMissionTraitsAll, "&lt;"&amp;AwayMissionTraitsAll)+1, ""), 1)=IF(ISBLANK(AwayMissionTraitsAll), "", COUNTIF(AwayMissionTraitsAll, "&lt;"&amp;AwayMissionTraitsAll)+1), ROW(AwayMissionTraitsAll)-MIN(ROW(AwayMissionTraitsAll))+1), 1), , 1), 0), 1)</f>
        <v>Miner</v>
      </c>
      <c r="U39" s="80">
        <f t="shared" si="2"/>
        <v>16</v>
      </c>
      <c r="V39" s="67" t="str">
        <f t="array" ref="V39">IFERROR(INDEX(AwayMissionsNames, SMALL(IF(ISNUMBER(MATCH(AwayMissionTraitsAll,'ATA Analysis'!$D$5:$D$7, 0)), MATCH(ROW(AwayMissionTraitsAll), ROW(AwayMissionTraitsAll)), ""), ROWS($A$1:A38))),"")</f>
        <v/>
      </c>
      <c r="AL39" s="80" t="str">
        <f t="array" aca="1" ref="AL39" ca="1">IFERROR(INDEX(TraitOfficers, SMALL(IF(ISNUMBER(MATCH(TraitNames,$AK$2:$AK$5, 0)), MATCH(ROW(TraitNames), ROW(TraitNames)), ""), ROWS($A$1:A38))),"")</f>
        <v/>
      </c>
      <c r="AM39" s="80" t="str">
        <f t="array" aca="1" ref="AM39" ca="1">IFERROR(INDEX(Planning1Match, MATCH(0,COUNTIF($AM$1:AM38,Planning1Match), 0))," ")</f>
        <v xml:space="preserve"> </v>
      </c>
      <c r="AO39" s="67" t="str">
        <f t="array" aca="1" ref="AO39" ca="1">IFERROR(INDEX(TraitOfficers, SMALL(IF(ISNUMBER(MATCH(TraitNames,$AN$2:$AN$5, 0)), MATCH(ROW(TraitNames), ROW(TraitNames)), ""), ROWS($A$1:A38))),"")</f>
        <v/>
      </c>
      <c r="AP39" s="80" t="str">
        <f t="array" aca="1" ref="AP39" ca="1">IFERROR(INDEX(Planning2Match, MATCH(0,COUNTIF($AP$1:AP38,Planning2Match), 0))," ")</f>
        <v xml:space="preserve"> </v>
      </c>
      <c r="AR39" s="80" t="str">
        <f t="array" aca="1" ref="AR39" ca="1">IFERROR(INDEX(TraitOfficers, SMALL(IF(ISNUMBER(MATCH(TraitNames,$AQ$2:$AQ$5, 0)), MATCH(ROW(TraitNames), ROW(TraitNames)), ""), ROWS($A$1:A38))),"")</f>
        <v/>
      </c>
      <c r="AS39" s="80" t="str">
        <f t="array" aca="1" ref="AS39" ca="1">IFERROR(INDEX(Planning3Match, MATCH(0,COUNTIF($AS$1:AS38,Planning3Match), 0))," ")</f>
        <v xml:space="preserve"> </v>
      </c>
      <c r="AU39" s="80" t="str">
        <f t="array" aca="1" ref="AU39" ca="1">IFERROR(INDEX(TraitOfficers, SMALL(IF(ISNUMBER(MATCH(TraitNames,$AT$2:$AT$5, 0)), MATCH(ROW(TraitNames), ROW(TraitNames)), ""), ROWS($A$1:A38))),"")</f>
        <v/>
      </c>
      <c r="AV39" s="80" t="str">
        <f t="array" aca="1" ref="AV39" ca="1">IFERROR(INDEX(Planning4Match, MATCH(0,COUNTIF($AV$1:AV38,Planning4Match), 0))," ")</f>
        <v xml:space="preserve"> </v>
      </c>
      <c r="AX39" s="80" t="str">
        <f t="array" aca="1" ref="AX39" ca="1">IFERROR(INDEX(TraitOfficers, SMALL(IF(ISNUMBER(MATCH(TraitNames,$AW$2:$AW$5, 0)), MATCH(ROW(TraitNames), ROW(TraitNames)), ""), ROWS($A$1:A38))),"")</f>
        <v/>
      </c>
      <c r="AY39" s="80" t="str">
        <f t="array" aca="1" ref="AY39" ca="1">IFERROR(INDEX(Planning5Match, MATCH(0,COUNTIF($AY$1:AY38,Planning5Match), 0))," ")</f>
        <v xml:space="preserve"> </v>
      </c>
      <c r="BA39" s="80" t="str">
        <f t="array" aca="1" ref="BA39" ca="1">IFERROR(INDEX(TraitOfficers, SMALL(IF(ISNUMBER(MATCH(TraitNames,$AZ$2:$AZ$5, 0)), MATCH(ROW(TraitNames), ROW(TraitNames)), ""), ROWS($A$1:A38))),"")</f>
        <v/>
      </c>
      <c r="BB39" s="80" t="str">
        <f t="array" aca="1" ref="BB39" ca="1">IFERROR(INDEX(Planning6Match, MATCH(0,COUNTIF($BB$1:BB38,Planning6Match), 0))," ")</f>
        <v xml:space="preserve"> </v>
      </c>
      <c r="BD39" s="80" t="str">
        <f t="array" aca="1" ref="BD39" ca="1">IFERROR(INDEX(TraitOfficers, SMALL(IF(ISNUMBER(MATCH(TraitNames,$BC$2:$BC$5, 0)), MATCH(ROW(TraitNames), ROW(TraitNames)), ""), ROWS($A$1:A38))),"")</f>
        <v/>
      </c>
      <c r="BE39" s="80" t="str">
        <f t="array" aca="1" ref="BE39" ca="1">IFERROR(INDEX(Planning7Match, MATCH(0,COUNTIF($BE$1:BE38,Planning7Match), 0))," ")</f>
        <v xml:space="preserve"> </v>
      </c>
      <c r="BG39" s="80" t="str">
        <f t="array" aca="1" ref="BG39" ca="1">IFERROR(INDEX(TraitOfficers, SMALL(IF(ISNUMBER(MATCH(TraitNames,$BF$2:$BF$5, 0)), MATCH(ROW(TraitNames), ROW(TraitNames)), ""), ROWS($A$1:A38))),"")</f>
        <v/>
      </c>
      <c r="BH39" s="80" t="str">
        <f t="array" aca="1" ref="BH39" ca="1">IFERROR(INDEX(Planning8Match, MATCH(0,COUNTIF($BH$1:BH38,Planning8Match), 0))," ")</f>
        <v xml:space="preserve"> </v>
      </c>
      <c r="BJ39" s="80" t="str">
        <f t="array" aca="1" ref="BJ39" ca="1">IFERROR(INDEX(TraitOfficers, SMALL(IF(ISNUMBER(MATCH(TraitNames,$BI$2:$BI$5, 0)), MATCH(ROW(TraitNames), ROW(TraitNames)), ""), ROWS($A$1:A38))),"")</f>
        <v/>
      </c>
      <c r="BK39" s="80" t="str">
        <f t="array" aca="1" ref="BK39" ca="1">IFERROR(INDEX(Planning9Match, MATCH(0,COUNTIF($BK$1:BK38,Planning9Match), 0))," ")</f>
        <v xml:space="preserve"> </v>
      </c>
      <c r="BM39" s="80" t="str">
        <f t="array" aca="1" ref="BM39" ca="1">IFERROR(INDEX(TraitOfficers, SMALL(IF(ISNUMBER(MATCH(TraitNames,$BL$2:$BL$5, 0)), MATCH(ROW(TraitNames), ROW(TraitNames)), ""), ROWS($A$1:A38))),"")</f>
        <v/>
      </c>
      <c r="BN39" s="80" t="str">
        <f t="array" aca="1" ref="BN39" ca="1">IFERROR(INDEX(Planning10Match, MATCH(0,COUNTIF($BN$1:BN38,Planning10Match), 0))," ")</f>
        <v xml:space="preserve"> </v>
      </c>
    </row>
    <row r="40" spans="1:66" x14ac:dyDescent="0.25">
      <c r="A40" s="80" t="s">
        <v>1686</v>
      </c>
      <c r="B40" s="80" t="s">
        <v>910</v>
      </c>
      <c r="C40" s="80" t="s">
        <v>111</v>
      </c>
      <c r="D40" s="80" t="s">
        <v>1519</v>
      </c>
      <c r="E40" s="80" t="s">
        <v>1398</v>
      </c>
      <c r="G40" s="80" t="s">
        <v>1456</v>
      </c>
      <c r="H40" s="80" t="s">
        <v>1430</v>
      </c>
      <c r="I40" s="80" t="s">
        <v>1403</v>
      </c>
      <c r="J40" s="80" t="s">
        <v>1401</v>
      </c>
      <c r="L40" s="80" t="s">
        <v>2124</v>
      </c>
      <c r="M40" s="81">
        <v>0.25</v>
      </c>
      <c r="N40" s="529">
        <v>0.05</v>
      </c>
      <c r="O40" s="80">
        <v>10</v>
      </c>
      <c r="P40" s="81">
        <v>0.75</v>
      </c>
      <c r="Q40" s="80" t="str">
        <f t="array" ref="Q40">INDEX(AwayMissionRewardsAll, SMALL(IF(SMALL(IF(COUNTIF($Q$1:Q39, AwayMissionRewardsAll)+ISBLANK(AwayMissionRewardsAll)=0, COUNTIF(AwayMissionRewardsAll, "&lt;"&amp;AwayMissionRewardsAll)+1, ""), 1)=IF(ISBLANK(AwayMissionRewardsAll), "", COUNTIF(AwayMissionRewardsAll, "&lt;"&amp;AwayMissionRewardsAll)+1), ROW(AwayMissionRewardsAll)-MIN(ROW(AwayMissionRewardsAll))+1), 1), MATCH(MIN(IF(COUNTIF($Q$1:Q39, AwayMissionRewardsAll)+ISBLANK(AwayMissionRewardsAll)&gt;0, "", COUNTIF(AwayMissionRewardsAll, "&lt;"&amp;AwayMissionRewardsAll)+1)), INDEX(IF(ISBLANK(AwayMissionRewardsAll), "", COUNTIF(AwayMissionRewardsAll, "&lt;"&amp;AwayMissionRewardsAll)+1), SMALL(IF(SMALL(IF(COUNTIF($Q$1:Q39, AwayMissionRewardsAll)+ISBLANK(AwayMissionRewardsAll)=0, COUNTIF(AwayMissionRewardsAll, "&lt;"&amp;AwayMissionRewardsAll)+1, ""), 1)=IF(ISBLANK(AwayMissionRewardsAll), "", COUNTIF(AwayMissionRewardsAll, "&lt;"&amp;AwayMissionRewardsAll)+1), ROW(AwayMissionRewardsAll)-MIN(ROW(AwayMissionRewardsAll))+1), 1), , 1), 0), 1)</f>
        <v>Rare Officer Shards</v>
      </c>
      <c r="T40" s="80" t="str">
        <f t="array" ref="T40">INDEX(AwayMissionTraitsAll, SMALL(IF(SMALL(IF(COUNTIF($T$1:T39, AwayMissionTraitsAll)+ISBLANK(AwayMissionTraitsAll)=0, COUNTIF(AwayMissionTraitsAll, "&lt;"&amp;AwayMissionTraitsAll)+1, ""), 1)=IF(ISBLANK(AwayMissionTraitsAll), "", COUNTIF(AwayMissionTraitsAll, "&lt;"&amp;AwayMissionTraitsAll)+1), ROW(AwayMissionTraitsAll)-MIN(ROW(AwayMissionTraitsAll))+1), 1), MATCH(MIN(IF(COUNTIF($T$1:T39, AwayMissionTraitsAll)+ISBLANK(AwayMissionTraitsAll)&gt;0, "", COUNTIF(AwayMissionTraitsAll, "&lt;"&amp;AwayMissionTraitsAll)+1)), INDEX(IF(ISBLANK(AwayMissionTraitsAll), "", COUNTIF(AwayMissionTraitsAll, "&lt;"&amp;AwayMissionTraitsAll)+1), SMALL(IF(SMALL(IF(COUNTIF($T$1:T39, AwayMissionTraitsAll)+ISBLANK(AwayMissionTraitsAll)=0, COUNTIF(AwayMissionTraitsAll, "&lt;"&amp;AwayMissionTraitsAll)+1, ""), 1)=IF(ISBLANK(AwayMissionTraitsAll), "", COUNTIF(AwayMissionTraitsAll, "&lt;"&amp;AwayMissionTraitsAll)+1), ROW(AwayMissionTraitsAll)-MIN(ROW(AwayMissionTraitsAll))+1), 1), , 1), 0), 1)</f>
        <v>Patriotic</v>
      </c>
      <c r="U40" s="80">
        <f t="shared" si="2"/>
        <v>3</v>
      </c>
      <c r="V40" s="67" t="str">
        <f t="array" ref="V40">IFERROR(INDEX(AwayMissionsNames, SMALL(IF(ISNUMBER(MATCH(AwayMissionTraitsAll,'ATA Analysis'!$D$5:$D$7, 0)), MATCH(ROW(AwayMissionTraitsAll), ROW(AwayMissionTraitsAll)), ""), ROWS($A$1:A39))),"")</f>
        <v/>
      </c>
      <c r="AL40" s="80" t="str">
        <f t="array" aca="1" ref="AL40" ca="1">IFERROR(INDEX(TraitOfficers, SMALL(IF(ISNUMBER(MATCH(TraitNames,$AK$2:$AK$5, 0)), MATCH(ROW(TraitNames), ROW(TraitNames)), ""), ROWS($A$1:A39))),"")</f>
        <v/>
      </c>
      <c r="AM40" s="80" t="str">
        <f t="array" aca="1" ref="AM40" ca="1">IFERROR(INDEX(Planning1Match, MATCH(0,COUNTIF($AM$1:AM39,Planning1Match), 0))," ")</f>
        <v xml:space="preserve"> </v>
      </c>
      <c r="AO40" s="67" t="str">
        <f t="array" aca="1" ref="AO40" ca="1">IFERROR(INDEX(TraitOfficers, SMALL(IF(ISNUMBER(MATCH(TraitNames,$AN$2:$AN$5, 0)), MATCH(ROW(TraitNames), ROW(TraitNames)), ""), ROWS($A$1:A39))),"")</f>
        <v/>
      </c>
      <c r="AP40" s="80" t="str">
        <f t="array" aca="1" ref="AP40" ca="1">IFERROR(INDEX(Planning2Match, MATCH(0,COUNTIF($AP$1:AP39,Planning2Match), 0))," ")</f>
        <v xml:space="preserve"> </v>
      </c>
      <c r="AR40" s="80" t="str">
        <f t="array" aca="1" ref="AR40" ca="1">IFERROR(INDEX(TraitOfficers, SMALL(IF(ISNUMBER(MATCH(TraitNames,$AQ$2:$AQ$5, 0)), MATCH(ROW(TraitNames), ROW(TraitNames)), ""), ROWS($A$1:A39))),"")</f>
        <v/>
      </c>
      <c r="AS40" s="80" t="str">
        <f t="array" aca="1" ref="AS40" ca="1">IFERROR(INDEX(Planning3Match, MATCH(0,COUNTIF($AS$1:AS39,Planning3Match), 0))," ")</f>
        <v xml:space="preserve"> </v>
      </c>
      <c r="AU40" s="80" t="str">
        <f t="array" aca="1" ref="AU40" ca="1">IFERROR(INDEX(TraitOfficers, SMALL(IF(ISNUMBER(MATCH(TraitNames,$AT$2:$AT$5, 0)), MATCH(ROW(TraitNames), ROW(TraitNames)), ""), ROWS($A$1:A39))),"")</f>
        <v/>
      </c>
      <c r="AV40" s="80" t="str">
        <f t="array" aca="1" ref="AV40" ca="1">IFERROR(INDEX(Planning4Match, MATCH(0,COUNTIF($AV$1:AV39,Planning4Match), 0))," ")</f>
        <v xml:space="preserve"> </v>
      </c>
      <c r="AX40" s="80" t="str">
        <f t="array" aca="1" ref="AX40" ca="1">IFERROR(INDEX(TraitOfficers, SMALL(IF(ISNUMBER(MATCH(TraitNames,$AW$2:$AW$5, 0)), MATCH(ROW(TraitNames), ROW(TraitNames)), ""), ROWS($A$1:A39))),"")</f>
        <v/>
      </c>
      <c r="AY40" s="80" t="str">
        <f t="array" aca="1" ref="AY40" ca="1">IFERROR(INDEX(Planning5Match, MATCH(0,COUNTIF($AY$1:AY39,Planning5Match), 0))," ")</f>
        <v xml:space="preserve"> </v>
      </c>
      <c r="BA40" s="80" t="str">
        <f t="array" aca="1" ref="BA40" ca="1">IFERROR(INDEX(TraitOfficers, SMALL(IF(ISNUMBER(MATCH(TraitNames,$AZ$2:$AZ$5, 0)), MATCH(ROW(TraitNames), ROW(TraitNames)), ""), ROWS($A$1:A39))),"")</f>
        <v/>
      </c>
      <c r="BB40" s="80" t="str">
        <f t="array" aca="1" ref="BB40" ca="1">IFERROR(INDEX(Planning6Match, MATCH(0,COUNTIF($BB$1:BB39,Planning6Match), 0))," ")</f>
        <v xml:space="preserve"> </v>
      </c>
      <c r="BD40" s="80" t="str">
        <f t="array" aca="1" ref="BD40" ca="1">IFERROR(INDEX(TraitOfficers, SMALL(IF(ISNUMBER(MATCH(TraitNames,$BC$2:$BC$5, 0)), MATCH(ROW(TraitNames), ROW(TraitNames)), ""), ROWS($A$1:A39))),"")</f>
        <v/>
      </c>
      <c r="BE40" s="80" t="str">
        <f t="array" aca="1" ref="BE40" ca="1">IFERROR(INDEX(Planning7Match, MATCH(0,COUNTIF($BE$1:BE39,Planning7Match), 0))," ")</f>
        <v xml:space="preserve"> </v>
      </c>
      <c r="BG40" s="80" t="str">
        <f t="array" aca="1" ref="BG40" ca="1">IFERROR(INDEX(TraitOfficers, SMALL(IF(ISNUMBER(MATCH(TraitNames,$BF$2:$BF$5, 0)), MATCH(ROW(TraitNames), ROW(TraitNames)), ""), ROWS($A$1:A39))),"")</f>
        <v/>
      </c>
      <c r="BH40" s="80" t="str">
        <f t="array" aca="1" ref="BH40" ca="1">IFERROR(INDEX(Planning8Match, MATCH(0,COUNTIF($BH$1:BH39,Planning8Match), 0))," ")</f>
        <v xml:space="preserve"> </v>
      </c>
      <c r="BJ40" s="80" t="str">
        <f t="array" aca="1" ref="BJ40" ca="1">IFERROR(INDEX(TraitOfficers, SMALL(IF(ISNUMBER(MATCH(TraitNames,$BI$2:$BI$5, 0)), MATCH(ROW(TraitNames), ROW(TraitNames)), ""), ROWS($A$1:A39))),"")</f>
        <v/>
      </c>
      <c r="BK40" s="80" t="str">
        <f t="array" aca="1" ref="BK40" ca="1">IFERROR(INDEX(Planning9Match, MATCH(0,COUNTIF($BK$1:BK39,Planning9Match), 0))," ")</f>
        <v xml:space="preserve"> </v>
      </c>
      <c r="BM40" s="80" t="str">
        <f t="array" aca="1" ref="BM40" ca="1">IFERROR(INDEX(TraitOfficers, SMALL(IF(ISNUMBER(MATCH(TraitNames,$BL$2:$BL$5, 0)), MATCH(ROW(TraitNames), ROW(TraitNames)), ""), ROWS($A$1:A39))),"")</f>
        <v/>
      </c>
      <c r="BN40" s="80" t="str">
        <f t="array" aca="1" ref="BN40" ca="1">IFERROR(INDEX(Planning10Match, MATCH(0,COUNTIF($BN$1:BN39,Planning10Match), 0))," ")</f>
        <v xml:space="preserve"> </v>
      </c>
    </row>
    <row r="41" spans="1:66" x14ac:dyDescent="0.25">
      <c r="A41" s="80" t="s">
        <v>1452</v>
      </c>
      <c r="B41" s="80" t="s">
        <v>912</v>
      </c>
      <c r="C41" s="80" t="s">
        <v>112</v>
      </c>
      <c r="D41" s="80" t="s">
        <v>1398</v>
      </c>
      <c r="E41" s="80" t="s">
        <v>1453</v>
      </c>
      <c r="G41" s="80" t="s">
        <v>1454</v>
      </c>
      <c r="H41" s="80" t="s">
        <v>1430</v>
      </c>
      <c r="I41" s="80" t="s">
        <v>1463</v>
      </c>
      <c r="J41" s="80" t="s">
        <v>1403</v>
      </c>
      <c r="K41" s="80" t="s">
        <v>1506</v>
      </c>
      <c r="L41" s="80" t="s">
        <v>2124</v>
      </c>
      <c r="M41" s="81">
        <v>0.25</v>
      </c>
      <c r="N41" s="529">
        <v>3.85E-2</v>
      </c>
      <c r="O41" s="80">
        <v>13</v>
      </c>
      <c r="P41" s="81">
        <v>0.75</v>
      </c>
      <c r="Q41" s="80" t="str">
        <f t="array" ref="Q41">INDEX(AwayMissionRewardsAll, SMALL(IF(SMALL(IF(COUNTIF($Q$1:Q40, AwayMissionRewardsAll)+ISBLANK(AwayMissionRewardsAll)=0, COUNTIF(AwayMissionRewardsAll, "&lt;"&amp;AwayMissionRewardsAll)+1, ""), 1)=IF(ISBLANK(AwayMissionRewardsAll), "", COUNTIF(AwayMissionRewardsAll, "&lt;"&amp;AwayMissionRewardsAll)+1), ROW(AwayMissionRewardsAll)-MIN(ROW(AwayMissionRewardsAll))+1), 1), MATCH(MIN(IF(COUNTIF($Q$1:Q40, AwayMissionRewardsAll)+ISBLANK(AwayMissionRewardsAll)&gt;0, "", COUNTIF(AwayMissionRewardsAll, "&lt;"&amp;AwayMissionRewardsAll)+1)), INDEX(IF(ISBLANK(AwayMissionRewardsAll), "", COUNTIF(AwayMissionRewardsAll, "&lt;"&amp;AwayMissionRewardsAll)+1), SMALL(IF(SMALL(IF(COUNTIF($Q$1:Q40, AwayMissionRewardsAll)+ISBLANK(AwayMissionRewardsAll)=0, COUNTIF(AwayMissionRewardsAll, "&lt;"&amp;AwayMissionRewardsAll)+1, ""), 1)=IF(ISBLANK(AwayMissionRewardsAll), "", COUNTIF(AwayMissionRewardsAll, "&lt;"&amp;AwayMissionRewardsAll)+1), ROW(AwayMissionRewardsAll)-MIN(ROW(AwayMissionRewardsAll))+1), 1), , 1), 0), 1)</f>
        <v>Rare Star Charts</v>
      </c>
      <c r="T41" s="80" t="str">
        <f t="array" ref="T41">INDEX(AwayMissionTraitsAll, SMALL(IF(SMALL(IF(COUNTIF($T$1:T40, AwayMissionTraitsAll)+ISBLANK(AwayMissionTraitsAll)=0, COUNTIF(AwayMissionTraitsAll, "&lt;"&amp;AwayMissionTraitsAll)+1, ""), 1)=IF(ISBLANK(AwayMissionTraitsAll), "", COUNTIF(AwayMissionTraitsAll, "&lt;"&amp;AwayMissionTraitsAll)+1), ROW(AwayMissionTraitsAll)-MIN(ROW(AwayMissionTraitsAll))+1), 1), MATCH(MIN(IF(COUNTIF($T$1:T40, AwayMissionTraitsAll)+ISBLANK(AwayMissionTraitsAll)&gt;0, "", COUNTIF(AwayMissionTraitsAll, "&lt;"&amp;AwayMissionTraitsAll)+1)), INDEX(IF(ISBLANK(AwayMissionTraitsAll), "", COUNTIF(AwayMissionTraitsAll, "&lt;"&amp;AwayMissionTraitsAll)+1), SMALL(IF(SMALL(IF(COUNTIF($T$1:T40, AwayMissionTraitsAll)+ISBLANK(AwayMissionTraitsAll)=0, COUNTIF(AwayMissionTraitsAll, "&lt;"&amp;AwayMissionTraitsAll)+1, ""), 1)=IF(ISBLANK(AwayMissionTraitsAll), "", COUNTIF(AwayMissionTraitsAll, "&lt;"&amp;AwayMissionTraitsAll)+1), ROW(AwayMissionTraitsAll)-MIN(ROW(AwayMissionTraitsAll))+1), 1), , 1), 0), 1)</f>
        <v>Perceptive</v>
      </c>
      <c r="U41" s="80">
        <f t="shared" si="2"/>
        <v>2</v>
      </c>
    </row>
    <row r="42" spans="1:66" x14ac:dyDescent="0.25">
      <c r="A42" s="80" t="s">
        <v>1455</v>
      </c>
      <c r="B42" s="80" t="s">
        <v>912</v>
      </c>
      <c r="C42" s="80" t="s">
        <v>112</v>
      </c>
      <c r="D42" s="80" t="s">
        <v>1398</v>
      </c>
      <c r="E42" s="80" t="s">
        <v>1456</v>
      </c>
      <c r="G42" s="80" t="s">
        <v>1457</v>
      </c>
      <c r="H42" s="80" t="s">
        <v>1430</v>
      </c>
      <c r="I42" s="80" t="s">
        <v>1401</v>
      </c>
      <c r="J42" s="80" t="s">
        <v>1400</v>
      </c>
      <c r="K42" s="80" t="s">
        <v>1403</v>
      </c>
      <c r="L42" s="80" t="s">
        <v>2134</v>
      </c>
      <c r="M42" s="81">
        <v>0.25</v>
      </c>
      <c r="N42" s="529">
        <v>3.5700000000000003E-2</v>
      </c>
      <c r="O42" s="80">
        <v>14</v>
      </c>
      <c r="P42" s="81">
        <v>0.75</v>
      </c>
      <c r="Q42" s="80" t="str">
        <f t="array" ref="Q42">INDEX(AwayMissionRewardsAll, SMALL(IF(SMALL(IF(COUNTIF($Q$1:Q41, AwayMissionRewardsAll)+ISBLANK(AwayMissionRewardsAll)=0, COUNTIF(AwayMissionRewardsAll, "&lt;"&amp;AwayMissionRewardsAll)+1, ""), 1)=IF(ISBLANK(AwayMissionRewardsAll), "", COUNTIF(AwayMissionRewardsAll, "&lt;"&amp;AwayMissionRewardsAll)+1), ROW(AwayMissionRewardsAll)-MIN(ROW(AwayMissionRewardsAll))+1), 1), MATCH(MIN(IF(COUNTIF($Q$1:Q41, AwayMissionRewardsAll)+ISBLANK(AwayMissionRewardsAll)&gt;0, "", COUNTIF(AwayMissionRewardsAll, "&lt;"&amp;AwayMissionRewardsAll)+1)), INDEX(IF(ISBLANK(AwayMissionRewardsAll), "", COUNTIF(AwayMissionRewardsAll, "&lt;"&amp;AwayMissionRewardsAll)+1), SMALL(IF(SMALL(IF(COUNTIF($Q$1:Q41, AwayMissionRewardsAll)+ISBLANK(AwayMissionRewardsAll)=0, COUNTIF(AwayMissionRewardsAll, "&lt;"&amp;AwayMissionRewardsAll)+1, ""), 1)=IF(ISBLANK(AwayMissionRewardsAll), "", COUNTIF(AwayMissionRewardsAll, "&lt;"&amp;AwayMissionRewardsAll)+1), ROW(AwayMissionRewardsAll)-MIN(ROW(AwayMissionRewardsAll))+1), 1), , 1), 0), 1)</f>
        <v>Raw Crystal</v>
      </c>
      <c r="T42" s="80" t="str">
        <f t="array" ref="T42">INDEX(AwayMissionTraitsAll, SMALL(IF(SMALL(IF(COUNTIF($T$1:T41, AwayMissionTraitsAll)+ISBLANK(AwayMissionTraitsAll)=0, COUNTIF(AwayMissionTraitsAll, "&lt;"&amp;AwayMissionTraitsAll)+1, ""), 1)=IF(ISBLANK(AwayMissionTraitsAll), "", COUNTIF(AwayMissionTraitsAll, "&lt;"&amp;AwayMissionTraitsAll)+1), ROW(AwayMissionTraitsAll)-MIN(ROW(AwayMissionTraitsAll))+1), 1), MATCH(MIN(IF(COUNTIF($T$1:T41, AwayMissionTraitsAll)+ISBLANK(AwayMissionTraitsAll)&gt;0, "", COUNTIF(AwayMissionTraitsAll, "&lt;"&amp;AwayMissionTraitsAll)+1)), INDEX(IF(ISBLANK(AwayMissionTraitsAll), "", COUNTIF(AwayMissionTraitsAll, "&lt;"&amp;AwayMissionTraitsAll)+1), SMALL(IF(SMALL(IF(COUNTIF($T$1:T41, AwayMissionTraitsAll)+ISBLANK(AwayMissionTraitsAll)=0, COUNTIF(AwayMissionTraitsAll, "&lt;"&amp;AwayMissionTraitsAll)+1, ""), 1)=IF(ISBLANK(AwayMissionTraitsAll), "", COUNTIF(AwayMissionTraitsAll, "&lt;"&amp;AwayMissionTraitsAll)+1), ROW(AwayMissionTraitsAll)-MIN(ROW(AwayMissionTraitsAll))+1), 1), , 1), 0), 1)</f>
        <v>Physicist</v>
      </c>
      <c r="U42" s="80">
        <f t="shared" si="2"/>
        <v>9</v>
      </c>
    </row>
    <row r="43" spans="1:66" x14ac:dyDescent="0.25">
      <c r="A43" s="80" t="s">
        <v>1458</v>
      </c>
      <c r="B43" s="80" t="s">
        <v>912</v>
      </c>
      <c r="C43" s="80" t="s">
        <v>112</v>
      </c>
      <c r="D43" s="80" t="s">
        <v>1398</v>
      </c>
      <c r="E43" s="80" t="s">
        <v>1442</v>
      </c>
      <c r="G43" s="80" t="s">
        <v>1465</v>
      </c>
      <c r="H43" s="80" t="s">
        <v>1459</v>
      </c>
      <c r="I43" s="80" t="s">
        <v>1460</v>
      </c>
      <c r="J43" s="80" t="s">
        <v>1430</v>
      </c>
      <c r="K43" s="80" t="s">
        <v>1403</v>
      </c>
      <c r="L43" s="80" t="s">
        <v>2124</v>
      </c>
      <c r="M43" s="81">
        <v>0.25</v>
      </c>
      <c r="N43" s="529">
        <v>2.5000000000000001E-2</v>
      </c>
      <c r="O43" s="80">
        <v>20</v>
      </c>
      <c r="P43" s="81">
        <v>0.75</v>
      </c>
      <c r="Q43" s="80" t="str">
        <f t="array" ref="Q43">INDEX(AwayMissionRewardsAll, SMALL(IF(SMALL(IF(COUNTIF($Q$1:Q42, AwayMissionRewardsAll)+ISBLANK(AwayMissionRewardsAll)=0, COUNTIF(AwayMissionRewardsAll, "&lt;"&amp;AwayMissionRewardsAll)+1, ""), 1)=IF(ISBLANK(AwayMissionRewardsAll), "", COUNTIF(AwayMissionRewardsAll, "&lt;"&amp;AwayMissionRewardsAll)+1), ROW(AwayMissionRewardsAll)-MIN(ROW(AwayMissionRewardsAll))+1), 1), MATCH(MIN(IF(COUNTIF($Q$1:Q42, AwayMissionRewardsAll)+ISBLANK(AwayMissionRewardsAll)&gt;0, "", COUNTIF(AwayMissionRewardsAll, "&lt;"&amp;AwayMissionRewardsAll)+1)), INDEX(IF(ISBLANK(AwayMissionRewardsAll), "", COUNTIF(AwayMissionRewardsAll, "&lt;"&amp;AwayMissionRewardsAll)+1), SMALL(IF(SMALL(IF(COUNTIF($Q$1:Q42, AwayMissionRewardsAll)+ISBLANK(AwayMissionRewardsAll)=0, COUNTIF(AwayMissionRewardsAll, "&lt;"&amp;AwayMissionRewardsAll)+1, ""), 1)=IF(ISBLANK(AwayMissionRewardsAll), "", COUNTIF(AwayMissionRewardsAll, "&lt;"&amp;AwayMissionRewardsAll)+1), ROW(AwayMissionRewardsAll)-MIN(ROW(AwayMissionRewardsAll))+1), 1), , 1), 0), 1)</f>
        <v>Raw Gas</v>
      </c>
      <c r="T43" s="80" t="str">
        <f t="array" ref="T43">INDEX(AwayMissionTraitsAll, SMALL(IF(SMALL(IF(COUNTIF($T$1:T42, AwayMissionTraitsAll)+ISBLANK(AwayMissionTraitsAll)=0, COUNTIF(AwayMissionTraitsAll, "&lt;"&amp;AwayMissionTraitsAll)+1, ""), 1)=IF(ISBLANK(AwayMissionTraitsAll), "", COUNTIF(AwayMissionTraitsAll, "&lt;"&amp;AwayMissionTraitsAll)+1), ROW(AwayMissionTraitsAll)-MIN(ROW(AwayMissionTraitsAll))+1), 1), MATCH(MIN(IF(COUNTIF($T$1:T42, AwayMissionTraitsAll)+ISBLANK(AwayMissionTraitsAll)&gt;0, "", COUNTIF(AwayMissionTraitsAll, "&lt;"&amp;AwayMissionTraitsAll)+1)), INDEX(IF(ISBLANK(AwayMissionTraitsAll), "", COUNTIF(AwayMissionTraitsAll, "&lt;"&amp;AwayMissionTraitsAll)+1), SMALL(IF(SMALL(IF(COUNTIF($T$1:T42, AwayMissionTraitsAll)+ISBLANK(AwayMissionTraitsAll)=0, COUNTIF(AwayMissionTraitsAll, "&lt;"&amp;AwayMissionTraitsAll)+1, ""), 1)=IF(ISBLANK(AwayMissionTraitsAll), "", COUNTIF(AwayMissionTraitsAll, "&lt;"&amp;AwayMissionTraitsAll)+1), ROW(AwayMissionTraitsAll)-MIN(ROW(AwayMissionTraitsAll))+1), 1), , 1), 0), 1)</f>
        <v>Pilot</v>
      </c>
      <c r="U43" s="80">
        <f t="shared" si="2"/>
        <v>6</v>
      </c>
    </row>
    <row r="44" spans="1:66" x14ac:dyDescent="0.25">
      <c r="A44" s="80" t="s">
        <v>1462</v>
      </c>
      <c r="B44" s="80" t="s">
        <v>911</v>
      </c>
      <c r="C44" s="80" t="s">
        <v>111</v>
      </c>
      <c r="D44" s="80" t="s">
        <v>1398</v>
      </c>
      <c r="E44" s="80" t="s">
        <v>1456</v>
      </c>
      <c r="G44" s="80" t="s">
        <v>1457</v>
      </c>
      <c r="H44" s="80" t="s">
        <v>1430</v>
      </c>
      <c r="I44" s="80" t="s">
        <v>1463</v>
      </c>
      <c r="J44" s="80" t="s">
        <v>1401</v>
      </c>
      <c r="L44" s="80" t="s">
        <v>2120</v>
      </c>
      <c r="M44" s="81">
        <v>0.25</v>
      </c>
      <c r="N44" s="529">
        <v>0.05</v>
      </c>
      <c r="O44" s="80">
        <v>10</v>
      </c>
      <c r="P44" s="81">
        <v>0.75</v>
      </c>
      <c r="Q44" s="80" t="str">
        <f t="array" ref="Q44">INDEX(AwayMissionRewardsAll, SMALL(IF(SMALL(IF(COUNTIF($Q$1:Q43, AwayMissionRewardsAll)+ISBLANK(AwayMissionRewardsAll)=0, COUNTIF(AwayMissionRewardsAll, "&lt;"&amp;AwayMissionRewardsAll)+1, ""), 1)=IF(ISBLANK(AwayMissionRewardsAll), "", COUNTIF(AwayMissionRewardsAll, "&lt;"&amp;AwayMissionRewardsAll)+1), ROW(AwayMissionRewardsAll)-MIN(ROW(AwayMissionRewardsAll))+1), 1), MATCH(MIN(IF(COUNTIF($Q$1:Q43, AwayMissionRewardsAll)+ISBLANK(AwayMissionRewardsAll)&gt;0, "", COUNTIF(AwayMissionRewardsAll, "&lt;"&amp;AwayMissionRewardsAll)+1)), INDEX(IF(ISBLANK(AwayMissionRewardsAll), "", COUNTIF(AwayMissionRewardsAll, "&lt;"&amp;AwayMissionRewardsAll)+1), SMALL(IF(SMALL(IF(COUNTIF($Q$1:Q43, AwayMissionRewardsAll)+ISBLANK(AwayMissionRewardsAll)=0, COUNTIF(AwayMissionRewardsAll, "&lt;"&amp;AwayMissionRewardsAll)+1, ""), 1)=IF(ISBLANK(AwayMissionRewardsAll), "", COUNTIF(AwayMissionRewardsAll, "&lt;"&amp;AwayMissionRewardsAll)+1), ROW(AwayMissionRewardsAll)-MIN(ROW(AwayMissionRewardsAll))+1), 1), , 1), 0), 1)</f>
        <v>Raw Ore</v>
      </c>
      <c r="T44" s="80" t="str">
        <f t="array" ref="T44">INDEX(AwayMissionTraitsAll, SMALL(IF(SMALL(IF(COUNTIF($T$1:T43, AwayMissionTraitsAll)+ISBLANK(AwayMissionTraitsAll)=0, COUNTIF(AwayMissionTraitsAll, "&lt;"&amp;AwayMissionTraitsAll)+1, ""), 1)=IF(ISBLANK(AwayMissionTraitsAll), "", COUNTIF(AwayMissionTraitsAll, "&lt;"&amp;AwayMissionTraitsAll)+1), ROW(AwayMissionTraitsAll)-MIN(ROW(AwayMissionTraitsAll))+1), 1), MATCH(MIN(IF(COUNTIF($T$1:T43, AwayMissionTraitsAll)+ISBLANK(AwayMissionTraitsAll)&gt;0, "", COUNTIF(AwayMissionTraitsAll, "&lt;"&amp;AwayMissionTraitsAll)+1)), INDEX(IF(ISBLANK(AwayMissionTraitsAll), "", COUNTIF(AwayMissionTraitsAll, "&lt;"&amp;AwayMissionTraitsAll)+1), SMALL(IF(SMALL(IF(COUNTIF($T$1:T43, AwayMissionTraitsAll)+ISBLANK(AwayMissionTraitsAll)=0, COUNTIF(AwayMissionTraitsAll, "&lt;"&amp;AwayMissionTraitsAll)+1, ""), 1)=IF(ISBLANK(AwayMissionTraitsAll), "", COUNTIF(AwayMissionTraitsAll, "&lt;"&amp;AwayMissionTraitsAll)+1), ROW(AwayMissionTraitsAll)-MIN(ROW(AwayMissionTraitsAll))+1), 1), , 1), 0), 1)</f>
        <v>Psionic</v>
      </c>
      <c r="U44" s="80">
        <f t="shared" si="2"/>
        <v>1</v>
      </c>
    </row>
    <row r="45" spans="1:66" x14ac:dyDescent="0.25">
      <c r="A45" s="80" t="s">
        <v>1464</v>
      </c>
      <c r="B45" s="80" t="s">
        <v>911</v>
      </c>
      <c r="C45" s="80" t="s">
        <v>111</v>
      </c>
      <c r="D45" s="80" t="s">
        <v>1398</v>
      </c>
      <c r="E45" s="80" t="s">
        <v>1442</v>
      </c>
      <c r="G45" s="80" t="s">
        <v>1465</v>
      </c>
      <c r="H45" s="80" t="s">
        <v>1490</v>
      </c>
      <c r="I45" s="80" t="s">
        <v>1430</v>
      </c>
      <c r="J45" s="80" t="s">
        <v>1431</v>
      </c>
      <c r="L45" s="80" t="s">
        <v>2120</v>
      </c>
      <c r="M45" s="81">
        <v>0.25</v>
      </c>
      <c r="N45" s="529">
        <v>4.5499999999999999E-2</v>
      </c>
      <c r="O45" s="80">
        <v>11</v>
      </c>
      <c r="P45" s="81">
        <v>0.75</v>
      </c>
      <c r="Q45" s="80" t="str">
        <f t="array" ref="Q45">INDEX(AwayMissionRewardsAll, SMALL(IF(SMALL(IF(COUNTIF($Q$1:Q44, AwayMissionRewardsAll)+ISBLANK(AwayMissionRewardsAll)=0, COUNTIF(AwayMissionRewardsAll, "&lt;"&amp;AwayMissionRewardsAll)+1, ""), 1)=IF(ISBLANK(AwayMissionRewardsAll), "", COUNTIF(AwayMissionRewardsAll, "&lt;"&amp;AwayMissionRewardsAll)+1), ROW(AwayMissionRewardsAll)-MIN(ROW(AwayMissionRewardsAll))+1), 1), MATCH(MIN(IF(COUNTIF($Q$1:Q44, AwayMissionRewardsAll)+ISBLANK(AwayMissionRewardsAll)&gt;0, "", COUNTIF(AwayMissionRewardsAll, "&lt;"&amp;AwayMissionRewardsAll)+1)), INDEX(IF(ISBLANK(AwayMissionRewardsAll), "", COUNTIF(AwayMissionRewardsAll, "&lt;"&amp;AwayMissionRewardsAll)+1), SMALL(IF(SMALL(IF(COUNTIF($Q$1:Q44, AwayMissionRewardsAll)+ISBLANK(AwayMissionRewardsAll)=0, COUNTIF(AwayMissionRewardsAll, "&lt;"&amp;AwayMissionRewardsAll)+1, ""), 1)=IF(ISBLANK(AwayMissionRewardsAll), "", COUNTIF(AwayMissionRewardsAll, "&lt;"&amp;AwayMissionRewardsAll)+1), ROW(AwayMissionRewardsAll)-MIN(ROW(AwayMissionRewardsAll))+1), 1), , 1), 0), 1)</f>
        <v>Recruit Tokens</v>
      </c>
      <c r="T45" s="80" t="str">
        <f t="array" ref="T45">INDEX(AwayMissionTraitsAll, SMALL(IF(SMALL(IF(COUNTIF($T$1:T44, AwayMissionTraitsAll)+ISBLANK(AwayMissionTraitsAll)=0, COUNTIF(AwayMissionTraitsAll, "&lt;"&amp;AwayMissionTraitsAll)+1, ""), 1)=IF(ISBLANK(AwayMissionTraitsAll), "", COUNTIF(AwayMissionTraitsAll, "&lt;"&amp;AwayMissionTraitsAll)+1), ROW(AwayMissionTraitsAll)-MIN(ROW(AwayMissionTraitsAll))+1), 1), MATCH(MIN(IF(COUNTIF($T$1:T44, AwayMissionTraitsAll)+ISBLANK(AwayMissionTraitsAll)&gt;0, "", COUNTIF(AwayMissionTraitsAll, "&lt;"&amp;AwayMissionTraitsAll)+1)), INDEX(IF(ISBLANK(AwayMissionTraitsAll), "", COUNTIF(AwayMissionTraitsAll, "&lt;"&amp;AwayMissionTraitsAll)+1), SMALL(IF(SMALL(IF(COUNTIF($T$1:T44, AwayMissionTraitsAll)+ISBLANK(AwayMissionTraitsAll)=0, COUNTIF(AwayMissionTraitsAll, "&lt;"&amp;AwayMissionTraitsAll)+1, ""), 1)=IF(ISBLANK(AwayMissionTraitsAll), "", COUNTIF(AwayMissionTraitsAll, "&lt;"&amp;AwayMissionTraitsAll)+1), ROW(AwayMissionTraitsAll)-MIN(ROW(AwayMissionTraitsAll))+1), 1), , 1), 0), 1)</f>
        <v>Relentless</v>
      </c>
      <c r="U45" s="80">
        <f t="shared" si="2"/>
        <v>6</v>
      </c>
    </row>
    <row r="46" spans="1:66" x14ac:dyDescent="0.25">
      <c r="A46" s="80" t="s">
        <v>1461</v>
      </c>
      <c r="B46" s="80" t="s">
        <v>911</v>
      </c>
      <c r="C46" s="80" t="s">
        <v>111</v>
      </c>
      <c r="D46" s="80" t="s">
        <v>1398</v>
      </c>
      <c r="E46" s="80" t="s">
        <v>1453</v>
      </c>
      <c r="G46" s="80" t="s">
        <v>1454</v>
      </c>
      <c r="H46" s="80" t="s">
        <v>1460</v>
      </c>
      <c r="I46" s="80" t="s">
        <v>1430</v>
      </c>
      <c r="J46" s="80" t="s">
        <v>1403</v>
      </c>
      <c r="L46" s="80" t="s">
        <v>2117</v>
      </c>
      <c r="M46" s="81">
        <v>0.25</v>
      </c>
      <c r="N46" s="529">
        <v>4.5499999999999999E-2</v>
      </c>
      <c r="O46" s="80">
        <v>11</v>
      </c>
      <c r="P46" s="81">
        <v>0.75</v>
      </c>
      <c r="Q46" s="80" t="str">
        <f t="array" ref="Q46">INDEX(AwayMissionRewardsAll, SMALL(IF(SMALL(IF(COUNTIF($Q$1:Q45, AwayMissionRewardsAll)+ISBLANK(AwayMissionRewardsAll)=0, COUNTIF(AwayMissionRewardsAll, "&lt;"&amp;AwayMissionRewardsAll)+1, ""), 1)=IF(ISBLANK(AwayMissionRewardsAll), "", COUNTIF(AwayMissionRewardsAll, "&lt;"&amp;AwayMissionRewardsAll)+1), ROW(AwayMissionRewardsAll)-MIN(ROW(AwayMissionRewardsAll))+1), 1), MATCH(MIN(IF(COUNTIF($Q$1:Q45, AwayMissionRewardsAll)+ISBLANK(AwayMissionRewardsAll)&gt;0, "", COUNTIF(AwayMissionRewardsAll, "&lt;"&amp;AwayMissionRewardsAll)+1)), INDEX(IF(ISBLANK(AwayMissionRewardsAll), "", COUNTIF(AwayMissionRewardsAll, "&lt;"&amp;AwayMissionRewardsAll)+1), SMALL(IF(SMALL(IF(COUNTIF($Q$1:Q45, AwayMissionRewardsAll)+ISBLANK(AwayMissionRewardsAll)=0, COUNTIF(AwayMissionRewardsAll, "&lt;"&amp;AwayMissionRewardsAll)+1, ""), 1)=IF(ISBLANK(AwayMissionRewardsAll), "", COUNTIF(AwayMissionRewardsAll, "&lt;"&amp;AwayMissionRewardsAll)+1), ROW(AwayMissionRewardsAll)-MIN(ROW(AwayMissionRewardsAll))+1), 1), , 1), 0), 1)</f>
        <v>Repair Speedups</v>
      </c>
      <c r="T46" s="80" t="str">
        <f t="array" ref="T46">INDEX(AwayMissionTraitsAll, SMALL(IF(SMALL(IF(COUNTIF($T$1:T45, AwayMissionTraitsAll)+ISBLANK(AwayMissionTraitsAll)=0, COUNTIF(AwayMissionTraitsAll, "&lt;"&amp;AwayMissionTraitsAll)+1, ""), 1)=IF(ISBLANK(AwayMissionTraitsAll), "", COUNTIF(AwayMissionTraitsAll, "&lt;"&amp;AwayMissionTraitsAll)+1), ROW(AwayMissionTraitsAll)-MIN(ROW(AwayMissionTraitsAll))+1), 1), MATCH(MIN(IF(COUNTIF($T$1:T45, AwayMissionTraitsAll)+ISBLANK(AwayMissionTraitsAll)&gt;0, "", COUNTIF(AwayMissionTraitsAll, "&lt;"&amp;AwayMissionTraitsAll)+1)), INDEX(IF(ISBLANK(AwayMissionTraitsAll), "", COUNTIF(AwayMissionTraitsAll, "&lt;"&amp;AwayMissionTraitsAll)+1), SMALL(IF(SMALL(IF(COUNTIF($T$1:T45, AwayMissionTraitsAll)+ISBLANK(AwayMissionTraitsAll)=0, COUNTIF(AwayMissionTraitsAll, "&lt;"&amp;AwayMissionTraitsAll)+1, ""), 1)=IF(ISBLANK(AwayMissionTraitsAll), "", COUNTIF(AwayMissionTraitsAll, "&lt;"&amp;AwayMissionTraitsAll)+1), ROW(AwayMissionTraitsAll)-MIN(ROW(AwayMissionTraitsAll))+1), 1), , 1), 0), 1)</f>
        <v>Reliable</v>
      </c>
      <c r="U46" s="80">
        <f t="shared" si="2"/>
        <v>1</v>
      </c>
    </row>
    <row r="47" spans="1:66" x14ac:dyDescent="0.25">
      <c r="A47" s="80" t="s">
        <v>1466</v>
      </c>
      <c r="B47" s="80" t="s">
        <v>909</v>
      </c>
      <c r="C47" s="80" t="s">
        <v>110</v>
      </c>
      <c r="D47" s="80" t="s">
        <v>1435</v>
      </c>
      <c r="E47" s="80" t="s">
        <v>1398</v>
      </c>
      <c r="G47" s="80" t="s">
        <v>1399</v>
      </c>
      <c r="H47" s="80" t="s">
        <v>1451</v>
      </c>
      <c r="I47" s="80" t="s">
        <v>1436</v>
      </c>
      <c r="L47" s="80" t="s">
        <v>2124</v>
      </c>
      <c r="M47" s="81">
        <v>0.1</v>
      </c>
      <c r="N47" s="529">
        <v>4.2900000000000001E-2</v>
      </c>
      <c r="O47" s="80">
        <v>7</v>
      </c>
      <c r="P47" s="81">
        <v>0.4</v>
      </c>
      <c r="Q47" s="80" t="str">
        <f t="array" ref="Q47">INDEX(AwayMissionRewardsAll, SMALL(IF(SMALL(IF(COUNTIF($Q$1:Q46, AwayMissionRewardsAll)+ISBLANK(AwayMissionRewardsAll)=0, COUNTIF(AwayMissionRewardsAll, "&lt;"&amp;AwayMissionRewardsAll)+1, ""), 1)=IF(ISBLANK(AwayMissionRewardsAll), "", COUNTIF(AwayMissionRewardsAll, "&lt;"&amp;AwayMissionRewardsAll)+1), ROW(AwayMissionRewardsAll)-MIN(ROW(AwayMissionRewardsAll))+1), 1), MATCH(MIN(IF(COUNTIF($Q$1:Q46, AwayMissionRewardsAll)+ISBLANK(AwayMissionRewardsAll)&gt;0, "", COUNTIF(AwayMissionRewardsAll, "&lt;"&amp;AwayMissionRewardsAll)+1)), INDEX(IF(ISBLANK(AwayMissionRewardsAll), "", COUNTIF(AwayMissionRewardsAll, "&lt;"&amp;AwayMissionRewardsAll)+1), SMALL(IF(SMALL(IF(COUNTIF($Q$1:Q46, AwayMissionRewardsAll)+ISBLANK(AwayMissionRewardsAll)=0, COUNTIF(AwayMissionRewardsAll, "&lt;"&amp;AwayMissionRewardsAll)+1, ""), 1)=IF(ISBLANK(AwayMissionRewardsAll), "", COUNTIF(AwayMissionRewardsAll, "&lt;"&amp;AwayMissionRewardsAll)+1), ROW(AwayMissionRewardsAll)-MIN(ROW(AwayMissionRewardsAll))+1), 1), , 1), 0), 1)</f>
        <v>Romulan Credits</v>
      </c>
      <c r="T47" s="80" t="str">
        <f t="array" ref="T47">INDEX(AwayMissionTraitsAll, SMALL(IF(SMALL(IF(COUNTIF($T$1:T46, AwayMissionTraitsAll)+ISBLANK(AwayMissionTraitsAll)=0, COUNTIF(AwayMissionTraitsAll, "&lt;"&amp;AwayMissionTraitsAll)+1, ""), 1)=IF(ISBLANK(AwayMissionTraitsAll), "", COUNTIF(AwayMissionTraitsAll, "&lt;"&amp;AwayMissionTraitsAll)+1), ROW(AwayMissionTraitsAll)-MIN(ROW(AwayMissionTraitsAll))+1), 1), MATCH(MIN(IF(COUNTIF($T$1:T46, AwayMissionTraitsAll)+ISBLANK(AwayMissionTraitsAll)&gt;0, "", COUNTIF(AwayMissionTraitsAll, "&lt;"&amp;AwayMissionTraitsAll)+1)), INDEX(IF(ISBLANK(AwayMissionTraitsAll), "", COUNTIF(AwayMissionTraitsAll, "&lt;"&amp;AwayMissionTraitsAll)+1), SMALL(IF(SMALL(IF(COUNTIF($T$1:T46, AwayMissionTraitsAll)+ISBLANK(AwayMissionTraitsAll)=0, COUNTIF(AwayMissionTraitsAll, "&lt;"&amp;AwayMissionTraitsAll)+1, ""), 1)=IF(ISBLANK(AwayMissionTraitsAll), "", COUNTIF(AwayMissionTraitsAll, "&lt;"&amp;AwayMissionTraitsAll)+1), ROW(AwayMissionTraitsAll)-MIN(ROW(AwayMissionTraitsAll))+1), 1), , 1), 0), 1)</f>
        <v>Resourceful</v>
      </c>
      <c r="U47" s="80">
        <f t="shared" si="2"/>
        <v>17</v>
      </c>
    </row>
    <row r="48" spans="1:66" x14ac:dyDescent="0.25">
      <c r="A48" s="80" t="s">
        <v>1467</v>
      </c>
      <c r="B48" s="80" t="s">
        <v>911</v>
      </c>
      <c r="C48" s="80" t="s">
        <v>112</v>
      </c>
      <c r="D48" s="80" t="s">
        <v>1405</v>
      </c>
      <c r="G48" s="80" t="s">
        <v>1421</v>
      </c>
      <c r="H48" s="80" t="s">
        <v>1468</v>
      </c>
      <c r="I48" s="80" t="s">
        <v>1469</v>
      </c>
      <c r="J48" s="80" t="s">
        <v>1412</v>
      </c>
      <c r="K48" s="80" t="s">
        <v>1414</v>
      </c>
      <c r="L48" s="80" t="s">
        <v>2124</v>
      </c>
      <c r="M48" s="81">
        <v>0</v>
      </c>
      <c r="N48" s="529">
        <v>0.05</v>
      </c>
      <c r="O48" s="80">
        <v>20</v>
      </c>
      <c r="P48" s="81">
        <v>1</v>
      </c>
      <c r="Q48" s="80" t="str">
        <f t="array" ref="Q48">INDEX(AwayMissionRewardsAll, SMALL(IF(SMALL(IF(COUNTIF($Q$1:Q47, AwayMissionRewardsAll)+ISBLANK(AwayMissionRewardsAll)=0, COUNTIF(AwayMissionRewardsAll, "&lt;"&amp;AwayMissionRewardsAll)+1, ""), 1)=IF(ISBLANK(AwayMissionRewardsAll), "", COUNTIF(AwayMissionRewardsAll, "&lt;"&amp;AwayMissionRewardsAll)+1), ROW(AwayMissionRewardsAll)-MIN(ROW(AwayMissionRewardsAll))+1), 1), MATCH(MIN(IF(COUNTIF($Q$1:Q47, AwayMissionRewardsAll)+ISBLANK(AwayMissionRewardsAll)&gt;0, "", COUNTIF(AwayMissionRewardsAll, "&lt;"&amp;AwayMissionRewardsAll)+1)), INDEX(IF(ISBLANK(AwayMissionRewardsAll), "", COUNTIF(AwayMissionRewardsAll, "&lt;"&amp;AwayMissionRewardsAll)+1), SMALL(IF(SMALL(IF(COUNTIF($Q$1:Q47, AwayMissionRewardsAll)+ISBLANK(AwayMissionRewardsAll)=0, COUNTIF(AwayMissionRewardsAll, "&lt;"&amp;AwayMissionRewardsAll)+1, ""), 1)=IF(ISBLANK(AwayMissionRewardsAll), "", COUNTIF(AwayMissionRewardsAll, "&lt;"&amp;AwayMissionRewardsAll)+1), ROW(AwayMissionRewardsAll)-MIN(ROW(AwayMissionRewardsAll))+1), 1), , 1), 0), 1)</f>
        <v>Romulan G3 Ship BPs</v>
      </c>
      <c r="T48" s="80" t="str">
        <f t="array" ref="T48">INDEX(AwayMissionTraitsAll, SMALL(IF(SMALL(IF(COUNTIF($T$1:T47, AwayMissionTraitsAll)+ISBLANK(AwayMissionTraitsAll)=0, COUNTIF(AwayMissionTraitsAll, "&lt;"&amp;AwayMissionTraitsAll)+1, ""), 1)=IF(ISBLANK(AwayMissionTraitsAll), "", COUNTIF(AwayMissionTraitsAll, "&lt;"&amp;AwayMissionTraitsAll)+1), ROW(AwayMissionTraitsAll)-MIN(ROW(AwayMissionTraitsAll))+1), 1), MATCH(MIN(IF(COUNTIF($T$1:T47, AwayMissionTraitsAll)+ISBLANK(AwayMissionTraitsAll)&gt;0, "", COUNTIF(AwayMissionTraitsAll, "&lt;"&amp;AwayMissionTraitsAll)+1)), INDEX(IF(ISBLANK(AwayMissionTraitsAll), "", COUNTIF(AwayMissionTraitsAll, "&lt;"&amp;AwayMissionTraitsAll)+1), SMALL(IF(SMALL(IF(COUNTIF($T$1:T47, AwayMissionTraitsAll)+ISBLANK(AwayMissionTraitsAll)=0, COUNTIF(AwayMissionTraitsAll, "&lt;"&amp;AwayMissionTraitsAll)+1, ""), 1)=IF(ISBLANK(AwayMissionTraitsAll), "", COUNTIF(AwayMissionTraitsAll, "&lt;"&amp;AwayMissionTraitsAll)+1), ROW(AwayMissionTraitsAll)-MIN(ROW(AwayMissionTraitsAll))+1), 1), , 1), 0), 1)</f>
        <v>Rogue</v>
      </c>
      <c r="U48" s="80">
        <f t="shared" si="2"/>
        <v>10</v>
      </c>
    </row>
    <row r="49" spans="1:21" x14ac:dyDescent="0.25">
      <c r="A49" s="80" t="s">
        <v>1470</v>
      </c>
      <c r="B49" s="80" t="s">
        <v>912</v>
      </c>
      <c r="C49" s="80" t="s">
        <v>112</v>
      </c>
      <c r="D49" s="80" t="s">
        <v>1405</v>
      </c>
      <c r="G49" s="80" t="s">
        <v>2125</v>
      </c>
      <c r="H49" s="80" t="s">
        <v>1471</v>
      </c>
      <c r="I49" s="80" t="s">
        <v>1424</v>
      </c>
      <c r="J49" s="80" t="s">
        <v>1430</v>
      </c>
      <c r="K49" s="80" t="s">
        <v>1431</v>
      </c>
      <c r="L49" s="80" t="s">
        <v>2145</v>
      </c>
      <c r="M49" s="81">
        <v>0</v>
      </c>
      <c r="N49" s="529">
        <v>0.05</v>
      </c>
      <c r="O49" s="80">
        <v>20</v>
      </c>
      <c r="P49" s="81">
        <v>1</v>
      </c>
      <c r="Q49" s="80" t="str">
        <f t="array" ref="Q49">INDEX(AwayMissionRewardsAll, SMALL(IF(SMALL(IF(COUNTIF($Q$1:Q48, AwayMissionRewardsAll)+ISBLANK(AwayMissionRewardsAll)=0, COUNTIF(AwayMissionRewardsAll, "&lt;"&amp;AwayMissionRewardsAll)+1, ""), 1)=IF(ISBLANK(AwayMissionRewardsAll), "", COUNTIF(AwayMissionRewardsAll, "&lt;"&amp;AwayMissionRewardsAll)+1), ROW(AwayMissionRewardsAll)-MIN(ROW(AwayMissionRewardsAll))+1), 1), MATCH(MIN(IF(COUNTIF($Q$1:Q48, AwayMissionRewardsAll)+ISBLANK(AwayMissionRewardsAll)&gt;0, "", COUNTIF(AwayMissionRewardsAll, "&lt;"&amp;AwayMissionRewardsAll)+1)), INDEX(IF(ISBLANK(AwayMissionRewardsAll), "", COUNTIF(AwayMissionRewardsAll, "&lt;"&amp;AwayMissionRewardsAll)+1), SMALL(IF(SMALL(IF(COUNTIF($Q$1:Q48, AwayMissionRewardsAll)+ISBLANK(AwayMissionRewardsAll)=0, COUNTIF(AwayMissionRewardsAll, "&lt;"&amp;AwayMissionRewardsAll)+1, ""), 1)=IF(ISBLANK(AwayMissionRewardsAll), "", COUNTIF(AwayMissionRewardsAll, "&lt;"&amp;AwayMissionRewardsAll)+1), ROW(AwayMissionRewardsAll)-MIN(ROW(AwayMissionRewardsAll))+1), 1), , 1), 0), 1)</f>
        <v>Romulan G4 Ship BPs</v>
      </c>
      <c r="T49" s="80" t="str">
        <f t="array" ref="T49">INDEX(AwayMissionTraitsAll, SMALL(IF(SMALL(IF(COUNTIF($T$1:T48, AwayMissionTraitsAll)+ISBLANK(AwayMissionTraitsAll)=0, COUNTIF(AwayMissionTraitsAll, "&lt;"&amp;AwayMissionTraitsAll)+1, ""), 1)=IF(ISBLANK(AwayMissionTraitsAll), "", COUNTIF(AwayMissionTraitsAll, "&lt;"&amp;AwayMissionTraitsAll)+1), ROW(AwayMissionTraitsAll)-MIN(ROW(AwayMissionTraitsAll))+1), 1), MATCH(MIN(IF(COUNTIF($T$1:T48, AwayMissionTraitsAll)+ISBLANK(AwayMissionTraitsAll)&gt;0, "", COUNTIF(AwayMissionTraitsAll, "&lt;"&amp;AwayMissionTraitsAll)+1)), INDEX(IF(ISBLANK(AwayMissionTraitsAll), "", COUNTIF(AwayMissionTraitsAll, "&lt;"&amp;AwayMissionTraitsAll)+1), SMALL(IF(SMALL(IF(COUNTIF($T$1:T48, AwayMissionTraitsAll)+ISBLANK(AwayMissionTraitsAll)=0, COUNTIF(AwayMissionTraitsAll, "&lt;"&amp;AwayMissionTraitsAll)+1, ""), 1)=IF(ISBLANK(AwayMissionTraitsAll), "", COUNTIF(AwayMissionTraitsAll, "&lt;"&amp;AwayMissionTraitsAll)+1), ROW(AwayMissionTraitsAll)-MIN(ROW(AwayMissionTraitsAll))+1), 1), , 1), 0), 1)</f>
        <v>Ruthless</v>
      </c>
      <c r="U49" s="80">
        <f t="shared" si="2"/>
        <v>5</v>
      </c>
    </row>
    <row r="50" spans="1:21" x14ac:dyDescent="0.25">
      <c r="A50" s="80" t="s">
        <v>1472</v>
      </c>
      <c r="B50" s="80" t="s">
        <v>910</v>
      </c>
      <c r="C50" s="80" t="s">
        <v>111</v>
      </c>
      <c r="D50" s="80" t="s">
        <v>1405</v>
      </c>
      <c r="G50" s="80" t="s">
        <v>1405</v>
      </c>
      <c r="H50" s="80" t="s">
        <v>1473</v>
      </c>
      <c r="I50" s="80" t="s">
        <v>1474</v>
      </c>
      <c r="J50" s="80" t="s">
        <v>1430</v>
      </c>
      <c r="K50" s="80" t="s">
        <v>1475</v>
      </c>
      <c r="L50" s="80" t="s">
        <v>2124</v>
      </c>
      <c r="M50" s="81">
        <v>0</v>
      </c>
      <c r="N50" s="529">
        <v>3.85E-2</v>
      </c>
      <c r="O50" s="80">
        <v>26</v>
      </c>
      <c r="P50" s="81">
        <v>1</v>
      </c>
      <c r="Q50" s="80" t="str">
        <f t="array" ref="Q50">INDEX(AwayMissionRewardsAll, SMALL(IF(SMALL(IF(COUNTIF($Q$1:Q49, AwayMissionRewardsAll)+ISBLANK(AwayMissionRewardsAll)=0, COUNTIF(AwayMissionRewardsAll, "&lt;"&amp;AwayMissionRewardsAll)+1, ""), 1)=IF(ISBLANK(AwayMissionRewardsAll), "", COUNTIF(AwayMissionRewardsAll, "&lt;"&amp;AwayMissionRewardsAll)+1), ROW(AwayMissionRewardsAll)-MIN(ROW(AwayMissionRewardsAll))+1), 1), MATCH(MIN(IF(COUNTIF($Q$1:Q49, AwayMissionRewardsAll)+ISBLANK(AwayMissionRewardsAll)&gt;0, "", COUNTIF(AwayMissionRewardsAll, "&lt;"&amp;AwayMissionRewardsAll)+1)), INDEX(IF(ISBLANK(AwayMissionRewardsAll), "", COUNTIF(AwayMissionRewardsAll, "&lt;"&amp;AwayMissionRewardsAll)+1), SMALL(IF(SMALL(IF(COUNTIF($Q$1:Q49, AwayMissionRewardsAll)+ISBLANK(AwayMissionRewardsAll)=0, COUNTIF(AwayMissionRewardsAll, "&lt;"&amp;AwayMissionRewardsAll)+1, ""), 1)=IF(ISBLANK(AwayMissionRewardsAll), "", COUNTIF(AwayMissionRewardsAll, "&lt;"&amp;AwayMissionRewardsAll)+1), ROW(AwayMissionRewardsAll)-MIN(ROW(AwayMissionRewardsAll))+1), 1), , 1), 0), 1)</f>
        <v>Romulan Rep</v>
      </c>
      <c r="T50" s="80" t="str">
        <f t="array" ref="T50">INDEX(AwayMissionTraitsAll, SMALL(IF(SMALL(IF(COUNTIF($T$1:T49, AwayMissionTraitsAll)+ISBLANK(AwayMissionTraitsAll)=0, COUNTIF(AwayMissionTraitsAll, "&lt;"&amp;AwayMissionTraitsAll)+1, ""), 1)=IF(ISBLANK(AwayMissionTraitsAll), "", COUNTIF(AwayMissionTraitsAll, "&lt;"&amp;AwayMissionTraitsAll)+1), ROW(AwayMissionTraitsAll)-MIN(ROW(AwayMissionTraitsAll))+1), 1), MATCH(MIN(IF(COUNTIF($T$1:T49, AwayMissionTraitsAll)+ISBLANK(AwayMissionTraitsAll)&gt;0, "", COUNTIF(AwayMissionTraitsAll, "&lt;"&amp;AwayMissionTraitsAll)+1)), INDEX(IF(ISBLANK(AwayMissionTraitsAll), "", COUNTIF(AwayMissionTraitsAll, "&lt;"&amp;AwayMissionTraitsAll)+1), SMALL(IF(SMALL(IF(COUNTIF($T$1:T49, AwayMissionTraitsAll)+ISBLANK(AwayMissionTraitsAll)=0, COUNTIF(AwayMissionTraitsAll, "&lt;"&amp;AwayMissionTraitsAll)+1, ""), 1)=IF(ISBLANK(AwayMissionTraitsAll), "", COUNTIF(AwayMissionTraitsAll, "&lt;"&amp;AwayMissionTraitsAll)+1), ROW(AwayMissionTraitsAll)-MIN(ROW(AwayMissionTraitsAll))+1), 1), , 1), 0), 1)</f>
        <v>Scientist</v>
      </c>
      <c r="U50" s="80">
        <f t="shared" si="2"/>
        <v>15</v>
      </c>
    </row>
    <row r="51" spans="1:21" x14ac:dyDescent="0.25">
      <c r="A51" s="80" t="s">
        <v>1476</v>
      </c>
      <c r="B51" s="80" t="s">
        <v>909</v>
      </c>
      <c r="C51" s="80" t="s">
        <v>111</v>
      </c>
      <c r="D51" s="80" t="s">
        <v>1477</v>
      </c>
      <c r="E51" s="80" t="s">
        <v>1398</v>
      </c>
      <c r="F51" s="80" t="s">
        <v>1478</v>
      </c>
      <c r="G51" s="80" t="s">
        <v>1399</v>
      </c>
      <c r="H51" s="80" t="s">
        <v>1479</v>
      </c>
      <c r="L51" s="80" t="s">
        <v>2134</v>
      </c>
      <c r="M51" s="81">
        <v>0.1</v>
      </c>
      <c r="N51" s="529">
        <v>0.1</v>
      </c>
      <c r="O51" s="80">
        <v>3</v>
      </c>
      <c r="P51" s="81">
        <v>0.4</v>
      </c>
      <c r="Q51" s="80" t="str">
        <f t="array" ref="Q51">INDEX(AwayMissionRewardsAll, SMALL(IF(SMALL(IF(COUNTIF($Q$1:Q50, AwayMissionRewardsAll)+ISBLANK(AwayMissionRewardsAll)=0, COUNTIF(AwayMissionRewardsAll, "&lt;"&amp;AwayMissionRewardsAll)+1, ""), 1)=IF(ISBLANK(AwayMissionRewardsAll), "", COUNTIF(AwayMissionRewardsAll, "&lt;"&amp;AwayMissionRewardsAll)+1), ROW(AwayMissionRewardsAll)-MIN(ROW(AwayMissionRewardsAll))+1), 1), MATCH(MIN(IF(COUNTIF($Q$1:Q50, AwayMissionRewardsAll)+ISBLANK(AwayMissionRewardsAll)&gt;0, "", COUNTIF(AwayMissionRewardsAll, "&lt;"&amp;AwayMissionRewardsAll)+1)), INDEX(IF(ISBLANK(AwayMissionRewardsAll), "", COUNTIF(AwayMissionRewardsAll, "&lt;"&amp;AwayMissionRewardsAll)+1), SMALL(IF(SMALL(IF(COUNTIF($Q$1:Q50, AwayMissionRewardsAll)+ISBLANK(AwayMissionRewardsAll)=0, COUNTIF(AwayMissionRewardsAll, "&lt;"&amp;AwayMissionRewardsAll)+1, ""), 1)=IF(ISBLANK(AwayMissionRewardsAll), "", COUNTIF(AwayMissionRewardsAll, "&lt;"&amp;AwayMissionRewardsAll)+1), ROW(AwayMissionRewardsAll)-MIN(ROW(AwayMissionRewardsAll))+1), 1), , 1), 0), 1)</f>
        <v>Service Awards</v>
      </c>
      <c r="T51" s="80" t="str">
        <f t="array" ref="T51">INDEX(AwayMissionTraitsAll, SMALL(IF(SMALL(IF(COUNTIF($T$1:T50, AwayMissionTraitsAll)+ISBLANK(AwayMissionTraitsAll)=0, COUNTIF(AwayMissionTraitsAll, "&lt;"&amp;AwayMissionTraitsAll)+1, ""), 1)=IF(ISBLANK(AwayMissionTraitsAll), "", COUNTIF(AwayMissionTraitsAll, "&lt;"&amp;AwayMissionTraitsAll)+1), ROW(AwayMissionTraitsAll)-MIN(ROW(AwayMissionTraitsAll))+1), 1), MATCH(MIN(IF(COUNTIF($T$1:T50, AwayMissionTraitsAll)+ISBLANK(AwayMissionTraitsAll)&gt;0, "", COUNTIF(AwayMissionTraitsAll, "&lt;"&amp;AwayMissionTraitsAll)+1)), INDEX(IF(ISBLANK(AwayMissionTraitsAll), "", COUNTIF(AwayMissionTraitsAll, "&lt;"&amp;AwayMissionTraitsAll)+1), SMALL(IF(SMALL(IF(COUNTIF($T$1:T50, AwayMissionTraitsAll)+ISBLANK(AwayMissionTraitsAll)=0, COUNTIF(AwayMissionTraitsAll, "&lt;"&amp;AwayMissionTraitsAll)+1, ""), 1)=IF(ISBLANK(AwayMissionTraitsAll), "", COUNTIF(AwayMissionTraitsAll, "&lt;"&amp;AwayMissionTraitsAll)+1), ROW(AwayMissionTraitsAll)-MIN(ROW(AwayMissionTraitsAll))+1), 1), , 1), 0), 1)</f>
        <v>Security</v>
      </c>
      <c r="U51" s="80">
        <f t="shared" si="2"/>
        <v>4</v>
      </c>
    </row>
    <row r="52" spans="1:21" x14ac:dyDescent="0.25">
      <c r="A52" s="80" t="s">
        <v>1480</v>
      </c>
      <c r="B52" s="80" t="s">
        <v>910</v>
      </c>
      <c r="C52" s="80" t="s">
        <v>110</v>
      </c>
      <c r="D52" s="80" t="s">
        <v>1418</v>
      </c>
      <c r="E52" s="80" t="s">
        <v>1398</v>
      </c>
      <c r="G52" s="80" t="s">
        <v>1406</v>
      </c>
      <c r="H52" s="80" t="s">
        <v>1481</v>
      </c>
      <c r="I52" s="80" t="s">
        <v>1410</v>
      </c>
      <c r="J52" s="80" t="s">
        <v>1413</v>
      </c>
      <c r="L52" s="80" t="s">
        <v>2124</v>
      </c>
      <c r="M52" s="81">
        <v>0.2</v>
      </c>
      <c r="N52" s="529">
        <v>4.4400000000000002E-2</v>
      </c>
      <c r="O52" s="80">
        <v>9</v>
      </c>
      <c r="P52" s="81">
        <v>0.6</v>
      </c>
      <c r="Q52" s="80" t="str">
        <f t="array" ref="Q52">INDEX(AwayMissionRewardsAll, SMALL(IF(SMALL(IF(COUNTIF($Q$1:Q51, AwayMissionRewardsAll)+ISBLANK(AwayMissionRewardsAll)=0, COUNTIF(AwayMissionRewardsAll, "&lt;"&amp;AwayMissionRewardsAll)+1, ""), 1)=IF(ISBLANK(AwayMissionRewardsAll), "", COUNTIF(AwayMissionRewardsAll, "&lt;"&amp;AwayMissionRewardsAll)+1), ROW(AwayMissionRewardsAll)-MIN(ROW(AwayMissionRewardsAll))+1), 1), MATCH(MIN(IF(COUNTIF($Q$1:Q51, AwayMissionRewardsAll)+ISBLANK(AwayMissionRewardsAll)&gt;0, "", COUNTIF(AwayMissionRewardsAll, "&lt;"&amp;AwayMissionRewardsAll)+1)), INDEX(IF(ISBLANK(AwayMissionRewardsAll), "", COUNTIF(AwayMissionRewardsAll, "&lt;"&amp;AwayMissionRewardsAll)+1), SMALL(IF(SMALL(IF(COUNTIF($Q$1:Q51, AwayMissionRewardsAll)+ISBLANK(AwayMissionRewardsAll)=0, COUNTIF(AwayMissionRewardsAll, "&lt;"&amp;AwayMissionRewardsAll)+1, ""), 1)=IF(ISBLANK(AwayMissionRewardsAll), "", COUNTIF(AwayMissionRewardsAll, "&lt;"&amp;AwayMissionRewardsAll)+1), ROW(AwayMissionRewardsAll)-MIN(ROW(AwayMissionRewardsAll))+1), 1), , 1), 0), 1)</f>
        <v>Ship XP</v>
      </c>
      <c r="T52" s="80" t="str">
        <f t="array" ref="T52">INDEX(AwayMissionTraitsAll, SMALL(IF(SMALL(IF(COUNTIF($T$1:T51, AwayMissionTraitsAll)+ISBLANK(AwayMissionTraitsAll)=0, COUNTIF(AwayMissionTraitsAll, "&lt;"&amp;AwayMissionTraitsAll)+1, ""), 1)=IF(ISBLANK(AwayMissionTraitsAll), "", COUNTIF(AwayMissionTraitsAll, "&lt;"&amp;AwayMissionTraitsAll)+1), ROW(AwayMissionTraitsAll)-MIN(ROW(AwayMissionTraitsAll))+1), 1), MATCH(MIN(IF(COUNTIF($T$1:T51, AwayMissionTraitsAll)+ISBLANK(AwayMissionTraitsAll)&gt;0, "", COUNTIF(AwayMissionTraitsAll, "&lt;"&amp;AwayMissionTraitsAll)+1)), INDEX(IF(ISBLANK(AwayMissionTraitsAll), "", COUNTIF(AwayMissionTraitsAll, "&lt;"&amp;AwayMissionTraitsAll)+1), SMALL(IF(SMALL(IF(COUNTIF($T$1:T51, AwayMissionTraitsAll)+ISBLANK(AwayMissionTraitsAll)=0, COUNTIF(AwayMissionTraitsAll, "&lt;"&amp;AwayMissionTraitsAll)+1, ""), 1)=IF(ISBLANK(AwayMissionTraitsAll), "", COUNTIF(AwayMissionTraitsAll, "&lt;"&amp;AwayMissionTraitsAll)+1), ROW(AwayMissionTraitsAll)-MIN(ROW(AwayMissionTraitsAll))+1), 1), , 1), 0), 1)</f>
        <v>Specialist</v>
      </c>
      <c r="U52" s="80">
        <f t="shared" si="2"/>
        <v>8</v>
      </c>
    </row>
    <row r="53" spans="1:21" x14ac:dyDescent="0.25">
      <c r="A53" s="80" t="s">
        <v>1612</v>
      </c>
      <c r="M53" s="81"/>
      <c r="P53" s="81">
        <v>0</v>
      </c>
      <c r="Q53" s="80" t="str">
        <f t="array" ref="Q53">INDEX(AwayMissionRewardsAll, SMALL(IF(SMALL(IF(COUNTIF($Q$1:Q52, AwayMissionRewardsAll)+ISBLANK(AwayMissionRewardsAll)=0, COUNTIF(AwayMissionRewardsAll, "&lt;"&amp;AwayMissionRewardsAll)+1, ""), 1)=IF(ISBLANK(AwayMissionRewardsAll), "", COUNTIF(AwayMissionRewardsAll, "&lt;"&amp;AwayMissionRewardsAll)+1), ROW(AwayMissionRewardsAll)-MIN(ROW(AwayMissionRewardsAll))+1), 1), MATCH(MIN(IF(COUNTIF($Q$1:Q52, AwayMissionRewardsAll)+ISBLANK(AwayMissionRewardsAll)&gt;0, "", COUNTIF(AwayMissionRewardsAll, "&lt;"&amp;AwayMissionRewardsAll)+1)), INDEX(IF(ISBLANK(AwayMissionRewardsAll), "", COUNTIF(AwayMissionRewardsAll, "&lt;"&amp;AwayMissionRewardsAll)+1), SMALL(IF(SMALL(IF(COUNTIF($Q$1:Q52, AwayMissionRewardsAll)+ISBLANK(AwayMissionRewardsAll)=0, COUNTIF(AwayMissionRewardsAll, "&lt;"&amp;AwayMissionRewardsAll)+1, ""), 1)=IF(ISBLANK(AwayMissionRewardsAll), "", COUNTIF(AwayMissionRewardsAll, "&lt;"&amp;AwayMissionRewardsAll)+1), ROW(AwayMissionRewardsAll)-MIN(ROW(AwayMissionRewardsAll))+1), 1), , 1), 0), 1)</f>
        <v>Speedups</v>
      </c>
      <c r="T53" s="80" t="str">
        <f t="array" ref="T53">INDEX(AwayMissionTraitsAll, SMALL(IF(SMALL(IF(COUNTIF($T$1:T52, AwayMissionTraitsAll)+ISBLANK(AwayMissionTraitsAll)=0, COUNTIF(AwayMissionTraitsAll, "&lt;"&amp;AwayMissionTraitsAll)+1, ""), 1)=IF(ISBLANK(AwayMissionTraitsAll), "", COUNTIF(AwayMissionTraitsAll, "&lt;"&amp;AwayMissionTraitsAll)+1), ROW(AwayMissionTraitsAll)-MIN(ROW(AwayMissionTraitsAll))+1), 1), MATCH(MIN(IF(COUNTIF($T$1:T52, AwayMissionTraitsAll)+ISBLANK(AwayMissionTraitsAll)&gt;0, "", COUNTIF(AwayMissionTraitsAll, "&lt;"&amp;AwayMissionTraitsAll)+1)), INDEX(IF(ISBLANK(AwayMissionTraitsAll), "", COUNTIF(AwayMissionTraitsAll, "&lt;"&amp;AwayMissionTraitsAll)+1), SMALL(IF(SMALL(IF(COUNTIF($T$1:T52, AwayMissionTraitsAll)+ISBLANK(AwayMissionTraitsAll)=0, COUNTIF(AwayMissionTraitsAll, "&lt;"&amp;AwayMissionTraitsAll)+1, ""), 1)=IF(ISBLANK(AwayMissionTraitsAll), "", COUNTIF(AwayMissionTraitsAll, "&lt;"&amp;AwayMissionTraitsAll)+1), ROW(AwayMissionTraitsAll)-MIN(ROW(AwayMissionTraitsAll))+1), 1), , 1), 0), 1)</f>
        <v>Spy</v>
      </c>
      <c r="U53" s="80">
        <f t="shared" si="2"/>
        <v>4</v>
      </c>
    </row>
    <row r="54" spans="1:21" x14ac:dyDescent="0.25">
      <c r="A54" s="80" t="s">
        <v>1588</v>
      </c>
      <c r="B54" s="80" t="s">
        <v>912</v>
      </c>
      <c r="C54" s="80" t="s">
        <v>110</v>
      </c>
      <c r="D54" s="80" t="s">
        <v>1589</v>
      </c>
      <c r="E54" s="80" t="s">
        <v>1398</v>
      </c>
      <c r="G54" s="80" t="s">
        <v>2126</v>
      </c>
      <c r="H54" s="80" t="s">
        <v>1474</v>
      </c>
      <c r="I54" s="80" t="s">
        <v>1423</v>
      </c>
      <c r="J54" s="80" t="s">
        <v>1412</v>
      </c>
      <c r="K54" s="80" t="s">
        <v>1414</v>
      </c>
      <c r="L54" s="80" t="s">
        <v>2146</v>
      </c>
      <c r="M54" s="81">
        <v>0.1</v>
      </c>
      <c r="N54" s="529">
        <v>0.02</v>
      </c>
      <c r="O54" s="80">
        <v>25</v>
      </c>
      <c r="P54" s="81">
        <v>0.6</v>
      </c>
      <c r="Q54" s="80" t="str">
        <f t="array" ref="Q54">INDEX(AwayMissionRewardsAll, SMALL(IF(SMALL(IF(COUNTIF($Q$1:Q53, AwayMissionRewardsAll)+ISBLANK(AwayMissionRewardsAll)=0, COUNTIF(AwayMissionRewardsAll, "&lt;"&amp;AwayMissionRewardsAll)+1, ""), 1)=IF(ISBLANK(AwayMissionRewardsAll), "", COUNTIF(AwayMissionRewardsAll, "&lt;"&amp;AwayMissionRewardsAll)+1), ROW(AwayMissionRewardsAll)-MIN(ROW(AwayMissionRewardsAll))+1), 1), MATCH(MIN(IF(COUNTIF($Q$1:Q53, AwayMissionRewardsAll)+ISBLANK(AwayMissionRewardsAll)&gt;0, "", COUNTIF(AwayMissionRewardsAll, "&lt;"&amp;AwayMissionRewardsAll)+1)), INDEX(IF(ISBLANK(AwayMissionRewardsAll), "", COUNTIF(AwayMissionRewardsAll, "&lt;"&amp;AwayMissionRewardsAll)+1), SMALL(IF(SMALL(IF(COUNTIF($Q$1:Q53, AwayMissionRewardsAll)+ISBLANK(AwayMissionRewardsAll)=0, COUNTIF(AwayMissionRewardsAll, "&lt;"&amp;AwayMissionRewardsAll)+1, ""), 1)=IF(ISBLANK(AwayMissionRewardsAll), "", COUNTIF(AwayMissionRewardsAll, "&lt;"&amp;AwayMissionRewardsAll)+1), ROW(AwayMissionRewardsAll)-MIN(ROW(AwayMissionRewardsAll))+1), 1), , 1), 0), 1)</f>
        <v>Ten of Eleven Shards</v>
      </c>
      <c r="T54" s="80" t="str">
        <f t="array" ref="T54">INDEX(AwayMissionTraitsAll, SMALL(IF(SMALL(IF(COUNTIF($T$1:T53, AwayMissionTraitsAll)+ISBLANK(AwayMissionTraitsAll)=0, COUNTIF(AwayMissionTraitsAll, "&lt;"&amp;AwayMissionTraitsAll)+1, ""), 1)=IF(ISBLANK(AwayMissionTraitsAll), "", COUNTIF(AwayMissionTraitsAll, "&lt;"&amp;AwayMissionTraitsAll)+1), ROW(AwayMissionTraitsAll)-MIN(ROW(AwayMissionTraitsAll))+1), 1), MATCH(MIN(IF(COUNTIF($T$1:T53, AwayMissionTraitsAll)+ISBLANK(AwayMissionTraitsAll)&gt;0, "", COUNTIF(AwayMissionTraitsAll, "&lt;"&amp;AwayMissionTraitsAll)+1)), INDEX(IF(ISBLANK(AwayMissionTraitsAll), "", COUNTIF(AwayMissionTraitsAll, "&lt;"&amp;AwayMissionTraitsAll)+1), SMALL(IF(SMALL(IF(COUNTIF($T$1:T53, AwayMissionTraitsAll)+ISBLANK(AwayMissionTraitsAll)=0, COUNTIF(AwayMissionTraitsAll, "&lt;"&amp;AwayMissionTraitsAll)+1, ""), 1)=IF(ISBLANK(AwayMissionTraitsAll), "", COUNTIF(AwayMissionTraitsAll, "&lt;"&amp;AwayMissionTraitsAll)+1), ROW(AwayMissionTraitsAll)-MIN(ROW(AwayMissionTraitsAll))+1), 1), , 1), 0), 1)</f>
        <v>Surveyor</v>
      </c>
      <c r="U54" s="80">
        <f t="shared" si="2"/>
        <v>7</v>
      </c>
    </row>
    <row r="55" spans="1:21" x14ac:dyDescent="0.25">
      <c r="A55" s="80" t="s">
        <v>1520</v>
      </c>
      <c r="B55" s="80" t="s">
        <v>911</v>
      </c>
      <c r="C55" s="80" t="s">
        <v>112</v>
      </c>
      <c r="D55" s="80" t="s">
        <v>1437</v>
      </c>
      <c r="E55" s="80" t="s">
        <v>1398</v>
      </c>
      <c r="G55" s="80" t="s">
        <v>1438</v>
      </c>
      <c r="H55" s="80" t="s">
        <v>1422</v>
      </c>
      <c r="I55" s="80" t="s">
        <v>1424</v>
      </c>
      <c r="J55" s="80" t="s">
        <v>1408</v>
      </c>
      <c r="L55" s="80" t="s">
        <v>2117</v>
      </c>
      <c r="M55" s="81">
        <v>0.2</v>
      </c>
      <c r="N55" s="529">
        <v>2.35E-2</v>
      </c>
      <c r="O55" s="80">
        <v>17</v>
      </c>
      <c r="P55" s="81">
        <v>0.6</v>
      </c>
      <c r="Q55" s="80" t="str">
        <f t="array" ref="Q55">INDEX(AwayMissionRewardsAll, SMALL(IF(SMALL(IF(COUNTIF($Q$1:Q54, AwayMissionRewardsAll)+ISBLANK(AwayMissionRewardsAll)=0, COUNTIF(AwayMissionRewardsAll, "&lt;"&amp;AwayMissionRewardsAll)+1, ""), 1)=IF(ISBLANK(AwayMissionRewardsAll), "", COUNTIF(AwayMissionRewardsAll, "&lt;"&amp;AwayMissionRewardsAll)+1), ROW(AwayMissionRewardsAll)-MIN(ROW(AwayMissionRewardsAll))+1), 1), MATCH(MIN(IF(COUNTIF($Q$1:Q54, AwayMissionRewardsAll)+ISBLANK(AwayMissionRewardsAll)&gt;0, "", COUNTIF(AwayMissionRewardsAll, "&lt;"&amp;AwayMissionRewardsAll)+1)), INDEX(IF(ISBLANK(AwayMissionRewardsAll), "", COUNTIF(AwayMissionRewardsAll, "&lt;"&amp;AwayMissionRewardsAll)+1), SMALL(IF(SMALL(IF(COUNTIF($Q$1:Q54, AwayMissionRewardsAll)+ISBLANK(AwayMissionRewardsAll)=0, COUNTIF(AwayMissionRewardsAll, "&lt;"&amp;AwayMissionRewardsAll)+1, ""), 1)=IF(ISBLANK(AwayMissionRewardsAll), "", COUNTIF(AwayMissionRewardsAll, "&lt;"&amp;AwayMissionRewardsAll)+1), ROW(AwayMissionRewardsAll)-MIN(ROW(AwayMissionRewardsAll))+1), 1), , 1), 0), 1)</f>
        <v>TOS Spock Shards</v>
      </c>
      <c r="T55" s="80" t="str">
        <f t="array" ref="T55">INDEX(AwayMissionTraitsAll, SMALL(IF(SMALL(IF(COUNTIF($T$1:T54, AwayMissionTraitsAll)+ISBLANK(AwayMissionTraitsAll)=0, COUNTIF(AwayMissionTraitsAll, "&lt;"&amp;AwayMissionTraitsAll)+1, ""), 1)=IF(ISBLANK(AwayMissionTraitsAll), "", COUNTIF(AwayMissionTraitsAll, "&lt;"&amp;AwayMissionTraitsAll)+1), ROW(AwayMissionTraitsAll)-MIN(ROW(AwayMissionTraitsAll))+1), 1), MATCH(MIN(IF(COUNTIF($T$1:T54, AwayMissionTraitsAll)+ISBLANK(AwayMissionTraitsAll)&gt;0, "", COUNTIF(AwayMissionTraitsAll, "&lt;"&amp;AwayMissionTraitsAll)+1)), INDEX(IF(ISBLANK(AwayMissionTraitsAll), "", COUNTIF(AwayMissionTraitsAll, "&lt;"&amp;AwayMissionTraitsAll)+1), SMALL(IF(SMALL(IF(COUNTIF($T$1:T54, AwayMissionTraitsAll)+ISBLANK(AwayMissionTraitsAll)=0, COUNTIF(AwayMissionTraitsAll, "&lt;"&amp;AwayMissionTraitsAll)+1, ""), 1)=IF(ISBLANK(AwayMissionTraitsAll), "", COUNTIF(AwayMissionTraitsAll, "&lt;"&amp;AwayMissionTraitsAll)+1), ROW(AwayMissionTraitsAll)-MIN(ROW(AwayMissionTraitsAll))+1), 1), , 1), 0), 1)</f>
        <v>Survivor</v>
      </c>
      <c r="U55" s="80">
        <f t="shared" si="2"/>
        <v>4</v>
      </c>
    </row>
    <row r="56" spans="1:21" x14ac:dyDescent="0.25">
      <c r="A56" s="80" t="s">
        <v>2384</v>
      </c>
      <c r="B56" s="80" t="s">
        <v>910</v>
      </c>
      <c r="C56" s="80" t="s">
        <v>112</v>
      </c>
      <c r="D56" s="80" t="s">
        <v>1482</v>
      </c>
      <c r="G56" s="80" t="s">
        <v>1405</v>
      </c>
      <c r="H56" s="80" t="s">
        <v>1473</v>
      </c>
      <c r="I56" s="80" t="s">
        <v>1483</v>
      </c>
      <c r="J56" s="80" t="s">
        <v>1484</v>
      </c>
      <c r="K56" s="80" t="s">
        <v>1485</v>
      </c>
      <c r="L56" s="80" t="s">
        <v>2124</v>
      </c>
      <c r="M56" s="81">
        <v>0.1</v>
      </c>
      <c r="N56" s="529">
        <v>4.7399999999999998E-2</v>
      </c>
      <c r="O56" s="80">
        <v>19</v>
      </c>
      <c r="P56" s="81">
        <v>1</v>
      </c>
      <c r="Q56" s="80" t="str">
        <f t="array" ref="Q56">INDEX(AwayMissionRewardsAll, SMALL(IF(SMALL(IF(COUNTIF($Q$1:Q55, AwayMissionRewardsAll)+ISBLANK(AwayMissionRewardsAll)=0, COUNTIF(AwayMissionRewardsAll, "&lt;"&amp;AwayMissionRewardsAll)+1, ""), 1)=IF(ISBLANK(AwayMissionRewardsAll), "", COUNTIF(AwayMissionRewardsAll, "&lt;"&amp;AwayMissionRewardsAll)+1), ROW(AwayMissionRewardsAll)-MIN(ROW(AwayMissionRewardsAll))+1), 1), MATCH(MIN(IF(COUNTIF($Q$1:Q55, AwayMissionRewardsAll)+ISBLANK(AwayMissionRewardsAll)&gt;0, "", COUNTIF(AwayMissionRewardsAll, "&lt;"&amp;AwayMissionRewardsAll)+1)), INDEX(IF(ISBLANK(AwayMissionRewardsAll), "", COUNTIF(AwayMissionRewardsAll, "&lt;"&amp;AwayMissionRewardsAll)+1), SMALL(IF(SMALL(IF(COUNTIF($Q$1:Q55, AwayMissionRewardsAll)+ISBLANK(AwayMissionRewardsAll)=0, COUNTIF(AwayMissionRewardsAll, "&lt;"&amp;AwayMissionRewardsAll)+1, ""), 1)=IF(ISBLANK(AwayMissionRewardsAll), "", COUNTIF(AwayMissionRewardsAll, "&lt;"&amp;AwayMissionRewardsAll)+1), ROW(AwayMissionRewardsAll)-MIN(ROW(AwayMissionRewardsAll))+1), 1), , 1), 0), 1)</f>
        <v>Trait XP</v>
      </c>
      <c r="T56" s="80" t="str">
        <f t="array" ref="T56">INDEX(AwayMissionTraitsAll, SMALL(IF(SMALL(IF(COUNTIF($T$1:T55, AwayMissionTraitsAll)+ISBLANK(AwayMissionTraitsAll)=0, COUNTIF(AwayMissionTraitsAll, "&lt;"&amp;AwayMissionTraitsAll)+1, ""), 1)=IF(ISBLANK(AwayMissionTraitsAll), "", COUNTIF(AwayMissionTraitsAll, "&lt;"&amp;AwayMissionTraitsAll)+1), ROW(AwayMissionTraitsAll)-MIN(ROW(AwayMissionTraitsAll))+1), 1), MATCH(MIN(IF(COUNTIF($T$1:T55, AwayMissionTraitsAll)+ISBLANK(AwayMissionTraitsAll)&gt;0, "", COUNTIF(AwayMissionTraitsAll, "&lt;"&amp;AwayMissionTraitsAll)+1)), INDEX(IF(ISBLANK(AwayMissionTraitsAll), "", COUNTIF(AwayMissionTraitsAll, "&lt;"&amp;AwayMissionTraitsAll)+1), SMALL(IF(SMALL(IF(COUNTIF($T$1:T55, AwayMissionTraitsAll)+ISBLANK(AwayMissionTraitsAll)=0, COUNTIF(AwayMissionTraitsAll, "&lt;"&amp;AwayMissionTraitsAll)+1, ""), 1)=IF(ISBLANK(AwayMissionTraitsAll), "", COUNTIF(AwayMissionTraitsAll, "&lt;"&amp;AwayMissionTraitsAll)+1), ROW(AwayMissionTraitsAll)-MIN(ROW(AwayMissionTraitsAll))+1), 1), , 1), 0), 1)</f>
        <v>Tactical</v>
      </c>
      <c r="U56" s="80">
        <f t="shared" si="2"/>
        <v>8</v>
      </c>
    </row>
    <row r="57" spans="1:21" x14ac:dyDescent="0.25">
      <c r="A57" s="80" t="s">
        <v>1521</v>
      </c>
      <c r="B57" s="80" t="s">
        <v>910</v>
      </c>
      <c r="C57" s="80" t="s">
        <v>112</v>
      </c>
      <c r="D57" s="80" t="s">
        <v>1441</v>
      </c>
      <c r="E57" s="80" t="s">
        <v>1398</v>
      </c>
      <c r="G57" s="80" t="s">
        <v>1442</v>
      </c>
      <c r="H57" s="80" t="s">
        <v>1430</v>
      </c>
      <c r="I57" s="80" t="s">
        <v>1479</v>
      </c>
      <c r="J57" s="80" t="s">
        <v>1431</v>
      </c>
      <c r="L57" s="80" t="s">
        <v>2124</v>
      </c>
      <c r="M57" s="81">
        <v>0.25</v>
      </c>
      <c r="N57" s="529">
        <v>0.05</v>
      </c>
      <c r="O57" s="80">
        <v>10</v>
      </c>
      <c r="P57" s="81">
        <v>0.75</v>
      </c>
      <c r="Q57" s="80" t="str">
        <f t="array" ref="Q57">INDEX(AwayMissionRewardsAll, SMALL(IF(SMALL(IF(COUNTIF($Q$1:Q56, AwayMissionRewardsAll)+ISBLANK(AwayMissionRewardsAll)=0, COUNTIF(AwayMissionRewardsAll, "&lt;"&amp;AwayMissionRewardsAll)+1, ""), 1)=IF(ISBLANK(AwayMissionRewardsAll), "", COUNTIF(AwayMissionRewardsAll, "&lt;"&amp;AwayMissionRewardsAll)+1), ROW(AwayMissionRewardsAll)-MIN(ROW(AwayMissionRewardsAll))+1), 1), MATCH(MIN(IF(COUNTIF($Q$1:Q56, AwayMissionRewardsAll)+ISBLANK(AwayMissionRewardsAll)&gt;0, "", COUNTIF(AwayMissionRewardsAll, "&lt;"&amp;AwayMissionRewardsAll)+1)), INDEX(IF(ISBLANK(AwayMissionRewardsAll), "", COUNTIF(AwayMissionRewardsAll, "&lt;"&amp;AwayMissionRewardsAll)+1), SMALL(IF(SMALL(IF(COUNTIF($Q$1:Q56, AwayMissionRewardsAll)+ISBLANK(AwayMissionRewardsAll)=0, COUNTIF(AwayMissionRewardsAll, "&lt;"&amp;AwayMissionRewardsAll)+1, ""), 1)=IF(ISBLANK(AwayMissionRewardsAll), "", COUNTIF(AwayMissionRewardsAll, "&lt;"&amp;AwayMissionRewardsAll)+1), ROW(AwayMissionRewardsAll)-MIN(ROW(AwayMissionRewardsAll))+1), 1), , 1), 0), 1)</f>
        <v>Ultra Recruit Tokens</v>
      </c>
      <c r="T57" s="80" t="str">
        <f t="array" ref="T57">INDEX(AwayMissionTraitsAll, SMALL(IF(SMALL(IF(COUNTIF($T$1:T56, AwayMissionTraitsAll)+ISBLANK(AwayMissionTraitsAll)=0, COUNTIF(AwayMissionTraitsAll, "&lt;"&amp;AwayMissionTraitsAll)+1, ""), 1)=IF(ISBLANK(AwayMissionTraitsAll), "", COUNTIF(AwayMissionTraitsAll, "&lt;"&amp;AwayMissionTraitsAll)+1), ROW(AwayMissionTraitsAll)-MIN(ROW(AwayMissionTraitsAll))+1), 1), MATCH(MIN(IF(COUNTIF($T$1:T56, AwayMissionTraitsAll)+ISBLANK(AwayMissionTraitsAll)&gt;0, "", COUNTIF(AwayMissionTraitsAll, "&lt;"&amp;AwayMissionTraitsAll)+1)), INDEX(IF(ISBLANK(AwayMissionTraitsAll), "", COUNTIF(AwayMissionTraitsAll, "&lt;"&amp;AwayMissionTraitsAll)+1), SMALL(IF(SMALL(IF(COUNTIF($T$1:T56, AwayMissionTraitsAll)+ISBLANK(AwayMissionTraitsAll)=0, COUNTIF(AwayMissionTraitsAll, "&lt;"&amp;AwayMissionTraitsAll)+1, ""), 1)=IF(ISBLANK(AwayMissionTraitsAll), "", COUNTIF(AwayMissionTraitsAll, "&lt;"&amp;AwayMissionTraitsAll)+1), ROW(AwayMissionTraitsAll)-MIN(ROW(AwayMissionTraitsAll))+1), 1), , 1), 0), 1)</f>
        <v>Thief</v>
      </c>
      <c r="U57" s="80">
        <f t="shared" si="2"/>
        <v>10</v>
      </c>
    </row>
    <row r="58" spans="1:21" x14ac:dyDescent="0.25">
      <c r="A58" s="80" t="s">
        <v>1687</v>
      </c>
      <c r="B58" s="80" t="s">
        <v>912</v>
      </c>
      <c r="C58" s="80" t="s">
        <v>111</v>
      </c>
      <c r="D58" s="80" t="s">
        <v>1590</v>
      </c>
      <c r="E58" s="80" t="s">
        <v>1398</v>
      </c>
      <c r="G58" s="80" t="s">
        <v>1591</v>
      </c>
      <c r="H58" s="80" t="s">
        <v>1468</v>
      </c>
      <c r="I58" s="80" t="s">
        <v>1471</v>
      </c>
      <c r="J58" s="80" t="s">
        <v>1451</v>
      </c>
      <c r="K58" s="80" t="s">
        <v>1436</v>
      </c>
      <c r="L58" s="80" t="s">
        <v>2146</v>
      </c>
      <c r="M58" s="81">
        <v>0.25</v>
      </c>
      <c r="N58" s="529">
        <v>0.02</v>
      </c>
      <c r="O58" s="80">
        <v>25</v>
      </c>
      <c r="P58" s="81">
        <v>0.75</v>
      </c>
      <c r="Q58" s="80" t="str">
        <f t="array" ref="Q58">INDEX(AwayMissionRewardsAll, SMALL(IF(SMALL(IF(COUNTIF($Q$1:Q57, AwayMissionRewardsAll)+ISBLANK(AwayMissionRewardsAll)=0, COUNTIF(AwayMissionRewardsAll, "&lt;"&amp;AwayMissionRewardsAll)+1, ""), 1)=IF(ISBLANK(AwayMissionRewardsAll), "", COUNTIF(AwayMissionRewardsAll, "&lt;"&amp;AwayMissionRewardsAll)+1), ROW(AwayMissionRewardsAll)-MIN(ROW(AwayMissionRewardsAll))+1), 1), MATCH(MIN(IF(COUNTIF($Q$1:Q57, AwayMissionRewardsAll)+ISBLANK(AwayMissionRewardsAll)&gt;0, "", COUNTIF(AwayMissionRewardsAll, "&lt;"&amp;AwayMissionRewardsAll)+1)), INDEX(IF(ISBLANK(AwayMissionRewardsAll), "", COUNTIF(AwayMissionRewardsAll, "&lt;"&amp;AwayMissionRewardsAll)+1), SMALL(IF(SMALL(IF(COUNTIF($Q$1:Q57, AwayMissionRewardsAll)+ISBLANK(AwayMissionRewardsAll)=0, COUNTIF(AwayMissionRewardsAll, "&lt;"&amp;AwayMissionRewardsAll)+1, ""), 1)=IF(ISBLANK(AwayMissionRewardsAll), "", COUNTIF(AwayMissionRewardsAll, "&lt;"&amp;AwayMissionRewardsAll)+1), ROW(AwayMissionRewardsAll)-MIN(ROW(AwayMissionRewardsAll))+1), 1), , 1), 0), 1)</f>
        <v>Uncommon Crystal</v>
      </c>
      <c r="T58" s="80" t="str">
        <f t="array" ref="T58">INDEX(AwayMissionTraitsAll, SMALL(IF(SMALL(IF(COUNTIF($T$1:T57, AwayMissionTraitsAll)+ISBLANK(AwayMissionTraitsAll)=0, COUNTIF(AwayMissionTraitsAll, "&lt;"&amp;AwayMissionTraitsAll)+1, ""), 1)=IF(ISBLANK(AwayMissionTraitsAll), "", COUNTIF(AwayMissionTraitsAll, "&lt;"&amp;AwayMissionTraitsAll)+1), ROW(AwayMissionTraitsAll)-MIN(ROW(AwayMissionTraitsAll))+1), 1), MATCH(MIN(IF(COUNTIF($T$1:T57, AwayMissionTraitsAll)+ISBLANK(AwayMissionTraitsAll)&gt;0, "", COUNTIF(AwayMissionTraitsAll, "&lt;"&amp;AwayMissionTraitsAll)+1)), INDEX(IF(ISBLANK(AwayMissionTraitsAll), "", COUNTIF(AwayMissionTraitsAll, "&lt;"&amp;AwayMissionTraitsAll)+1), SMALL(IF(SMALL(IF(COUNTIF($T$1:T57, AwayMissionTraitsAll)+ISBLANK(AwayMissionTraitsAll)=0, COUNTIF(AwayMissionTraitsAll, "&lt;"&amp;AwayMissionTraitsAll)+1, ""), 1)=IF(ISBLANK(AwayMissionTraitsAll), "", COUNTIF(AwayMissionTraitsAll, "&lt;"&amp;AwayMissionTraitsAll)+1), ROW(AwayMissionTraitsAll)-MIN(ROW(AwayMissionTraitsAll))+1), 1), , 1), 0), 1)</f>
        <v>Trader</v>
      </c>
      <c r="U58" s="80">
        <f t="shared" si="2"/>
        <v>3</v>
      </c>
    </row>
    <row r="59" spans="1:21" x14ac:dyDescent="0.25">
      <c r="A59" s="80" t="s">
        <v>1688</v>
      </c>
      <c r="B59" s="80" t="s">
        <v>912</v>
      </c>
      <c r="C59" s="80" t="s">
        <v>111</v>
      </c>
      <c r="D59" s="80" t="s">
        <v>1590</v>
      </c>
      <c r="E59" s="80" t="s">
        <v>1398</v>
      </c>
      <c r="G59" s="80" t="s">
        <v>1689</v>
      </c>
      <c r="H59" s="80" t="s">
        <v>1468</v>
      </c>
      <c r="I59" s="80" t="s">
        <v>1471</v>
      </c>
      <c r="J59" s="80" t="s">
        <v>1451</v>
      </c>
      <c r="K59" s="80" t="s">
        <v>1436</v>
      </c>
      <c r="L59" s="80" t="s">
        <v>2146</v>
      </c>
      <c r="M59" s="81">
        <v>0.25</v>
      </c>
      <c r="N59" s="529">
        <v>0.02</v>
      </c>
      <c r="O59" s="80">
        <v>25</v>
      </c>
      <c r="P59" s="81">
        <v>0.75</v>
      </c>
      <c r="Q59" s="80" t="str">
        <f t="array" ref="Q59">INDEX(AwayMissionRewardsAll, SMALL(IF(SMALL(IF(COUNTIF($Q$1:Q58, AwayMissionRewardsAll)+ISBLANK(AwayMissionRewardsAll)=0, COUNTIF(AwayMissionRewardsAll, "&lt;"&amp;AwayMissionRewardsAll)+1, ""), 1)=IF(ISBLANK(AwayMissionRewardsAll), "", COUNTIF(AwayMissionRewardsAll, "&lt;"&amp;AwayMissionRewardsAll)+1), ROW(AwayMissionRewardsAll)-MIN(ROW(AwayMissionRewardsAll))+1), 1), MATCH(MIN(IF(COUNTIF($Q$1:Q58, AwayMissionRewardsAll)+ISBLANK(AwayMissionRewardsAll)&gt;0, "", COUNTIF(AwayMissionRewardsAll, "&lt;"&amp;AwayMissionRewardsAll)+1)), INDEX(IF(ISBLANK(AwayMissionRewardsAll), "", COUNTIF(AwayMissionRewardsAll, "&lt;"&amp;AwayMissionRewardsAll)+1), SMALL(IF(SMALL(IF(COUNTIF($Q$1:Q58, AwayMissionRewardsAll)+ISBLANK(AwayMissionRewardsAll)=0, COUNTIF(AwayMissionRewardsAll, "&lt;"&amp;AwayMissionRewardsAll)+1, ""), 1)=IF(ISBLANK(AwayMissionRewardsAll), "", COUNTIF(AwayMissionRewardsAll, "&lt;"&amp;AwayMissionRewardsAll)+1), ROW(AwayMissionRewardsAll)-MIN(ROW(AwayMissionRewardsAll))+1), 1), , 1), 0), 1)</f>
        <v>Uncommon G4 Battleship Parts</v>
      </c>
      <c r="T59" s="80" t="str">
        <f t="array" ref="T59">INDEX(AwayMissionTraitsAll, SMALL(IF(SMALL(IF(COUNTIF($T$1:T58, AwayMissionTraitsAll)+ISBLANK(AwayMissionTraitsAll)=0, COUNTIF(AwayMissionTraitsAll, "&lt;"&amp;AwayMissionTraitsAll)+1, ""), 1)=IF(ISBLANK(AwayMissionTraitsAll), "", COUNTIF(AwayMissionTraitsAll, "&lt;"&amp;AwayMissionTraitsAll)+1), ROW(AwayMissionTraitsAll)-MIN(ROW(AwayMissionTraitsAll))+1), 1), MATCH(MIN(IF(COUNTIF($T$1:T58, AwayMissionTraitsAll)+ISBLANK(AwayMissionTraitsAll)&gt;0, "", COUNTIF(AwayMissionTraitsAll, "&lt;"&amp;AwayMissionTraitsAll)+1)), INDEX(IF(ISBLANK(AwayMissionTraitsAll), "", COUNTIF(AwayMissionTraitsAll, "&lt;"&amp;AwayMissionTraitsAll)+1), SMALL(IF(SMALL(IF(COUNTIF($T$1:T58, AwayMissionTraitsAll)+ISBLANK(AwayMissionTraitsAll)=0, COUNTIF(AwayMissionTraitsAll, "&lt;"&amp;AwayMissionTraitsAll)+1, ""), 1)=IF(ISBLANK(AwayMissionTraitsAll), "", COUNTIF(AwayMissionTraitsAll, "&lt;"&amp;AwayMissionTraitsAll)+1), ROW(AwayMissionTraitsAll)-MIN(ROW(AwayMissionTraitsAll))+1), 1), , 1), 0), 1)</f>
        <v>Uncompromising</v>
      </c>
      <c r="U59" s="80">
        <f t="shared" si="2"/>
        <v>3</v>
      </c>
    </row>
    <row r="60" spans="1:21" x14ac:dyDescent="0.25">
      <c r="A60" s="80" t="s">
        <v>2147</v>
      </c>
      <c r="B60" s="80" t="s">
        <v>911</v>
      </c>
      <c r="C60" s="80" t="s">
        <v>111</v>
      </c>
      <c r="D60" s="80" t="s">
        <v>1416</v>
      </c>
      <c r="E60" s="80" t="s">
        <v>1398</v>
      </c>
      <c r="G60" s="80" t="s">
        <v>2119</v>
      </c>
      <c r="H60" s="80" t="s">
        <v>1448</v>
      </c>
      <c r="I60" s="80" t="s">
        <v>1408</v>
      </c>
      <c r="J60" s="80" t="s">
        <v>1436</v>
      </c>
      <c r="K60" s="80" t="s">
        <v>1485</v>
      </c>
      <c r="L60" s="80" t="s">
        <v>2118</v>
      </c>
      <c r="M60" s="81">
        <v>0.1</v>
      </c>
      <c r="N60" s="529">
        <v>2.63E-2</v>
      </c>
      <c r="O60" s="80">
        <v>19</v>
      </c>
      <c r="P60" s="81">
        <v>0.6</v>
      </c>
      <c r="Q60" s="80" t="str">
        <f t="array" ref="Q60">INDEX(AwayMissionRewardsAll, SMALL(IF(SMALL(IF(COUNTIF($Q$1:Q59, AwayMissionRewardsAll)+ISBLANK(AwayMissionRewardsAll)=0, COUNTIF(AwayMissionRewardsAll, "&lt;"&amp;AwayMissionRewardsAll)+1, ""), 1)=IF(ISBLANK(AwayMissionRewardsAll), "", COUNTIF(AwayMissionRewardsAll, "&lt;"&amp;AwayMissionRewardsAll)+1), ROW(AwayMissionRewardsAll)-MIN(ROW(AwayMissionRewardsAll))+1), 1), MATCH(MIN(IF(COUNTIF($Q$1:Q59, AwayMissionRewardsAll)+ISBLANK(AwayMissionRewardsAll)&gt;0, "", COUNTIF(AwayMissionRewardsAll, "&lt;"&amp;AwayMissionRewardsAll)+1)), INDEX(IF(ISBLANK(AwayMissionRewardsAll), "", COUNTIF(AwayMissionRewardsAll, "&lt;"&amp;AwayMissionRewardsAll)+1), SMALL(IF(SMALL(IF(COUNTIF($Q$1:Q59, AwayMissionRewardsAll)+ISBLANK(AwayMissionRewardsAll)=0, COUNTIF(AwayMissionRewardsAll, "&lt;"&amp;AwayMissionRewardsAll)+1, ""), 1)=IF(ISBLANK(AwayMissionRewardsAll), "", COUNTIF(AwayMissionRewardsAll, "&lt;"&amp;AwayMissionRewardsAll)+1), ROW(AwayMissionRewardsAll)-MIN(ROW(AwayMissionRewardsAll))+1), 1), , 1), 0), 1)</f>
        <v>Uncommon G4 Explorer Parts</v>
      </c>
    </row>
    <row r="61" spans="1:21" x14ac:dyDescent="0.25">
      <c r="A61" s="80" t="s">
        <v>2148</v>
      </c>
      <c r="B61" s="80" t="s">
        <v>911</v>
      </c>
      <c r="C61" s="80" t="s">
        <v>111</v>
      </c>
      <c r="D61" s="80" t="s">
        <v>1416</v>
      </c>
      <c r="E61" s="80" t="s">
        <v>1398</v>
      </c>
      <c r="G61" s="80" t="s">
        <v>2119</v>
      </c>
      <c r="H61" s="80" t="s">
        <v>1448</v>
      </c>
      <c r="I61" s="80" t="s">
        <v>1408</v>
      </c>
      <c r="J61" s="80" t="s">
        <v>1436</v>
      </c>
      <c r="K61" s="80" t="s">
        <v>1485</v>
      </c>
      <c r="L61" s="80" t="s">
        <v>2120</v>
      </c>
      <c r="M61" s="81">
        <v>0.1</v>
      </c>
      <c r="N61" s="529">
        <v>2.63E-2</v>
      </c>
      <c r="O61" s="80">
        <v>19</v>
      </c>
      <c r="P61" s="81">
        <v>0.6</v>
      </c>
      <c r="Q61" s="80" t="str">
        <f t="array" ref="Q61">INDEX(AwayMissionRewardsAll, SMALL(IF(SMALL(IF(COUNTIF($Q$1:Q60, AwayMissionRewardsAll)+ISBLANK(AwayMissionRewardsAll)=0, COUNTIF(AwayMissionRewardsAll, "&lt;"&amp;AwayMissionRewardsAll)+1, ""), 1)=IF(ISBLANK(AwayMissionRewardsAll), "", COUNTIF(AwayMissionRewardsAll, "&lt;"&amp;AwayMissionRewardsAll)+1), ROW(AwayMissionRewardsAll)-MIN(ROW(AwayMissionRewardsAll))+1), 1), MATCH(MIN(IF(COUNTIF($Q$1:Q60, AwayMissionRewardsAll)+ISBLANK(AwayMissionRewardsAll)&gt;0, "", COUNTIF(AwayMissionRewardsAll, "&lt;"&amp;AwayMissionRewardsAll)+1)), INDEX(IF(ISBLANK(AwayMissionRewardsAll), "", COUNTIF(AwayMissionRewardsAll, "&lt;"&amp;AwayMissionRewardsAll)+1), SMALL(IF(SMALL(IF(COUNTIF($Q$1:Q60, AwayMissionRewardsAll)+ISBLANK(AwayMissionRewardsAll)=0, COUNTIF(AwayMissionRewardsAll, "&lt;"&amp;AwayMissionRewardsAll)+1, ""), 1)=IF(ISBLANK(AwayMissionRewardsAll), "", COUNTIF(AwayMissionRewardsAll, "&lt;"&amp;AwayMissionRewardsAll)+1), ROW(AwayMissionRewardsAll)-MIN(ROW(AwayMissionRewardsAll))+1), 1), , 1), 0), 1)</f>
        <v>Uncommon G4 Interceptor Parts</v>
      </c>
    </row>
    <row r="62" spans="1:21" x14ac:dyDescent="0.25">
      <c r="A62" s="80" t="s">
        <v>1505</v>
      </c>
      <c r="B62" s="80" t="s">
        <v>911</v>
      </c>
      <c r="C62" s="80" t="s">
        <v>110</v>
      </c>
      <c r="D62" s="80" t="s">
        <v>1416</v>
      </c>
      <c r="E62" s="80" t="s">
        <v>1398</v>
      </c>
      <c r="G62" s="80" t="s">
        <v>2119</v>
      </c>
      <c r="H62" s="80" t="s">
        <v>1430</v>
      </c>
      <c r="I62" s="80" t="s">
        <v>1403</v>
      </c>
      <c r="J62" s="80" t="s">
        <v>1506</v>
      </c>
      <c r="L62" s="80" t="s">
        <v>2120</v>
      </c>
      <c r="M62" s="81">
        <v>0.1</v>
      </c>
      <c r="N62" s="529">
        <v>0.05</v>
      </c>
      <c r="O62" s="80">
        <v>10</v>
      </c>
      <c r="P62" s="81">
        <v>0.6</v>
      </c>
      <c r="Q62" s="80" t="str">
        <f t="array" ref="Q62">INDEX(AwayMissionRewardsAll, SMALL(IF(SMALL(IF(COUNTIF($Q$1:Q61, AwayMissionRewardsAll)+ISBLANK(AwayMissionRewardsAll)=0, COUNTIF(AwayMissionRewardsAll, "&lt;"&amp;AwayMissionRewardsAll)+1, ""), 1)=IF(ISBLANK(AwayMissionRewardsAll), "", COUNTIF(AwayMissionRewardsAll, "&lt;"&amp;AwayMissionRewardsAll)+1), ROW(AwayMissionRewardsAll)-MIN(ROW(AwayMissionRewardsAll))+1), 1), MATCH(MIN(IF(COUNTIF($Q$1:Q61, AwayMissionRewardsAll)+ISBLANK(AwayMissionRewardsAll)&gt;0, "", COUNTIF(AwayMissionRewardsAll, "&lt;"&amp;AwayMissionRewardsAll)+1)), INDEX(IF(ISBLANK(AwayMissionRewardsAll), "", COUNTIF(AwayMissionRewardsAll, "&lt;"&amp;AwayMissionRewardsAll)+1), SMALL(IF(SMALL(IF(COUNTIF($Q$1:Q61, AwayMissionRewardsAll)+ISBLANK(AwayMissionRewardsAll)=0, COUNTIF(AwayMissionRewardsAll, "&lt;"&amp;AwayMissionRewardsAll)+1, ""), 1)=IF(ISBLANK(AwayMissionRewardsAll), "", COUNTIF(AwayMissionRewardsAll, "&lt;"&amp;AwayMissionRewardsAll)+1), ROW(AwayMissionRewardsAll)-MIN(ROW(AwayMissionRewardsAll))+1), 1), , 1), 0), 1)</f>
        <v>Uncommon G4 Survey Parts</v>
      </c>
    </row>
    <row r="63" spans="1:21" x14ac:dyDescent="0.25">
      <c r="A63" s="80" t="s">
        <v>2177</v>
      </c>
      <c r="B63" s="80" t="s">
        <v>912</v>
      </c>
      <c r="C63" s="80" t="s">
        <v>111</v>
      </c>
      <c r="D63" s="80" t="s">
        <v>1592</v>
      </c>
      <c r="E63" s="80" t="s">
        <v>1398</v>
      </c>
      <c r="G63" s="80" t="s">
        <v>2127</v>
      </c>
      <c r="H63" s="80" t="s">
        <v>1515</v>
      </c>
      <c r="I63" s="80" t="s">
        <v>1510</v>
      </c>
      <c r="J63" s="80" t="s">
        <v>1400</v>
      </c>
      <c r="K63" s="80" t="s">
        <v>1401</v>
      </c>
      <c r="L63" s="80" t="s">
        <v>2146</v>
      </c>
      <c r="M63" s="81">
        <v>0.1</v>
      </c>
      <c r="N63" s="529">
        <v>0.02</v>
      </c>
      <c r="O63" s="80">
        <v>25</v>
      </c>
      <c r="P63" s="81">
        <v>0.6</v>
      </c>
      <c r="Q63" s="80" t="str">
        <f t="array" ref="Q63">INDEX(AwayMissionRewardsAll, SMALL(IF(SMALL(IF(COUNTIF($Q$1:Q62, AwayMissionRewardsAll)+ISBLANK(AwayMissionRewardsAll)=0, COUNTIF(AwayMissionRewardsAll, "&lt;"&amp;AwayMissionRewardsAll)+1, ""), 1)=IF(ISBLANK(AwayMissionRewardsAll), "", COUNTIF(AwayMissionRewardsAll, "&lt;"&amp;AwayMissionRewardsAll)+1), ROW(AwayMissionRewardsAll)-MIN(ROW(AwayMissionRewardsAll))+1), 1), MATCH(MIN(IF(COUNTIF($Q$1:Q62, AwayMissionRewardsAll)+ISBLANK(AwayMissionRewardsAll)&gt;0, "", COUNTIF(AwayMissionRewardsAll, "&lt;"&amp;AwayMissionRewardsAll)+1)), INDEX(IF(ISBLANK(AwayMissionRewardsAll), "", COUNTIF(AwayMissionRewardsAll, "&lt;"&amp;AwayMissionRewardsAll)+1), SMALL(IF(SMALL(IF(COUNTIF($Q$1:Q62, AwayMissionRewardsAll)+ISBLANK(AwayMissionRewardsAll)=0, COUNTIF(AwayMissionRewardsAll, "&lt;"&amp;AwayMissionRewardsAll)+1, ""), 1)=IF(ISBLANK(AwayMissionRewardsAll), "", COUNTIF(AwayMissionRewardsAll, "&lt;"&amp;AwayMissionRewardsAll)+1), ROW(AwayMissionRewardsAll)-MIN(ROW(AwayMissionRewardsAll))+1), 1), , 1), 0), 1)</f>
        <v>Uncommon Gas</v>
      </c>
    </row>
    <row r="64" spans="1:21" x14ac:dyDescent="0.25">
      <c r="A64" s="80" t="s">
        <v>2128</v>
      </c>
      <c r="B64" s="80" t="s">
        <v>911</v>
      </c>
      <c r="C64" s="80" t="s">
        <v>110</v>
      </c>
      <c r="D64" s="80" t="s">
        <v>1421</v>
      </c>
      <c r="E64" s="80" t="s">
        <v>1398</v>
      </c>
      <c r="G64" s="80" t="s">
        <v>2129</v>
      </c>
      <c r="H64" s="80" t="s">
        <v>1469</v>
      </c>
      <c r="I64" s="80" t="s">
        <v>1409</v>
      </c>
      <c r="J64" s="80" t="s">
        <v>1512</v>
      </c>
      <c r="K64" s="80" t="s">
        <v>1514</v>
      </c>
      <c r="L64" s="80" t="s">
        <v>2120</v>
      </c>
      <c r="M64" s="81">
        <v>0.1</v>
      </c>
      <c r="N64" s="529">
        <v>3.5700000000000003E-2</v>
      </c>
      <c r="O64" s="80">
        <v>14</v>
      </c>
      <c r="P64" s="81">
        <v>0.6</v>
      </c>
      <c r="Q64" s="80" t="str">
        <f t="array" ref="Q64">INDEX(AwayMissionRewardsAll, SMALL(IF(SMALL(IF(COUNTIF($Q$1:Q63, AwayMissionRewardsAll)+ISBLANK(AwayMissionRewardsAll)=0, COUNTIF(AwayMissionRewardsAll, "&lt;"&amp;AwayMissionRewardsAll)+1, ""), 1)=IF(ISBLANK(AwayMissionRewardsAll), "", COUNTIF(AwayMissionRewardsAll, "&lt;"&amp;AwayMissionRewardsAll)+1), ROW(AwayMissionRewardsAll)-MIN(ROW(AwayMissionRewardsAll))+1), 1), MATCH(MIN(IF(COUNTIF($Q$1:Q63, AwayMissionRewardsAll)+ISBLANK(AwayMissionRewardsAll)&gt;0, "", COUNTIF(AwayMissionRewardsAll, "&lt;"&amp;AwayMissionRewardsAll)+1)), INDEX(IF(ISBLANK(AwayMissionRewardsAll), "", COUNTIF(AwayMissionRewardsAll, "&lt;"&amp;AwayMissionRewardsAll)+1), SMALL(IF(SMALL(IF(COUNTIF($Q$1:Q63, AwayMissionRewardsAll)+ISBLANK(AwayMissionRewardsAll)=0, COUNTIF(AwayMissionRewardsAll, "&lt;"&amp;AwayMissionRewardsAll)+1, ""), 1)=IF(ISBLANK(AwayMissionRewardsAll), "", COUNTIF(AwayMissionRewardsAll, "&lt;"&amp;AwayMissionRewardsAll)+1), ROW(AwayMissionRewardsAll)-MIN(ROW(AwayMissionRewardsAll))+1), 1), , 1), 0), 1)</f>
        <v>Uncommon Officer Shards</v>
      </c>
    </row>
    <row r="65" spans="1:17" x14ac:dyDescent="0.25">
      <c r="A65" s="80" t="s">
        <v>2130</v>
      </c>
      <c r="B65" s="80" t="s">
        <v>911</v>
      </c>
      <c r="C65" s="80" t="s">
        <v>112</v>
      </c>
      <c r="D65" s="80" t="s">
        <v>1406</v>
      </c>
      <c r="E65" s="80" t="s">
        <v>1398</v>
      </c>
      <c r="G65" s="80" t="s">
        <v>2131</v>
      </c>
      <c r="H65" s="80" t="s">
        <v>1408</v>
      </c>
      <c r="I65" s="80" t="s">
        <v>1504</v>
      </c>
      <c r="J65" s="80" t="s">
        <v>1414</v>
      </c>
      <c r="L65" s="80" t="s">
        <v>2120</v>
      </c>
      <c r="M65" s="81">
        <v>0.1</v>
      </c>
      <c r="N65" s="529">
        <v>4.5499999999999999E-2</v>
      </c>
      <c r="O65" s="80">
        <v>11</v>
      </c>
      <c r="P65" s="81">
        <v>0.6</v>
      </c>
      <c r="Q65" s="80" t="str">
        <f t="array" ref="Q65">INDEX(AwayMissionRewardsAll, SMALL(IF(SMALL(IF(COUNTIF($Q$1:Q64, AwayMissionRewardsAll)+ISBLANK(AwayMissionRewardsAll)=0, COUNTIF(AwayMissionRewardsAll, "&lt;"&amp;AwayMissionRewardsAll)+1, ""), 1)=IF(ISBLANK(AwayMissionRewardsAll), "", COUNTIF(AwayMissionRewardsAll, "&lt;"&amp;AwayMissionRewardsAll)+1), ROW(AwayMissionRewardsAll)-MIN(ROW(AwayMissionRewardsAll))+1), 1), MATCH(MIN(IF(COUNTIF($Q$1:Q64, AwayMissionRewardsAll)+ISBLANK(AwayMissionRewardsAll)&gt;0, "", COUNTIF(AwayMissionRewardsAll, "&lt;"&amp;AwayMissionRewardsAll)+1)), INDEX(IF(ISBLANK(AwayMissionRewardsAll), "", COUNTIF(AwayMissionRewardsAll, "&lt;"&amp;AwayMissionRewardsAll)+1), SMALL(IF(SMALL(IF(COUNTIF($Q$1:Q64, AwayMissionRewardsAll)+ISBLANK(AwayMissionRewardsAll)=0, COUNTIF(AwayMissionRewardsAll, "&lt;"&amp;AwayMissionRewardsAll)+1, ""), 1)=IF(ISBLANK(AwayMissionRewardsAll), "", COUNTIF(AwayMissionRewardsAll, "&lt;"&amp;AwayMissionRewardsAll)+1), ROW(AwayMissionRewardsAll)-MIN(ROW(AwayMissionRewardsAll))+1), 1), , 1), 0), 1)</f>
        <v>Uncommon Ore</v>
      </c>
    </row>
    <row r="66" spans="1:17" x14ac:dyDescent="0.25">
      <c r="A66" s="80" t="s">
        <v>1690</v>
      </c>
      <c r="B66" s="80" t="s">
        <v>910</v>
      </c>
      <c r="C66" s="80" t="s">
        <v>110</v>
      </c>
      <c r="D66" s="80" t="s">
        <v>1486</v>
      </c>
      <c r="G66" s="80" t="s">
        <v>1397</v>
      </c>
      <c r="H66" s="80" t="s">
        <v>1440</v>
      </c>
      <c r="I66" s="80" t="s">
        <v>1479</v>
      </c>
      <c r="L66" s="80" t="s">
        <v>2139</v>
      </c>
      <c r="M66" s="81">
        <v>0.2</v>
      </c>
      <c r="N66" s="529">
        <v>8.3299999999999999E-2</v>
      </c>
      <c r="O66" s="80">
        <v>6</v>
      </c>
      <c r="P66" s="81">
        <v>0.7</v>
      </c>
    </row>
    <row r="67" spans="1:17" x14ac:dyDescent="0.25">
      <c r="A67" s="80" t="s">
        <v>1691</v>
      </c>
      <c r="B67" s="80" t="s">
        <v>910</v>
      </c>
      <c r="C67" s="80" t="s">
        <v>110</v>
      </c>
      <c r="D67" s="80" t="s">
        <v>1398</v>
      </c>
      <c r="E67" s="80" t="s">
        <v>1486</v>
      </c>
      <c r="G67" s="80" t="s">
        <v>1397</v>
      </c>
      <c r="H67" s="80" t="s">
        <v>1440</v>
      </c>
      <c r="I67" s="80" t="s">
        <v>1414</v>
      </c>
      <c r="J67" s="80" t="s">
        <v>1479</v>
      </c>
      <c r="L67" s="80" t="s">
        <v>2134</v>
      </c>
      <c r="M67" s="81">
        <v>0.2</v>
      </c>
      <c r="N67" s="529">
        <v>5.5599999999999997E-2</v>
      </c>
      <c r="O67" s="80">
        <v>9</v>
      </c>
      <c r="P67" s="81">
        <v>0.7</v>
      </c>
    </row>
    <row r="68" spans="1:17" x14ac:dyDescent="0.25">
      <c r="A68" s="80" t="s">
        <v>1487</v>
      </c>
      <c r="B68" s="80" t="s">
        <v>911</v>
      </c>
      <c r="C68" s="80" t="s">
        <v>111</v>
      </c>
      <c r="D68" s="80" t="s">
        <v>1405</v>
      </c>
      <c r="G68" s="80" t="s">
        <v>1438</v>
      </c>
      <c r="H68" s="80" t="s">
        <v>1488</v>
      </c>
      <c r="I68" s="80" t="s">
        <v>1451</v>
      </c>
      <c r="J68" s="80" t="s">
        <v>1400</v>
      </c>
      <c r="K68" s="80" t="s">
        <v>1403</v>
      </c>
      <c r="L68" s="80" t="s">
        <v>2124</v>
      </c>
      <c r="M68" s="81">
        <v>0</v>
      </c>
      <c r="N68" s="529">
        <v>0.05</v>
      </c>
      <c r="O68" s="80">
        <v>20</v>
      </c>
      <c r="P68" s="81">
        <v>1</v>
      </c>
    </row>
    <row r="69" spans="1:17" x14ac:dyDescent="0.25">
      <c r="A69" s="80" t="s">
        <v>1489</v>
      </c>
      <c r="B69" s="80" t="s">
        <v>911</v>
      </c>
      <c r="C69" s="80" t="s">
        <v>111</v>
      </c>
      <c r="D69" s="80" t="s">
        <v>1418</v>
      </c>
      <c r="E69" s="80" t="s">
        <v>1398</v>
      </c>
      <c r="G69" s="80" t="s">
        <v>1406</v>
      </c>
      <c r="H69" s="80" t="s">
        <v>1410</v>
      </c>
      <c r="I69" s="80" t="s">
        <v>1414</v>
      </c>
      <c r="L69" s="80" t="s">
        <v>2117</v>
      </c>
      <c r="M69" s="81">
        <v>0.2</v>
      </c>
      <c r="N69" s="529">
        <v>6.6699999999999995E-2</v>
      </c>
      <c r="O69" s="80">
        <v>6</v>
      </c>
      <c r="P69" s="81">
        <v>0.6</v>
      </c>
    </row>
    <row r="70" spans="1:17" x14ac:dyDescent="0.25">
      <c r="A70" s="80" t="s">
        <v>1593</v>
      </c>
      <c r="B70" s="80" t="s">
        <v>909</v>
      </c>
      <c r="C70" s="80" t="s">
        <v>110</v>
      </c>
      <c r="D70" s="80" t="s">
        <v>1522</v>
      </c>
      <c r="E70" s="80" t="s">
        <v>1398</v>
      </c>
      <c r="G70" s="80" t="s">
        <v>1523</v>
      </c>
      <c r="H70" s="80" t="s">
        <v>1460</v>
      </c>
      <c r="I70" s="80" t="s">
        <v>1431</v>
      </c>
      <c r="J70" s="80" t="s">
        <v>1401</v>
      </c>
      <c r="K70" s="80" t="s">
        <v>1484</v>
      </c>
      <c r="L70" s="80" t="s">
        <v>2124</v>
      </c>
      <c r="M70" s="81">
        <v>0.2</v>
      </c>
      <c r="N70" s="529">
        <v>2.1100000000000001E-2</v>
      </c>
      <c r="O70" s="80">
        <v>19</v>
      </c>
      <c r="P70" s="81">
        <v>0.6</v>
      </c>
    </row>
    <row r="71" spans="1:17" x14ac:dyDescent="0.25">
      <c r="A71" s="80" t="s">
        <v>1524</v>
      </c>
      <c r="B71" s="80" t="s">
        <v>909</v>
      </c>
      <c r="C71" s="80" t="s">
        <v>110</v>
      </c>
      <c r="D71" s="80" t="s">
        <v>1525</v>
      </c>
      <c r="E71" s="80" t="s">
        <v>1398</v>
      </c>
      <c r="G71" s="80" t="s">
        <v>1526</v>
      </c>
      <c r="H71" s="80" t="s">
        <v>1510</v>
      </c>
      <c r="I71" s="80" t="s">
        <v>1460</v>
      </c>
      <c r="J71" s="80" t="s">
        <v>1401</v>
      </c>
      <c r="K71" s="80" t="s">
        <v>1484</v>
      </c>
      <c r="L71" s="80" t="s">
        <v>2124</v>
      </c>
      <c r="M71" s="81">
        <v>0.2</v>
      </c>
      <c r="N71" s="529">
        <v>0.02</v>
      </c>
      <c r="O71" s="80">
        <v>20</v>
      </c>
      <c r="P71" s="81">
        <v>0.6</v>
      </c>
    </row>
    <row r="72" spans="1:17" x14ac:dyDescent="0.25">
      <c r="A72" s="80" t="s">
        <v>1527</v>
      </c>
      <c r="B72" s="80" t="s">
        <v>909</v>
      </c>
      <c r="C72" s="80" t="s">
        <v>110</v>
      </c>
      <c r="D72" s="80" t="s">
        <v>1528</v>
      </c>
      <c r="E72" s="80" t="s">
        <v>1398</v>
      </c>
      <c r="G72" s="80" t="s">
        <v>1529</v>
      </c>
      <c r="H72" s="80" t="s">
        <v>1490</v>
      </c>
      <c r="I72" s="80" t="s">
        <v>1460</v>
      </c>
      <c r="J72" s="80" t="s">
        <v>1401</v>
      </c>
      <c r="K72" s="80" t="s">
        <v>1484</v>
      </c>
      <c r="L72" s="80" t="s">
        <v>2124</v>
      </c>
      <c r="M72" s="81">
        <v>0.2</v>
      </c>
      <c r="N72" s="529">
        <v>2.86E-2</v>
      </c>
      <c r="O72" s="80">
        <v>14</v>
      </c>
      <c r="P72" s="81">
        <v>0.6</v>
      </c>
    </row>
    <row r="73" spans="1:17" x14ac:dyDescent="0.25">
      <c r="A73" s="80" t="s">
        <v>1594</v>
      </c>
      <c r="B73" s="80" t="s">
        <v>909</v>
      </c>
      <c r="C73" s="80" t="s">
        <v>110</v>
      </c>
      <c r="D73" s="80" t="s">
        <v>1595</v>
      </c>
      <c r="E73" s="80" t="s">
        <v>1398</v>
      </c>
      <c r="G73" s="80" t="s">
        <v>2149</v>
      </c>
      <c r="H73" s="80" t="s">
        <v>1460</v>
      </c>
      <c r="I73" s="80" t="s">
        <v>1463</v>
      </c>
      <c r="J73" s="80" t="s">
        <v>1401</v>
      </c>
      <c r="K73" s="80" t="s">
        <v>1484</v>
      </c>
      <c r="L73" s="80" t="s">
        <v>2124</v>
      </c>
      <c r="M73" s="81">
        <v>0.2</v>
      </c>
      <c r="N73" s="529">
        <v>3.0800000000000001E-2</v>
      </c>
      <c r="O73" s="80">
        <v>13</v>
      </c>
      <c r="P73" s="81">
        <v>0.6</v>
      </c>
    </row>
    <row r="74" spans="1:17" x14ac:dyDescent="0.25">
      <c r="A74" s="80" t="s">
        <v>1596</v>
      </c>
      <c r="B74" s="80" t="s">
        <v>909</v>
      </c>
      <c r="C74" s="80" t="s">
        <v>112</v>
      </c>
      <c r="D74" s="80" t="s">
        <v>1398</v>
      </c>
      <c r="G74" s="80" t="s">
        <v>1399</v>
      </c>
      <c r="H74" s="80" t="s">
        <v>1403</v>
      </c>
      <c r="L74" s="80" t="s">
        <v>2134</v>
      </c>
      <c r="M74" s="81">
        <v>0.1</v>
      </c>
      <c r="N74" s="529">
        <v>0.1</v>
      </c>
      <c r="O74" s="80">
        <v>3</v>
      </c>
      <c r="P74" s="81">
        <v>0.4</v>
      </c>
    </row>
    <row r="75" spans="1:17" x14ac:dyDescent="0.25">
      <c r="A75" s="80" t="s">
        <v>1597</v>
      </c>
      <c r="B75" s="80" t="s">
        <v>909</v>
      </c>
      <c r="C75" s="80" t="s">
        <v>112</v>
      </c>
      <c r="D75" s="80" t="s">
        <v>1435</v>
      </c>
      <c r="E75" s="80" t="s">
        <v>1398</v>
      </c>
      <c r="G75" s="80" t="s">
        <v>1399</v>
      </c>
      <c r="H75" s="80" t="s">
        <v>1400</v>
      </c>
      <c r="I75" s="80" t="s">
        <v>1401</v>
      </c>
      <c r="J75" s="80" t="s">
        <v>1402</v>
      </c>
      <c r="K75" s="80" t="s">
        <v>1403</v>
      </c>
      <c r="L75" s="80" t="s">
        <v>2134</v>
      </c>
      <c r="M75" s="81">
        <v>0.1</v>
      </c>
      <c r="N75" s="529">
        <v>2.3300000000000001E-2</v>
      </c>
      <c r="O75" s="80">
        <v>13</v>
      </c>
      <c r="P75" s="81">
        <v>0.4</v>
      </c>
    </row>
    <row r="76" spans="1:17" x14ac:dyDescent="0.25">
      <c r="A76" s="80" t="s">
        <v>1541</v>
      </c>
      <c r="B76" s="80" t="s">
        <v>910</v>
      </c>
      <c r="C76" s="80" t="s">
        <v>112</v>
      </c>
      <c r="D76" s="80" t="s">
        <v>1420</v>
      </c>
      <c r="E76" s="80" t="s">
        <v>1398</v>
      </c>
      <c r="G76" s="80" t="s">
        <v>1421</v>
      </c>
      <c r="H76" s="80" t="s">
        <v>1424</v>
      </c>
      <c r="I76" s="80" t="s">
        <v>1451</v>
      </c>
      <c r="J76" s="80" t="s">
        <v>1483</v>
      </c>
      <c r="L76" s="80" t="s">
        <v>2124</v>
      </c>
      <c r="M76" s="81">
        <v>0.2</v>
      </c>
      <c r="N76" s="529">
        <v>3.3399999999999999E-2</v>
      </c>
      <c r="O76" s="80">
        <v>12</v>
      </c>
      <c r="P76" s="81">
        <v>0.6</v>
      </c>
    </row>
    <row r="77" spans="1:17" x14ac:dyDescent="0.25">
      <c r="A77" s="80" t="s">
        <v>1598</v>
      </c>
      <c r="B77" s="80" t="s">
        <v>909</v>
      </c>
      <c r="C77" s="80" t="s">
        <v>111</v>
      </c>
      <c r="D77" s="80" t="s">
        <v>1478</v>
      </c>
      <c r="E77" s="80" t="s">
        <v>1599</v>
      </c>
      <c r="G77" s="80" t="s">
        <v>1399</v>
      </c>
      <c r="H77" s="80" t="s">
        <v>1401</v>
      </c>
      <c r="I77" s="80" t="s">
        <v>1403</v>
      </c>
      <c r="L77" s="80" t="s">
        <v>2139</v>
      </c>
      <c r="M77" s="81">
        <v>0.1</v>
      </c>
      <c r="N77" s="529">
        <v>0.05</v>
      </c>
      <c r="O77" s="80">
        <v>6</v>
      </c>
      <c r="P77" s="81">
        <v>0.4</v>
      </c>
    </row>
    <row r="78" spans="1:17" x14ac:dyDescent="0.25">
      <c r="A78" s="80" t="s">
        <v>1491</v>
      </c>
      <c r="B78" s="80" t="s">
        <v>912</v>
      </c>
      <c r="C78" s="80" t="s">
        <v>110</v>
      </c>
      <c r="D78" s="80" t="s">
        <v>1405</v>
      </c>
      <c r="G78" s="80" t="s">
        <v>1600</v>
      </c>
      <c r="H78" s="80" t="s">
        <v>1492</v>
      </c>
      <c r="I78" s="80" t="s">
        <v>1493</v>
      </c>
      <c r="J78" s="80" t="s">
        <v>1400</v>
      </c>
      <c r="K78" s="80" t="s">
        <v>1494</v>
      </c>
      <c r="L78" s="80" t="s">
        <v>2120</v>
      </c>
      <c r="M78" s="81">
        <v>0</v>
      </c>
      <c r="N78" s="529">
        <v>3.85E-2</v>
      </c>
      <c r="O78" s="80">
        <v>26</v>
      </c>
      <c r="P78" s="81">
        <v>1</v>
      </c>
    </row>
    <row r="79" spans="1:17" x14ac:dyDescent="0.25">
      <c r="A79" s="80" t="s">
        <v>1692</v>
      </c>
      <c r="B79" s="80" t="s">
        <v>909</v>
      </c>
      <c r="C79" s="80" t="s">
        <v>112</v>
      </c>
      <c r="D79" s="80" t="s">
        <v>1411</v>
      </c>
      <c r="G79" s="80" t="s">
        <v>1411</v>
      </c>
      <c r="H79" s="80" t="s">
        <v>1433</v>
      </c>
      <c r="L79" s="80" t="s">
        <v>2139</v>
      </c>
      <c r="M79" s="81">
        <v>0.1</v>
      </c>
      <c r="N79" s="529">
        <v>0.125</v>
      </c>
      <c r="O79" s="80">
        <v>4</v>
      </c>
      <c r="P79" s="81">
        <v>0.6</v>
      </c>
    </row>
    <row r="80" spans="1:17" x14ac:dyDescent="0.25">
      <c r="A80" s="80" t="s">
        <v>1693</v>
      </c>
      <c r="B80" s="80" t="s">
        <v>909</v>
      </c>
      <c r="C80" s="80" t="s">
        <v>112</v>
      </c>
      <c r="D80" s="80" t="s">
        <v>1411</v>
      </c>
      <c r="E80" s="80" t="s">
        <v>1398</v>
      </c>
      <c r="G80" s="80" t="s">
        <v>1411</v>
      </c>
      <c r="H80" s="80" t="s">
        <v>1433</v>
      </c>
      <c r="L80" s="80" t="s">
        <v>2139</v>
      </c>
      <c r="M80" s="81">
        <v>0.1</v>
      </c>
      <c r="N80" s="529">
        <v>0.125</v>
      </c>
      <c r="O80" s="80">
        <v>4</v>
      </c>
      <c r="P80" s="81">
        <v>0.6</v>
      </c>
    </row>
    <row r="81" spans="1:16" x14ac:dyDescent="0.25">
      <c r="A81" s="80" t="s">
        <v>1696</v>
      </c>
      <c r="B81" s="80" t="s">
        <v>910</v>
      </c>
      <c r="C81" s="80" t="s">
        <v>110</v>
      </c>
      <c r="D81" s="80" t="s">
        <v>1518</v>
      </c>
      <c r="G81" s="80" t="s">
        <v>1453</v>
      </c>
      <c r="H81" s="80" t="s">
        <v>1439</v>
      </c>
      <c r="I81" s="80" t="s">
        <v>1475</v>
      </c>
      <c r="J81" s="80" t="s">
        <v>1463</v>
      </c>
      <c r="K81" s="80" t="s">
        <v>1506</v>
      </c>
      <c r="L81" s="80" t="s">
        <v>2134</v>
      </c>
      <c r="M81" s="81">
        <v>0.25</v>
      </c>
      <c r="N81" s="529">
        <v>3.5700000000000003E-2</v>
      </c>
      <c r="O81" s="80">
        <v>14</v>
      </c>
      <c r="P81" s="81">
        <v>0.75</v>
      </c>
    </row>
    <row r="82" spans="1:16" x14ac:dyDescent="0.25">
      <c r="A82" s="80" t="s">
        <v>1697</v>
      </c>
      <c r="B82" s="80" t="s">
        <v>910</v>
      </c>
      <c r="C82" s="80" t="s">
        <v>111</v>
      </c>
      <c r="D82" s="80" t="s">
        <v>1519</v>
      </c>
      <c r="G82" s="80" t="s">
        <v>1456</v>
      </c>
      <c r="H82" s="80" t="s">
        <v>1475</v>
      </c>
      <c r="I82" s="80" t="s">
        <v>1463</v>
      </c>
      <c r="J82" s="80" t="s">
        <v>1506</v>
      </c>
      <c r="L82" s="80" t="s">
        <v>2134</v>
      </c>
      <c r="M82" s="81">
        <v>0.25</v>
      </c>
      <c r="N82" s="529">
        <v>0.05</v>
      </c>
      <c r="O82" s="80">
        <v>10</v>
      </c>
      <c r="P82" s="81">
        <v>0.75</v>
      </c>
    </row>
    <row r="83" spans="1:16" x14ac:dyDescent="0.25">
      <c r="A83" s="80" t="s">
        <v>2150</v>
      </c>
      <c r="B83" s="80" t="s">
        <v>910</v>
      </c>
      <c r="C83" s="80" t="s">
        <v>112</v>
      </c>
      <c r="D83" s="80" t="s">
        <v>1441</v>
      </c>
      <c r="G83" s="80" t="s">
        <v>1442</v>
      </c>
      <c r="H83" s="80" t="s">
        <v>1475</v>
      </c>
      <c r="I83" s="80" t="s">
        <v>1463</v>
      </c>
      <c r="J83" s="80" t="s">
        <v>1506</v>
      </c>
      <c r="L83" s="80" t="s">
        <v>2134</v>
      </c>
      <c r="M83" s="81">
        <v>0.25</v>
      </c>
      <c r="N83" s="529">
        <v>3.5700000000000003E-2</v>
      </c>
      <c r="O83" s="80">
        <v>14</v>
      </c>
      <c r="P83" s="81">
        <v>0.75</v>
      </c>
    </row>
    <row r="84" spans="1:16" x14ac:dyDescent="0.25">
      <c r="A84" s="80" t="s">
        <v>1694</v>
      </c>
      <c r="B84" s="80" t="s">
        <v>909</v>
      </c>
      <c r="C84" s="80" t="s">
        <v>111</v>
      </c>
      <c r="D84" s="80" t="s">
        <v>1477</v>
      </c>
      <c r="E84" s="80" t="s">
        <v>1478</v>
      </c>
      <c r="G84" s="80" t="s">
        <v>1399</v>
      </c>
      <c r="H84" s="80" t="s">
        <v>1412</v>
      </c>
      <c r="L84" s="80" t="s">
        <v>2134</v>
      </c>
      <c r="M84" s="81">
        <v>0.1</v>
      </c>
      <c r="N84" s="529">
        <v>7.4999999999999997E-2</v>
      </c>
      <c r="O84" s="80">
        <v>4</v>
      </c>
      <c r="P84" s="81">
        <v>0.4</v>
      </c>
    </row>
    <row r="85" spans="1:16" x14ac:dyDescent="0.25">
      <c r="A85" s="80" t="s">
        <v>1695</v>
      </c>
      <c r="B85" s="80" t="s">
        <v>909</v>
      </c>
      <c r="C85" s="80" t="s">
        <v>111</v>
      </c>
      <c r="D85" s="80" t="s">
        <v>1477</v>
      </c>
      <c r="E85" s="80" t="s">
        <v>1398</v>
      </c>
      <c r="F85" s="80" t="s">
        <v>1478</v>
      </c>
      <c r="G85" s="80" t="s">
        <v>1399</v>
      </c>
      <c r="H85" s="80" t="s">
        <v>1424</v>
      </c>
      <c r="I85" s="80" t="s">
        <v>1412</v>
      </c>
      <c r="L85" s="80" t="s">
        <v>2124</v>
      </c>
      <c r="M85" s="81">
        <v>0.1</v>
      </c>
      <c r="N85" s="529">
        <v>3.7499999999999999E-2</v>
      </c>
      <c r="O85" s="80">
        <v>8</v>
      </c>
      <c r="P85" s="81">
        <v>0.4</v>
      </c>
    </row>
    <row r="86" spans="1:16" x14ac:dyDescent="0.25">
      <c r="A86" s="80" t="s">
        <v>2132</v>
      </c>
      <c r="B86" s="80" t="s">
        <v>912</v>
      </c>
      <c r="C86" s="80" t="s">
        <v>110</v>
      </c>
      <c r="D86" s="80" t="s">
        <v>1420</v>
      </c>
      <c r="E86" s="80" t="s">
        <v>1398</v>
      </c>
      <c r="G86" s="80" t="s">
        <v>1421</v>
      </c>
      <c r="H86" s="80" t="s">
        <v>1407</v>
      </c>
      <c r="I86" s="80" t="s">
        <v>1471</v>
      </c>
      <c r="J86" s="80" t="s">
        <v>1483</v>
      </c>
      <c r="K86" s="80" t="s">
        <v>1409</v>
      </c>
      <c r="L86" s="80" t="s">
        <v>2117</v>
      </c>
      <c r="M86" s="81">
        <v>0.2</v>
      </c>
      <c r="N86" s="529">
        <v>1.6E-2</v>
      </c>
      <c r="O86" s="80">
        <v>25</v>
      </c>
      <c r="P86" s="81">
        <v>0.6</v>
      </c>
    </row>
    <row r="87" spans="1:16" x14ac:dyDescent="0.25">
      <c r="A87" s="80" t="s">
        <v>2133</v>
      </c>
      <c r="B87" s="80" t="s">
        <v>912</v>
      </c>
      <c r="C87" s="80" t="s">
        <v>110</v>
      </c>
      <c r="D87" s="80" t="s">
        <v>1420</v>
      </c>
      <c r="E87" s="80" t="s">
        <v>1398</v>
      </c>
      <c r="G87" s="80" t="s">
        <v>1421</v>
      </c>
      <c r="H87" s="80" t="s">
        <v>1407</v>
      </c>
      <c r="I87" s="80" t="s">
        <v>1471</v>
      </c>
      <c r="J87" s="80" t="s">
        <v>1409</v>
      </c>
      <c r="K87" s="80" t="s">
        <v>1514</v>
      </c>
      <c r="L87" s="80" t="s">
        <v>2120</v>
      </c>
      <c r="M87" s="81">
        <v>0.2</v>
      </c>
      <c r="N87" s="529">
        <v>1.6E-2</v>
      </c>
      <c r="O87" s="80">
        <v>25</v>
      </c>
      <c r="P87" s="81">
        <v>0.6</v>
      </c>
    </row>
    <row r="88" spans="1:16" x14ac:dyDescent="0.25">
      <c r="A88" s="80" t="s">
        <v>1495</v>
      </c>
      <c r="B88" s="80" t="s">
        <v>909</v>
      </c>
      <c r="C88" s="80" t="s">
        <v>111</v>
      </c>
      <c r="D88" s="80" t="s">
        <v>1437</v>
      </c>
      <c r="G88" s="80" t="s">
        <v>1438</v>
      </c>
      <c r="H88" s="80" t="s">
        <v>1430</v>
      </c>
      <c r="I88" s="80" t="s">
        <v>1401</v>
      </c>
      <c r="J88" s="80" t="s">
        <v>1402</v>
      </c>
      <c r="L88" s="80" t="s">
        <v>2138</v>
      </c>
      <c r="M88" s="81">
        <v>0.2</v>
      </c>
      <c r="N88" s="529">
        <v>0.04</v>
      </c>
      <c r="O88" s="80">
        <v>10</v>
      </c>
      <c r="P88" s="81">
        <v>0.6</v>
      </c>
    </row>
    <row r="89" spans="1:16" x14ac:dyDescent="0.25">
      <c r="A89" s="80" t="s">
        <v>1496</v>
      </c>
      <c r="B89" s="80" t="s">
        <v>912</v>
      </c>
      <c r="C89" s="80" t="s">
        <v>110</v>
      </c>
      <c r="D89" s="80" t="s">
        <v>1405</v>
      </c>
      <c r="G89" s="80" t="s">
        <v>1601</v>
      </c>
      <c r="H89" s="80" t="s">
        <v>1423</v>
      </c>
      <c r="I89" s="80" t="s">
        <v>1425</v>
      </c>
      <c r="J89" s="80" t="s">
        <v>1460</v>
      </c>
      <c r="K89" s="80" t="s">
        <v>1497</v>
      </c>
      <c r="L89" s="80" t="s">
        <v>2120</v>
      </c>
      <c r="M89" s="81">
        <v>0</v>
      </c>
      <c r="N89" s="529">
        <v>0.05</v>
      </c>
      <c r="O89" s="80">
        <v>20</v>
      </c>
      <c r="P89" s="81">
        <v>1</v>
      </c>
    </row>
    <row r="90" spans="1:16" x14ac:dyDescent="0.25">
      <c r="A90" s="80" t="s">
        <v>1530</v>
      </c>
      <c r="B90" s="80" t="s">
        <v>911</v>
      </c>
      <c r="C90" s="80" t="s">
        <v>110</v>
      </c>
      <c r="D90" s="80" t="s">
        <v>1420</v>
      </c>
      <c r="E90" s="80" t="s">
        <v>1398</v>
      </c>
      <c r="G90" s="80" t="s">
        <v>1421</v>
      </c>
      <c r="H90" s="80" t="s">
        <v>1451</v>
      </c>
      <c r="I90" s="80" t="s">
        <v>1512</v>
      </c>
      <c r="J90" s="80" t="s">
        <v>1484</v>
      </c>
      <c r="K90" s="80" t="s">
        <v>1514</v>
      </c>
      <c r="L90" s="80" t="s">
        <v>2117</v>
      </c>
      <c r="M90" s="81">
        <v>0.2</v>
      </c>
      <c r="N90" s="529">
        <v>3.0800000000000001E-2</v>
      </c>
      <c r="O90" s="80">
        <v>13</v>
      </c>
      <c r="P90" s="81">
        <v>0.6</v>
      </c>
    </row>
    <row r="91" spans="1:16" x14ac:dyDescent="0.25">
      <c r="A91" s="80" t="s">
        <v>1613</v>
      </c>
      <c r="P91" s="81">
        <v>0</v>
      </c>
    </row>
    <row r="92" spans="1:16" x14ac:dyDescent="0.25">
      <c r="A92" s="80" t="s">
        <v>1614</v>
      </c>
      <c r="B92" s="80" t="s">
        <v>912</v>
      </c>
      <c r="C92" s="80" t="s">
        <v>112</v>
      </c>
      <c r="D92" s="80" t="s">
        <v>1615</v>
      </c>
      <c r="E92" s="80" t="s">
        <v>1398</v>
      </c>
      <c r="G92" s="80" t="s">
        <v>2151</v>
      </c>
      <c r="H92" s="80" t="s">
        <v>1471</v>
      </c>
      <c r="I92" s="80" t="s">
        <v>1450</v>
      </c>
      <c r="J92" s="80" t="s">
        <v>1451</v>
      </c>
      <c r="K92" s="80" t="s">
        <v>1431</v>
      </c>
      <c r="L92" s="80" t="s">
        <v>2146</v>
      </c>
      <c r="M92" s="81">
        <v>0.1</v>
      </c>
      <c r="N92" s="529">
        <v>0.02</v>
      </c>
      <c r="O92" s="80">
        <v>25</v>
      </c>
      <c r="P92" s="81">
        <v>0.6</v>
      </c>
    </row>
    <row r="93" spans="1:16" x14ac:dyDescent="0.25">
      <c r="A93" s="80" t="s">
        <v>1616</v>
      </c>
      <c r="B93" s="80" t="s">
        <v>909</v>
      </c>
      <c r="C93" s="80" t="s">
        <v>110</v>
      </c>
      <c r="D93" s="80" t="s">
        <v>1435</v>
      </c>
      <c r="E93" s="80" t="s">
        <v>1398</v>
      </c>
      <c r="G93" s="80" t="s">
        <v>1399</v>
      </c>
      <c r="H93" s="80" t="s">
        <v>1459</v>
      </c>
      <c r="L93" s="80" t="s">
        <v>2139</v>
      </c>
      <c r="M93" s="81">
        <v>0.1</v>
      </c>
      <c r="N93" s="529">
        <v>3.3300000000000003E-2</v>
      </c>
      <c r="O93" s="80">
        <v>9</v>
      </c>
      <c r="P93" s="81">
        <v>0.4</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AB161"/>
  <sheetViews>
    <sheetView workbookViewId="0">
      <pane ySplit="1" topLeftCell="A2" activePane="bottomLeft" state="frozen"/>
      <selection pane="bottomLeft" sqref="A1:AB161"/>
    </sheetView>
  </sheetViews>
  <sheetFormatPr defaultRowHeight="15" customHeight="1" x14ac:dyDescent="0.25"/>
  <cols>
    <col min="1" max="1" width="34.42578125" style="67" bestFit="1" customWidth="1"/>
    <col min="2" max="2" width="8.28515625" style="67" bestFit="1" customWidth="1"/>
    <col min="3" max="3" width="8.28515625" style="67" customWidth="1"/>
    <col min="4" max="4" width="10.140625" style="67" bestFit="1" customWidth="1"/>
    <col min="5" max="5" width="10.140625" style="67" customWidth="1"/>
    <col min="6" max="6" width="10.85546875" style="67" bestFit="1" customWidth="1"/>
    <col min="7" max="7" width="10.85546875" style="67" customWidth="1"/>
    <col min="8" max="8" width="25.5703125" style="104" customWidth="1"/>
    <col min="9" max="9" width="6.140625" style="67" bestFit="1" customWidth="1"/>
    <col min="10" max="10" width="12.5703125" style="67" bestFit="1" customWidth="1"/>
    <col min="11" max="11" width="15.28515625" style="67" bestFit="1" customWidth="1"/>
    <col min="12" max="12" width="14.28515625" style="67" bestFit="1" customWidth="1"/>
    <col min="13" max="13" width="11.28515625" style="67" bestFit="1" customWidth="1"/>
    <col min="14" max="14" width="14.5703125" style="67" bestFit="1" customWidth="1"/>
    <col min="15" max="15" width="13.5703125" style="67" bestFit="1" customWidth="1"/>
    <col min="16" max="16" width="13.5703125" style="67" customWidth="1"/>
    <col min="17" max="17" width="8.140625" style="67" bestFit="1" customWidth="1"/>
    <col min="18" max="18" width="14.42578125" style="67" bestFit="1" customWidth="1"/>
    <col min="19" max="19" width="7.140625" style="67" bestFit="1" customWidth="1"/>
    <col min="20" max="20" width="7.85546875" style="67" bestFit="1" customWidth="1"/>
    <col min="21" max="21" width="7.140625" style="67" bestFit="1" customWidth="1"/>
    <col min="22" max="22" width="17" style="67" bestFit="1" customWidth="1"/>
    <col min="23" max="23" width="16.5703125" style="67" bestFit="1" customWidth="1"/>
    <col min="24" max="24" width="16.42578125" style="67" bestFit="1" customWidth="1"/>
    <col min="25" max="25" width="14.42578125" style="67" bestFit="1" customWidth="1"/>
    <col min="26" max="26" width="6" style="67" bestFit="1" customWidth="1"/>
    <col min="27" max="27" width="11.28515625" style="67" bestFit="1" customWidth="1"/>
    <col min="28" max="28" width="7.140625" style="67" bestFit="1" customWidth="1"/>
    <col min="29" max="16384" width="9.140625" style="67"/>
  </cols>
  <sheetData>
    <row r="1" spans="1:28" s="181" customFormat="1" ht="15" customHeight="1" x14ac:dyDescent="0.25">
      <c r="A1" s="181" t="s">
        <v>806</v>
      </c>
      <c r="B1" s="181" t="s">
        <v>817</v>
      </c>
      <c r="C1" s="181" t="s">
        <v>324</v>
      </c>
      <c r="D1" s="181" t="s">
        <v>805</v>
      </c>
      <c r="E1" s="181" t="s">
        <v>324</v>
      </c>
      <c r="F1" s="181" t="s">
        <v>804</v>
      </c>
      <c r="G1" s="181" t="s">
        <v>324</v>
      </c>
      <c r="H1" s="269" t="s">
        <v>803</v>
      </c>
      <c r="I1" s="181" t="s">
        <v>802</v>
      </c>
      <c r="J1" s="181" t="s">
        <v>801</v>
      </c>
      <c r="K1" s="181" t="s">
        <v>800</v>
      </c>
      <c r="L1" s="181" t="s">
        <v>799</v>
      </c>
      <c r="M1" s="181" t="s">
        <v>807</v>
      </c>
      <c r="N1" s="181" t="s">
        <v>808</v>
      </c>
      <c r="O1" s="181" t="s">
        <v>809</v>
      </c>
      <c r="P1" s="181" t="s">
        <v>820</v>
      </c>
      <c r="Q1" s="181" t="s">
        <v>798</v>
      </c>
      <c r="R1" s="181" t="s">
        <v>797</v>
      </c>
      <c r="S1" s="181" t="s">
        <v>796</v>
      </c>
      <c r="T1" s="181" t="s">
        <v>795</v>
      </c>
      <c r="U1" s="181" t="s">
        <v>794</v>
      </c>
      <c r="V1" s="181" t="s">
        <v>793</v>
      </c>
      <c r="W1" s="181" t="s">
        <v>792</v>
      </c>
      <c r="X1" s="181" t="s">
        <v>791</v>
      </c>
      <c r="Y1" s="181" t="s">
        <v>790</v>
      </c>
      <c r="Z1" s="181" t="s">
        <v>789</v>
      </c>
      <c r="AA1" s="181" t="s">
        <v>788</v>
      </c>
      <c r="AB1" s="181" t="s">
        <v>787</v>
      </c>
    </row>
    <row r="2" spans="1:28" ht="15" customHeight="1" x14ac:dyDescent="0.25">
      <c r="A2" s="67" t="s">
        <v>2322</v>
      </c>
      <c r="B2" s="67" t="s">
        <v>103</v>
      </c>
      <c r="C2" s="67">
        <v>1</v>
      </c>
      <c r="D2" s="67" t="s">
        <v>80</v>
      </c>
      <c r="E2" s="67">
        <v>4</v>
      </c>
      <c r="F2" s="67" t="s">
        <v>1564</v>
      </c>
      <c r="G2" s="67">
        <v>1</v>
      </c>
      <c r="H2" s="104" t="s">
        <v>1661</v>
      </c>
      <c r="I2" s="67" t="b">
        <v>1</v>
      </c>
      <c r="J2" s="67" t="b">
        <v>1</v>
      </c>
      <c r="K2" s="67" t="b">
        <v>1</v>
      </c>
      <c r="L2" s="67" t="b">
        <v>1</v>
      </c>
      <c r="O2" s="67" t="b">
        <v>1</v>
      </c>
    </row>
    <row r="3" spans="1:28" ht="15" customHeight="1" x14ac:dyDescent="0.25">
      <c r="A3" s="67" t="s">
        <v>1662</v>
      </c>
      <c r="B3" s="67" t="s">
        <v>103</v>
      </c>
      <c r="C3" s="67">
        <v>1</v>
      </c>
      <c r="D3" s="67" t="s">
        <v>83</v>
      </c>
      <c r="E3" s="67">
        <v>4</v>
      </c>
      <c r="F3" s="67" t="s">
        <v>1564</v>
      </c>
      <c r="G3" s="67">
        <v>1</v>
      </c>
      <c r="H3" s="104" t="s">
        <v>1661</v>
      </c>
      <c r="I3" s="67" t="b">
        <v>1</v>
      </c>
      <c r="J3" s="67" t="b">
        <v>1</v>
      </c>
      <c r="K3" s="67" t="b">
        <v>1</v>
      </c>
      <c r="L3" s="67" t="b">
        <v>1</v>
      </c>
      <c r="M3" s="67" t="b">
        <v>1</v>
      </c>
    </row>
    <row r="4" spans="1:28" ht="15" customHeight="1" x14ac:dyDescent="0.25">
      <c r="A4" s="67" t="s">
        <v>1663</v>
      </c>
      <c r="B4" s="67" t="s">
        <v>103</v>
      </c>
      <c r="C4" s="67">
        <v>1</v>
      </c>
      <c r="D4" s="67" t="s">
        <v>70</v>
      </c>
      <c r="E4" s="67">
        <v>4</v>
      </c>
      <c r="F4" s="67" t="s">
        <v>1564</v>
      </c>
      <c r="G4" s="67">
        <v>1</v>
      </c>
      <c r="H4" s="104" t="s">
        <v>1661</v>
      </c>
      <c r="I4" s="67" t="b">
        <v>1</v>
      </c>
      <c r="J4" s="67" t="b">
        <v>1</v>
      </c>
      <c r="K4" s="67" t="b">
        <v>1</v>
      </c>
      <c r="L4" s="67" t="b">
        <v>1</v>
      </c>
      <c r="N4" s="67" t="b">
        <v>1</v>
      </c>
    </row>
    <row r="5" spans="1:28" ht="15" customHeight="1" x14ac:dyDescent="0.25">
      <c r="A5" s="67" t="s">
        <v>891</v>
      </c>
      <c r="B5" s="67" t="s">
        <v>80</v>
      </c>
      <c r="C5" s="67">
        <v>4</v>
      </c>
      <c r="D5" s="67" t="s">
        <v>53</v>
      </c>
      <c r="E5" s="67">
        <v>4</v>
      </c>
      <c r="F5" s="67" t="s">
        <v>34</v>
      </c>
      <c r="G5" s="67">
        <v>4</v>
      </c>
      <c r="H5" s="104" t="s">
        <v>892</v>
      </c>
      <c r="I5" s="67" t="b">
        <v>1</v>
      </c>
      <c r="J5" s="67" t="b">
        <v>1</v>
      </c>
      <c r="K5" s="67" t="b">
        <v>1</v>
      </c>
      <c r="L5" s="67" t="b">
        <v>1</v>
      </c>
      <c r="O5" s="67" t="b">
        <v>1</v>
      </c>
      <c r="R5" s="67" t="b">
        <v>1</v>
      </c>
    </row>
    <row r="6" spans="1:28" ht="15" customHeight="1" x14ac:dyDescent="0.25">
      <c r="A6" s="67" t="s">
        <v>893</v>
      </c>
      <c r="B6" s="67" t="s">
        <v>65</v>
      </c>
      <c r="C6" s="67">
        <v>1</v>
      </c>
      <c r="D6" s="67" t="s">
        <v>53</v>
      </c>
      <c r="E6" s="67">
        <v>4</v>
      </c>
      <c r="F6" s="67" t="s">
        <v>80</v>
      </c>
      <c r="G6" s="67">
        <v>4</v>
      </c>
      <c r="H6" s="104" t="s">
        <v>892</v>
      </c>
      <c r="I6" s="67" t="b">
        <v>1</v>
      </c>
      <c r="J6" s="67" t="b">
        <v>1</v>
      </c>
      <c r="K6" s="67" t="b">
        <v>1</v>
      </c>
      <c r="L6" s="67" t="b">
        <v>1</v>
      </c>
      <c r="O6" s="67" t="b">
        <v>1</v>
      </c>
      <c r="R6" s="67" t="b">
        <v>1</v>
      </c>
    </row>
    <row r="7" spans="1:28" ht="15" customHeight="1" x14ac:dyDescent="0.25">
      <c r="A7" s="67" t="s">
        <v>932</v>
      </c>
      <c r="B7" s="67" t="s">
        <v>1640</v>
      </c>
      <c r="C7" s="67">
        <v>1</v>
      </c>
      <c r="D7" s="67" t="s">
        <v>80</v>
      </c>
      <c r="E7" s="67">
        <v>4</v>
      </c>
      <c r="F7" s="67" t="s">
        <v>66</v>
      </c>
      <c r="G7" s="67">
        <v>1</v>
      </c>
      <c r="H7" s="104" t="s">
        <v>933</v>
      </c>
      <c r="I7" s="67" t="b">
        <v>1</v>
      </c>
      <c r="J7" s="67" t="b">
        <v>1</v>
      </c>
      <c r="K7" s="67" t="b">
        <v>1</v>
      </c>
      <c r="L7" s="67" t="b">
        <v>1</v>
      </c>
      <c r="O7" s="67" t="b">
        <v>1</v>
      </c>
      <c r="R7" s="67" t="b">
        <v>1</v>
      </c>
    </row>
    <row r="8" spans="1:28" ht="15" customHeight="1" x14ac:dyDescent="0.25">
      <c r="A8" s="67" t="s">
        <v>880</v>
      </c>
      <c r="B8" s="67" t="s">
        <v>68</v>
      </c>
      <c r="C8" s="67">
        <v>1</v>
      </c>
      <c r="D8" s="67" t="s">
        <v>23</v>
      </c>
      <c r="E8" s="67">
        <v>4</v>
      </c>
      <c r="F8" s="67" t="s">
        <v>80</v>
      </c>
      <c r="G8" s="67">
        <v>4</v>
      </c>
      <c r="H8" s="104" t="s">
        <v>2323</v>
      </c>
      <c r="I8" s="67" t="b">
        <v>1</v>
      </c>
      <c r="J8" s="67" t="b">
        <v>1</v>
      </c>
      <c r="K8" s="67" t="b">
        <v>1</v>
      </c>
      <c r="L8" s="67" t="b">
        <v>1</v>
      </c>
      <c r="O8" s="67" t="b">
        <v>1</v>
      </c>
      <c r="R8" s="67" t="b">
        <v>1</v>
      </c>
    </row>
    <row r="9" spans="1:28" ht="15" customHeight="1" x14ac:dyDescent="0.25">
      <c r="A9" s="67" t="s">
        <v>934</v>
      </c>
      <c r="B9" s="67" t="s">
        <v>1640</v>
      </c>
      <c r="C9" s="67">
        <v>1</v>
      </c>
      <c r="D9" s="67" t="s">
        <v>83</v>
      </c>
      <c r="E9" s="67">
        <v>4</v>
      </c>
      <c r="F9" s="67" t="s">
        <v>66</v>
      </c>
      <c r="G9" s="67">
        <v>1</v>
      </c>
      <c r="H9" s="104" t="s">
        <v>829</v>
      </c>
      <c r="I9" s="67" t="b">
        <v>1</v>
      </c>
      <c r="J9" s="67" t="b">
        <v>1</v>
      </c>
      <c r="K9" s="67" t="b">
        <v>1</v>
      </c>
      <c r="L9" s="67" t="b">
        <v>1</v>
      </c>
      <c r="M9" s="67" t="b">
        <v>1</v>
      </c>
      <c r="O9" s="67" t="b">
        <v>1</v>
      </c>
      <c r="R9" s="67" t="b">
        <v>1</v>
      </c>
    </row>
    <row r="10" spans="1:28" ht="15" customHeight="1" x14ac:dyDescent="0.25">
      <c r="A10" s="67" t="s">
        <v>881</v>
      </c>
      <c r="B10" s="67" t="s">
        <v>68</v>
      </c>
      <c r="C10" s="67">
        <v>1</v>
      </c>
      <c r="D10" s="67" t="s">
        <v>23</v>
      </c>
      <c r="E10" s="67">
        <v>4</v>
      </c>
      <c r="F10" s="67" t="s">
        <v>83</v>
      </c>
      <c r="G10" s="67">
        <v>4</v>
      </c>
      <c r="H10" s="104" t="s">
        <v>2324</v>
      </c>
      <c r="I10" s="67" t="b">
        <v>1</v>
      </c>
      <c r="J10" s="67" t="b">
        <v>1</v>
      </c>
      <c r="K10" s="67" t="b">
        <v>1</v>
      </c>
      <c r="L10" s="67" t="b">
        <v>1</v>
      </c>
      <c r="M10" s="67" t="b">
        <v>1</v>
      </c>
      <c r="R10" s="67" t="b">
        <v>1</v>
      </c>
    </row>
    <row r="11" spans="1:28" ht="15" customHeight="1" x14ac:dyDescent="0.25">
      <c r="A11" s="67" t="s">
        <v>935</v>
      </c>
      <c r="B11" s="67" t="s">
        <v>80</v>
      </c>
      <c r="C11" s="67">
        <v>4</v>
      </c>
      <c r="D11" s="67" t="s">
        <v>63</v>
      </c>
      <c r="E11" s="67">
        <v>5</v>
      </c>
      <c r="F11" s="67" t="s">
        <v>60</v>
      </c>
      <c r="G11" s="67">
        <v>5</v>
      </c>
      <c r="H11" s="104" t="s">
        <v>928</v>
      </c>
      <c r="I11" s="67" t="b">
        <v>1</v>
      </c>
      <c r="J11" s="67" t="b">
        <v>1</v>
      </c>
      <c r="K11" s="67" t="b">
        <v>1</v>
      </c>
      <c r="L11" s="67" t="b">
        <v>1</v>
      </c>
      <c r="O11" s="67" t="b">
        <v>1</v>
      </c>
    </row>
    <row r="12" spans="1:28" ht="15" customHeight="1" x14ac:dyDescent="0.25">
      <c r="A12" s="67" t="s">
        <v>936</v>
      </c>
      <c r="B12" s="67" t="s">
        <v>83</v>
      </c>
      <c r="C12" s="67">
        <v>4</v>
      </c>
      <c r="D12" s="67" t="s">
        <v>63</v>
      </c>
      <c r="E12" s="67">
        <v>5</v>
      </c>
      <c r="F12" s="67" t="s">
        <v>60</v>
      </c>
      <c r="G12" s="67">
        <v>5</v>
      </c>
      <c r="H12" s="104" t="s">
        <v>928</v>
      </c>
      <c r="I12" s="67" t="b">
        <v>1</v>
      </c>
      <c r="J12" s="67" t="b">
        <v>1</v>
      </c>
      <c r="K12" s="67" t="b">
        <v>1</v>
      </c>
      <c r="L12" s="67" t="b">
        <v>1</v>
      </c>
      <c r="M12" s="67" t="b">
        <v>1</v>
      </c>
    </row>
    <row r="13" spans="1:28" ht="15" customHeight="1" x14ac:dyDescent="0.25">
      <c r="A13" s="67" t="s">
        <v>937</v>
      </c>
      <c r="B13" s="67" t="s">
        <v>70</v>
      </c>
      <c r="C13" s="67">
        <v>4</v>
      </c>
      <c r="D13" s="67" t="s">
        <v>63</v>
      </c>
      <c r="E13" s="67">
        <v>5</v>
      </c>
      <c r="F13" s="67" t="s">
        <v>60</v>
      </c>
      <c r="G13" s="67">
        <v>5</v>
      </c>
      <c r="H13" s="104" t="s">
        <v>928</v>
      </c>
      <c r="I13" s="67" t="s">
        <v>930</v>
      </c>
      <c r="J13" s="67" t="b">
        <v>1</v>
      </c>
      <c r="K13" s="67" t="b">
        <v>1</v>
      </c>
      <c r="L13" s="67" t="b">
        <v>1</v>
      </c>
      <c r="N13" s="67" t="b">
        <v>1</v>
      </c>
    </row>
    <row r="14" spans="1:28" ht="15" customHeight="1" x14ac:dyDescent="0.25">
      <c r="A14" s="67" t="s">
        <v>938</v>
      </c>
      <c r="B14" s="67" t="s">
        <v>1640</v>
      </c>
      <c r="C14" s="67">
        <v>1</v>
      </c>
      <c r="D14" s="67" t="s">
        <v>70</v>
      </c>
      <c r="E14" s="67">
        <v>4</v>
      </c>
      <c r="F14" s="67" t="s">
        <v>66</v>
      </c>
      <c r="G14" s="67">
        <v>1</v>
      </c>
      <c r="H14" s="104" t="s">
        <v>830</v>
      </c>
      <c r="I14" s="67" t="b">
        <v>1</v>
      </c>
      <c r="J14" s="67" t="b">
        <v>1</v>
      </c>
      <c r="K14" s="67" t="b">
        <v>1</v>
      </c>
      <c r="L14" s="67" t="b">
        <v>1</v>
      </c>
      <c r="N14" s="67" t="b">
        <v>1</v>
      </c>
      <c r="O14" s="67" t="b">
        <v>1</v>
      </c>
      <c r="R14" s="67" t="b">
        <v>1</v>
      </c>
    </row>
    <row r="15" spans="1:28" ht="15" customHeight="1" x14ac:dyDescent="0.25">
      <c r="A15" s="67" t="s">
        <v>882</v>
      </c>
      <c r="B15" s="67" t="s">
        <v>68</v>
      </c>
      <c r="C15" s="67">
        <v>1</v>
      </c>
      <c r="D15" s="67" t="s">
        <v>23</v>
      </c>
      <c r="E15" s="67">
        <v>4</v>
      </c>
      <c r="F15" s="67" t="s">
        <v>70</v>
      </c>
      <c r="G15" s="67">
        <v>4</v>
      </c>
      <c r="H15" s="104" t="s">
        <v>2325</v>
      </c>
      <c r="I15" s="67" t="b">
        <v>1</v>
      </c>
      <c r="J15" s="67" t="b">
        <v>1</v>
      </c>
      <c r="K15" s="67" t="b">
        <v>1</v>
      </c>
      <c r="L15" s="67" t="b">
        <v>1</v>
      </c>
      <c r="N15" s="67" t="b">
        <v>1</v>
      </c>
      <c r="R15" s="67" t="b">
        <v>1</v>
      </c>
    </row>
    <row r="16" spans="1:28" ht="15" customHeight="1" x14ac:dyDescent="0.25">
      <c r="A16" s="67" t="s">
        <v>939</v>
      </c>
      <c r="B16" s="67" t="s">
        <v>67</v>
      </c>
      <c r="C16" s="67">
        <v>1</v>
      </c>
      <c r="D16" s="67" t="s">
        <v>70</v>
      </c>
      <c r="E16" s="67">
        <v>4</v>
      </c>
      <c r="F16" s="67" t="s">
        <v>37</v>
      </c>
      <c r="G16" s="67">
        <v>5</v>
      </c>
      <c r="H16" s="104" t="s">
        <v>940</v>
      </c>
      <c r="I16" s="67" t="b">
        <v>1</v>
      </c>
      <c r="J16" s="67" t="b">
        <v>1</v>
      </c>
      <c r="K16" s="67" t="b">
        <v>1</v>
      </c>
      <c r="L16" s="67" t="b">
        <v>1</v>
      </c>
      <c r="N16" s="67" t="b">
        <v>1</v>
      </c>
    </row>
    <row r="17" spans="1:25" ht="15" customHeight="1" x14ac:dyDescent="0.25">
      <c r="A17" s="67" t="s">
        <v>2326</v>
      </c>
      <c r="B17" s="67" t="s">
        <v>731</v>
      </c>
      <c r="C17" s="67">
        <v>2</v>
      </c>
      <c r="D17" s="67" t="s">
        <v>66</v>
      </c>
      <c r="E17" s="67">
        <v>3</v>
      </c>
      <c r="F17" s="67" t="s">
        <v>103</v>
      </c>
      <c r="G17" s="67">
        <v>1</v>
      </c>
      <c r="H17" s="104" t="s">
        <v>2327</v>
      </c>
      <c r="L17" s="67" t="b">
        <v>1</v>
      </c>
      <c r="W17" s="67" t="b">
        <v>1</v>
      </c>
    </row>
    <row r="18" spans="1:25" ht="15" customHeight="1" x14ac:dyDescent="0.25">
      <c r="A18" s="67" t="s">
        <v>831</v>
      </c>
      <c r="B18" s="67" t="s">
        <v>1640</v>
      </c>
      <c r="C18" s="67">
        <v>1</v>
      </c>
      <c r="D18" s="67" t="s">
        <v>1642</v>
      </c>
      <c r="E18" s="67">
        <v>1</v>
      </c>
      <c r="F18" s="67" t="s">
        <v>66</v>
      </c>
      <c r="G18" s="67">
        <v>1</v>
      </c>
      <c r="H18" s="104" t="s">
        <v>830</v>
      </c>
      <c r="J18" s="67" t="b">
        <v>1</v>
      </c>
      <c r="K18" s="67" t="b">
        <v>1</v>
      </c>
      <c r="L18" s="67" t="b">
        <v>1</v>
      </c>
      <c r="V18" s="67" t="b">
        <v>1</v>
      </c>
      <c r="W18" s="67" t="b">
        <v>1</v>
      </c>
      <c r="Y18" s="67" t="b">
        <v>1</v>
      </c>
    </row>
    <row r="19" spans="1:25" ht="15" customHeight="1" x14ac:dyDescent="0.25">
      <c r="A19" s="67" t="s">
        <v>1543</v>
      </c>
      <c r="B19" s="67" t="s">
        <v>1645</v>
      </c>
      <c r="C19" s="67">
        <v>1</v>
      </c>
      <c r="D19" s="67" t="s">
        <v>1640</v>
      </c>
      <c r="E19" s="67">
        <v>1</v>
      </c>
      <c r="F19" s="67" t="s">
        <v>1643</v>
      </c>
      <c r="G19" s="67">
        <v>1</v>
      </c>
      <c r="H19" s="104" t="s">
        <v>2328</v>
      </c>
      <c r="K19" s="67" t="b">
        <v>1</v>
      </c>
      <c r="Y19" s="67" t="b">
        <v>1</v>
      </c>
    </row>
    <row r="20" spans="1:25" ht="15" customHeight="1" x14ac:dyDescent="0.25">
      <c r="A20" s="67" t="s">
        <v>1367</v>
      </c>
      <c r="B20" s="67" t="s">
        <v>68</v>
      </c>
      <c r="C20" s="67">
        <v>1</v>
      </c>
      <c r="D20" s="67" t="s">
        <v>23</v>
      </c>
      <c r="E20" s="67">
        <v>4</v>
      </c>
      <c r="F20" s="67" t="s">
        <v>67</v>
      </c>
      <c r="G20" s="67">
        <v>1</v>
      </c>
      <c r="H20" s="104" t="s">
        <v>1368</v>
      </c>
      <c r="J20" s="67" t="b">
        <v>1</v>
      </c>
      <c r="K20" s="67" t="b">
        <v>1</v>
      </c>
      <c r="L20" s="67" t="b">
        <v>1</v>
      </c>
      <c r="V20" s="67" t="b">
        <v>1</v>
      </c>
      <c r="W20" s="67" t="b">
        <v>1</v>
      </c>
      <c r="X20" s="67" t="b">
        <v>1</v>
      </c>
      <c r="Y20" s="67" t="b">
        <v>1</v>
      </c>
    </row>
    <row r="21" spans="1:25" ht="15" customHeight="1" x14ac:dyDescent="0.25">
      <c r="A21" s="67" t="s">
        <v>1369</v>
      </c>
      <c r="B21" s="67" t="s">
        <v>68</v>
      </c>
      <c r="C21" s="67">
        <v>1</v>
      </c>
      <c r="D21" s="67" t="s">
        <v>23</v>
      </c>
      <c r="E21" s="67">
        <v>4</v>
      </c>
      <c r="F21" s="67" t="s">
        <v>103</v>
      </c>
      <c r="G21" s="67">
        <v>1</v>
      </c>
      <c r="H21" s="104" t="s">
        <v>1368</v>
      </c>
      <c r="J21" s="67" t="b">
        <v>1</v>
      </c>
      <c r="K21" s="67" t="b">
        <v>1</v>
      </c>
      <c r="L21" s="67" t="b">
        <v>1</v>
      </c>
      <c r="V21" s="67" t="b">
        <v>1</v>
      </c>
      <c r="W21" s="67" t="b">
        <v>1</v>
      </c>
      <c r="X21" s="67" t="b">
        <v>1</v>
      </c>
      <c r="Y21" s="67" t="b">
        <v>1</v>
      </c>
    </row>
    <row r="22" spans="1:25" ht="15" customHeight="1" x14ac:dyDescent="0.25">
      <c r="A22" s="67" t="s">
        <v>2329</v>
      </c>
      <c r="B22" s="67" t="s">
        <v>68</v>
      </c>
      <c r="C22" s="67">
        <v>1</v>
      </c>
      <c r="D22" s="67" t="s">
        <v>23</v>
      </c>
      <c r="E22" s="67">
        <v>4</v>
      </c>
      <c r="F22" s="67" t="s">
        <v>108</v>
      </c>
      <c r="G22" s="67">
        <v>1</v>
      </c>
      <c r="H22" s="104" t="s">
        <v>1370</v>
      </c>
      <c r="J22" s="67" t="b">
        <v>1</v>
      </c>
      <c r="K22" s="67" t="b">
        <v>1</v>
      </c>
      <c r="L22" s="67" t="b">
        <v>1</v>
      </c>
      <c r="V22" s="67" t="b">
        <v>1</v>
      </c>
      <c r="W22" s="67" t="b">
        <v>1</v>
      </c>
      <c r="X22" s="67" t="b">
        <v>1</v>
      </c>
      <c r="Y22" s="67" t="b">
        <v>1</v>
      </c>
    </row>
    <row r="23" spans="1:25" ht="15" customHeight="1" x14ac:dyDescent="0.25">
      <c r="A23" s="67" t="s">
        <v>1371</v>
      </c>
      <c r="B23" s="67" t="s">
        <v>68</v>
      </c>
      <c r="C23" s="67">
        <v>1</v>
      </c>
      <c r="D23" s="67" t="s">
        <v>23</v>
      </c>
      <c r="E23" s="67">
        <v>4</v>
      </c>
      <c r="F23" s="67" t="s">
        <v>50</v>
      </c>
      <c r="G23" s="67">
        <v>1</v>
      </c>
      <c r="H23" s="104" t="s">
        <v>1372</v>
      </c>
      <c r="J23" s="67" t="b">
        <v>1</v>
      </c>
      <c r="K23" s="67" t="b">
        <v>1</v>
      </c>
      <c r="L23" s="67" t="b">
        <v>1</v>
      </c>
      <c r="V23" s="67" t="b">
        <v>1</v>
      </c>
      <c r="W23" s="67" t="b">
        <v>1</v>
      </c>
      <c r="X23" s="67" t="b">
        <v>1</v>
      </c>
      <c r="Y23" s="67" t="b">
        <v>1</v>
      </c>
    </row>
    <row r="24" spans="1:25" ht="15" customHeight="1" x14ac:dyDescent="0.25">
      <c r="A24" s="67" t="s">
        <v>1373</v>
      </c>
      <c r="B24" s="67" t="s">
        <v>31</v>
      </c>
      <c r="C24" s="67">
        <v>3</v>
      </c>
      <c r="D24" s="67" t="s">
        <v>61</v>
      </c>
      <c r="E24" s="67">
        <v>3</v>
      </c>
      <c r="F24" s="67" t="s">
        <v>46</v>
      </c>
      <c r="G24" s="67">
        <v>3</v>
      </c>
      <c r="H24" s="104" t="s">
        <v>2330</v>
      </c>
      <c r="J24" s="67" t="b">
        <v>1</v>
      </c>
      <c r="K24" s="67" t="b">
        <v>1</v>
      </c>
      <c r="L24" s="67" t="b">
        <v>1</v>
      </c>
      <c r="M24" s="67" t="b">
        <v>1</v>
      </c>
      <c r="N24" s="67" t="b">
        <v>1</v>
      </c>
      <c r="O24" s="67" t="b">
        <v>1</v>
      </c>
      <c r="R24" s="67" t="b">
        <v>1</v>
      </c>
      <c r="V24" s="67" t="b">
        <v>1</v>
      </c>
      <c r="W24" s="67" t="b">
        <v>1</v>
      </c>
      <c r="X24" s="67" t="b">
        <v>1</v>
      </c>
      <c r="Y24" s="67" t="b">
        <v>1</v>
      </c>
    </row>
    <row r="25" spans="1:25" ht="15" customHeight="1" x14ac:dyDescent="0.25">
      <c r="A25" s="67" t="s">
        <v>1374</v>
      </c>
      <c r="B25" s="67" t="s">
        <v>22</v>
      </c>
      <c r="C25" s="67">
        <v>3</v>
      </c>
      <c r="D25" s="67" t="s">
        <v>49</v>
      </c>
      <c r="E25" s="67">
        <v>3</v>
      </c>
      <c r="F25" s="67" t="s">
        <v>38</v>
      </c>
      <c r="G25" s="67">
        <v>3</v>
      </c>
      <c r="H25" s="104" t="s">
        <v>2331</v>
      </c>
      <c r="J25" s="67" t="b">
        <v>1</v>
      </c>
      <c r="K25" s="67" t="b">
        <v>1</v>
      </c>
      <c r="L25" s="67" t="b">
        <v>1</v>
      </c>
      <c r="M25" s="67" t="b">
        <v>1</v>
      </c>
      <c r="N25" s="67" t="b">
        <v>1</v>
      </c>
      <c r="O25" s="67" t="b">
        <v>1</v>
      </c>
      <c r="R25" s="67" t="b">
        <v>1</v>
      </c>
      <c r="V25" s="67" t="b">
        <v>1</v>
      </c>
      <c r="W25" s="67" t="b">
        <v>1</v>
      </c>
      <c r="X25" s="67" t="b">
        <v>1</v>
      </c>
      <c r="Y25" s="67" t="b">
        <v>1</v>
      </c>
    </row>
    <row r="26" spans="1:25" ht="15" customHeight="1" x14ac:dyDescent="0.25">
      <c r="A26" s="67" t="s">
        <v>1375</v>
      </c>
      <c r="B26" s="67" t="s">
        <v>30</v>
      </c>
      <c r="C26" s="67">
        <v>1</v>
      </c>
      <c r="D26" s="67" t="s">
        <v>44</v>
      </c>
      <c r="E26" s="67">
        <v>3</v>
      </c>
      <c r="F26" s="67" t="s">
        <v>23</v>
      </c>
      <c r="G26" s="67">
        <v>3</v>
      </c>
      <c r="H26" s="104" t="s">
        <v>2332</v>
      </c>
      <c r="J26" s="67" t="b">
        <v>1</v>
      </c>
      <c r="K26" s="67" t="b">
        <v>1</v>
      </c>
      <c r="L26" s="67" t="b">
        <v>1</v>
      </c>
      <c r="M26" s="67" t="b">
        <v>1</v>
      </c>
      <c r="N26" s="67" t="b">
        <v>1</v>
      </c>
      <c r="O26" s="67" t="b">
        <v>1</v>
      </c>
      <c r="R26" s="67" t="b">
        <v>1</v>
      </c>
      <c r="V26" s="67" t="b">
        <v>1</v>
      </c>
      <c r="W26" s="67" t="b">
        <v>1</v>
      </c>
      <c r="X26" s="67" t="b">
        <v>1</v>
      </c>
      <c r="Y26" s="67" t="b">
        <v>1</v>
      </c>
    </row>
    <row r="27" spans="1:25" ht="15" customHeight="1" x14ac:dyDescent="0.25">
      <c r="A27" s="67" t="s">
        <v>843</v>
      </c>
      <c r="B27" s="67" t="s">
        <v>68</v>
      </c>
      <c r="C27" s="67">
        <v>1</v>
      </c>
      <c r="D27" s="67" t="s">
        <v>23</v>
      </c>
      <c r="E27" s="67">
        <v>4</v>
      </c>
      <c r="F27" s="67" t="s">
        <v>1642</v>
      </c>
      <c r="G27" s="67">
        <v>1</v>
      </c>
      <c r="H27" s="104" t="s">
        <v>845</v>
      </c>
      <c r="J27" s="67" t="b">
        <v>1</v>
      </c>
      <c r="K27" s="67" t="b">
        <v>1</v>
      </c>
      <c r="L27" s="67" t="b">
        <v>1</v>
      </c>
      <c r="V27" s="67" t="b">
        <v>1</v>
      </c>
      <c r="W27" s="67" t="b">
        <v>1</v>
      </c>
      <c r="Y27" s="67" t="b">
        <v>1</v>
      </c>
    </row>
    <row r="28" spans="1:25" ht="15" customHeight="1" x14ac:dyDescent="0.25">
      <c r="A28" s="67" t="s">
        <v>844</v>
      </c>
      <c r="B28" s="67" t="s">
        <v>68</v>
      </c>
      <c r="C28" s="67">
        <v>1</v>
      </c>
      <c r="D28" s="67" t="s">
        <v>23</v>
      </c>
      <c r="E28" s="67">
        <v>4</v>
      </c>
      <c r="F28" s="67" t="s">
        <v>66</v>
      </c>
      <c r="G28" s="67">
        <v>1</v>
      </c>
      <c r="H28" s="104" t="s">
        <v>846</v>
      </c>
      <c r="J28" s="67" t="b">
        <v>1</v>
      </c>
      <c r="K28" s="67" t="b">
        <v>1</v>
      </c>
      <c r="L28" s="67" t="b">
        <v>1</v>
      </c>
      <c r="V28" s="67" t="b">
        <v>1</v>
      </c>
      <c r="W28" s="67" t="b">
        <v>1</v>
      </c>
      <c r="Y28" s="67" t="b">
        <v>1</v>
      </c>
    </row>
    <row r="29" spans="1:25" ht="15" customHeight="1" x14ac:dyDescent="0.25">
      <c r="A29" s="67" t="s">
        <v>1571</v>
      </c>
      <c r="B29" s="67" t="s">
        <v>869</v>
      </c>
      <c r="C29" s="67">
        <v>1</v>
      </c>
      <c r="D29" s="67" t="s">
        <v>731</v>
      </c>
      <c r="E29" s="67">
        <v>1</v>
      </c>
      <c r="F29" s="67" t="s">
        <v>5</v>
      </c>
      <c r="G29" s="67">
        <v>5</v>
      </c>
      <c r="H29" s="104" t="s">
        <v>1376</v>
      </c>
      <c r="J29" s="67" t="b">
        <v>1</v>
      </c>
      <c r="K29" s="67" t="b">
        <v>1</v>
      </c>
      <c r="L29" s="67" t="b">
        <v>1</v>
      </c>
      <c r="V29" s="67" t="b">
        <v>1</v>
      </c>
      <c r="W29" s="67" t="b">
        <v>1</v>
      </c>
      <c r="X29" s="67" t="b">
        <v>1</v>
      </c>
      <c r="Y29" s="67" t="b">
        <v>1</v>
      </c>
    </row>
    <row r="30" spans="1:25" ht="15" customHeight="1" x14ac:dyDescent="0.25">
      <c r="A30" s="67" t="s">
        <v>1572</v>
      </c>
      <c r="B30" s="67" t="s">
        <v>82</v>
      </c>
      <c r="C30" s="67">
        <v>1</v>
      </c>
      <c r="D30" s="67" t="s">
        <v>64</v>
      </c>
      <c r="E30" s="67">
        <v>1</v>
      </c>
      <c r="F30" s="67" t="s">
        <v>5</v>
      </c>
      <c r="G30" s="67">
        <v>5</v>
      </c>
      <c r="H30" s="104" t="s">
        <v>1377</v>
      </c>
      <c r="J30" s="67" t="b">
        <v>1</v>
      </c>
      <c r="K30" s="67" t="b">
        <v>1</v>
      </c>
      <c r="L30" s="67" t="b">
        <v>1</v>
      </c>
      <c r="V30" s="67" t="b">
        <v>1</v>
      </c>
      <c r="W30" s="67" t="b">
        <v>1</v>
      </c>
      <c r="X30" s="67" t="b">
        <v>1</v>
      </c>
      <c r="Y30" s="67" t="b">
        <v>1</v>
      </c>
    </row>
    <row r="31" spans="1:25" ht="15" customHeight="1" x14ac:dyDescent="0.25">
      <c r="A31" s="67" t="s">
        <v>1575</v>
      </c>
      <c r="B31" s="67" t="s">
        <v>918</v>
      </c>
      <c r="C31" s="67">
        <v>1</v>
      </c>
      <c r="D31" s="67" t="s">
        <v>66</v>
      </c>
      <c r="E31" s="67">
        <v>3</v>
      </c>
      <c r="F31" s="67" t="s">
        <v>1642</v>
      </c>
      <c r="G31" s="67">
        <v>3</v>
      </c>
      <c r="H31" s="104" t="s">
        <v>2333</v>
      </c>
      <c r="J31" s="67" t="b">
        <v>1</v>
      </c>
      <c r="K31" s="67" t="b">
        <v>1</v>
      </c>
      <c r="L31" s="67" t="b">
        <v>1</v>
      </c>
      <c r="V31" s="67" t="b">
        <v>1</v>
      </c>
      <c r="W31" s="67" t="b">
        <v>1</v>
      </c>
      <c r="X31" s="67" t="b">
        <v>1</v>
      </c>
      <c r="Y31" s="67" t="b">
        <v>1</v>
      </c>
    </row>
    <row r="32" spans="1:25" ht="15" customHeight="1" x14ac:dyDescent="0.25">
      <c r="A32" s="67" t="s">
        <v>1378</v>
      </c>
      <c r="B32" s="67" t="s">
        <v>733</v>
      </c>
      <c r="C32" s="67">
        <v>1</v>
      </c>
      <c r="D32" s="67" t="s">
        <v>731</v>
      </c>
      <c r="E32" s="67">
        <v>1</v>
      </c>
      <c r="F32" s="67" t="s">
        <v>1640</v>
      </c>
      <c r="G32" s="67">
        <v>1</v>
      </c>
      <c r="H32" s="104" t="s">
        <v>2334</v>
      </c>
      <c r="J32" s="67" t="b">
        <v>1</v>
      </c>
      <c r="K32" s="67" t="b">
        <v>1</v>
      </c>
      <c r="L32" s="67" t="b">
        <v>1</v>
      </c>
      <c r="V32" s="67" t="b">
        <v>1</v>
      </c>
      <c r="W32" s="67" t="b">
        <v>1</v>
      </c>
      <c r="X32" s="67" t="b">
        <v>1</v>
      </c>
      <c r="Y32" s="67" t="b">
        <v>1</v>
      </c>
    </row>
    <row r="33" spans="1:26" ht="15" customHeight="1" x14ac:dyDescent="0.25">
      <c r="A33" s="67" t="s">
        <v>1379</v>
      </c>
      <c r="B33" s="67" t="s">
        <v>918</v>
      </c>
      <c r="C33" s="67">
        <v>1</v>
      </c>
      <c r="D33" s="67" t="s">
        <v>68</v>
      </c>
      <c r="E33" s="67">
        <v>1</v>
      </c>
      <c r="F33" s="67" t="s">
        <v>23</v>
      </c>
      <c r="G33" s="67">
        <v>4</v>
      </c>
      <c r="H33" s="104" t="s">
        <v>1380</v>
      </c>
      <c r="J33" s="67" t="b">
        <v>1</v>
      </c>
      <c r="K33" s="67" t="b">
        <v>1</v>
      </c>
      <c r="L33" s="67" t="b">
        <v>1</v>
      </c>
      <c r="V33" s="67" t="b">
        <v>1</v>
      </c>
      <c r="W33" s="67" t="b">
        <v>1</v>
      </c>
      <c r="X33" s="67" t="b">
        <v>1</v>
      </c>
      <c r="Y33" s="67" t="b">
        <v>1</v>
      </c>
    </row>
    <row r="34" spans="1:26" ht="15" customHeight="1" x14ac:dyDescent="0.25">
      <c r="A34" s="67" t="s">
        <v>2110</v>
      </c>
      <c r="B34" s="67" t="s">
        <v>918</v>
      </c>
      <c r="C34" s="67">
        <v>1</v>
      </c>
      <c r="D34" s="67" t="s">
        <v>731</v>
      </c>
      <c r="E34" s="67">
        <v>1</v>
      </c>
      <c r="F34" s="67" t="s">
        <v>68</v>
      </c>
      <c r="G34" s="67">
        <v>1</v>
      </c>
      <c r="H34" s="104" t="s">
        <v>2111</v>
      </c>
      <c r="J34" s="67" t="b">
        <v>1</v>
      </c>
      <c r="V34" s="67" t="b">
        <v>1</v>
      </c>
    </row>
    <row r="35" spans="1:26" ht="15" customHeight="1" x14ac:dyDescent="0.25">
      <c r="A35" s="67" t="s">
        <v>1381</v>
      </c>
      <c r="B35" s="67" t="s">
        <v>918</v>
      </c>
      <c r="C35" s="67">
        <v>1</v>
      </c>
      <c r="D35" s="67" t="s">
        <v>731</v>
      </c>
      <c r="E35" s="67">
        <v>1</v>
      </c>
      <c r="F35" s="67" t="s">
        <v>1642</v>
      </c>
      <c r="G35" s="67">
        <v>3</v>
      </c>
      <c r="H35" s="104" t="s">
        <v>2335</v>
      </c>
      <c r="J35" s="67" t="b">
        <v>1</v>
      </c>
      <c r="K35" s="67" t="b">
        <v>1</v>
      </c>
      <c r="L35" s="67" t="b">
        <v>1</v>
      </c>
      <c r="V35" s="67" t="b">
        <v>1</v>
      </c>
      <c r="W35" s="67" t="b">
        <v>1</v>
      </c>
      <c r="X35" s="67" t="b">
        <v>1</v>
      </c>
      <c r="Y35" s="67" t="b">
        <v>1</v>
      </c>
    </row>
    <row r="36" spans="1:26" ht="15" customHeight="1" x14ac:dyDescent="0.25">
      <c r="A36" s="67" t="s">
        <v>1576</v>
      </c>
      <c r="B36" s="67" t="s">
        <v>918</v>
      </c>
      <c r="C36" s="67">
        <v>1</v>
      </c>
      <c r="D36" s="67" t="s">
        <v>731</v>
      </c>
      <c r="E36" s="67">
        <v>1</v>
      </c>
      <c r="F36" s="67" t="s">
        <v>66</v>
      </c>
      <c r="G36" s="67">
        <v>3</v>
      </c>
      <c r="H36" s="104" t="s">
        <v>1577</v>
      </c>
      <c r="J36" s="67" t="b">
        <v>1</v>
      </c>
      <c r="K36" s="67" t="b">
        <v>1</v>
      </c>
      <c r="L36" s="67" t="b">
        <v>1</v>
      </c>
      <c r="V36" s="67" t="b">
        <v>1</v>
      </c>
      <c r="W36" s="67" t="b">
        <v>1</v>
      </c>
      <c r="X36" s="67" t="b">
        <v>1</v>
      </c>
      <c r="Y36" s="67" t="b">
        <v>1</v>
      </c>
    </row>
    <row r="37" spans="1:26" ht="15" customHeight="1" x14ac:dyDescent="0.25">
      <c r="A37" s="67" t="s">
        <v>1581</v>
      </c>
      <c r="B37" s="67" t="s">
        <v>1354</v>
      </c>
      <c r="C37" s="67">
        <v>1</v>
      </c>
      <c r="D37" s="67" t="s">
        <v>732</v>
      </c>
      <c r="E37" s="67">
        <v>1</v>
      </c>
      <c r="F37" s="67" t="s">
        <v>66</v>
      </c>
      <c r="G37" s="67">
        <v>3</v>
      </c>
      <c r="H37" s="104" t="s">
        <v>2336</v>
      </c>
      <c r="L37" s="67" t="b">
        <v>1</v>
      </c>
      <c r="W37" s="67" t="b">
        <v>1</v>
      </c>
    </row>
    <row r="38" spans="1:26" ht="15" customHeight="1" x14ac:dyDescent="0.25">
      <c r="A38" s="67" t="s">
        <v>1579</v>
      </c>
      <c r="B38" s="67" t="s">
        <v>1354</v>
      </c>
      <c r="C38" s="67">
        <v>1</v>
      </c>
      <c r="D38" s="67" t="s">
        <v>68</v>
      </c>
      <c r="E38" s="67">
        <v>3</v>
      </c>
      <c r="F38" s="67" t="s">
        <v>23</v>
      </c>
      <c r="G38" s="67">
        <v>4</v>
      </c>
      <c r="H38" s="104" t="s">
        <v>1580</v>
      </c>
      <c r="J38" s="67" t="b">
        <v>1</v>
      </c>
      <c r="K38" s="67" t="b">
        <v>1</v>
      </c>
      <c r="L38" s="67" t="b">
        <v>1</v>
      </c>
      <c r="V38" s="67" t="b">
        <v>1</v>
      </c>
    </row>
    <row r="39" spans="1:26" ht="15" customHeight="1" x14ac:dyDescent="0.25">
      <c r="A39" s="67" t="s">
        <v>1582</v>
      </c>
      <c r="B39" s="67" t="s">
        <v>1354</v>
      </c>
      <c r="C39" s="67">
        <v>1</v>
      </c>
      <c r="D39" s="67" t="s">
        <v>68</v>
      </c>
      <c r="E39" s="67">
        <v>1</v>
      </c>
      <c r="F39" s="67" t="s">
        <v>23</v>
      </c>
      <c r="G39" s="67">
        <v>4</v>
      </c>
      <c r="H39" s="104" t="s">
        <v>1583</v>
      </c>
      <c r="M39" s="67" t="b">
        <v>1</v>
      </c>
      <c r="X39" s="67" t="b">
        <v>1</v>
      </c>
    </row>
    <row r="40" spans="1:26" ht="15" customHeight="1" x14ac:dyDescent="0.25">
      <c r="A40" s="67" t="s">
        <v>1382</v>
      </c>
      <c r="B40" s="67" t="s">
        <v>13</v>
      </c>
      <c r="C40" s="67">
        <v>3</v>
      </c>
      <c r="D40" s="67" t="s">
        <v>14</v>
      </c>
      <c r="E40" s="67">
        <v>3</v>
      </c>
      <c r="F40" s="67" t="s">
        <v>16</v>
      </c>
      <c r="G40" s="67">
        <v>3</v>
      </c>
      <c r="H40" s="104" t="s">
        <v>1383</v>
      </c>
      <c r="J40" s="67" t="b">
        <v>1</v>
      </c>
      <c r="K40" s="67" t="b">
        <v>1</v>
      </c>
      <c r="L40" s="67" t="b">
        <v>1</v>
      </c>
      <c r="M40" s="67" t="b">
        <v>1</v>
      </c>
      <c r="N40" s="67" t="b">
        <v>1</v>
      </c>
      <c r="O40" s="67" t="b">
        <v>1</v>
      </c>
      <c r="R40" s="67" t="b">
        <v>1</v>
      </c>
      <c r="V40" s="67" t="b">
        <v>1</v>
      </c>
      <c r="W40" s="67" t="b">
        <v>1</v>
      </c>
      <c r="X40" s="67" t="b">
        <v>1</v>
      </c>
      <c r="Y40" s="67" t="b">
        <v>1</v>
      </c>
    </row>
    <row r="41" spans="1:26" ht="15" customHeight="1" x14ac:dyDescent="0.25">
      <c r="A41" s="67" t="s">
        <v>862</v>
      </c>
      <c r="B41" s="67" t="s">
        <v>66</v>
      </c>
      <c r="C41" s="67">
        <v>1</v>
      </c>
      <c r="D41" s="67" t="s">
        <v>59</v>
      </c>
      <c r="E41" s="67">
        <v>1</v>
      </c>
      <c r="F41" s="67" t="s">
        <v>68</v>
      </c>
      <c r="G41" s="67">
        <v>1</v>
      </c>
      <c r="J41" s="67" t="b">
        <v>1</v>
      </c>
      <c r="Z41" s="67" t="b">
        <v>1</v>
      </c>
    </row>
    <row r="42" spans="1:26" ht="15" customHeight="1" x14ac:dyDescent="0.25">
      <c r="A42" s="67" t="s">
        <v>1945</v>
      </c>
      <c r="B42" s="67" t="s">
        <v>66</v>
      </c>
      <c r="C42" s="67">
        <v>1</v>
      </c>
      <c r="D42" s="67" t="s">
        <v>68</v>
      </c>
      <c r="E42" s="67">
        <v>1</v>
      </c>
      <c r="F42" s="67" t="s">
        <v>1564</v>
      </c>
      <c r="G42" s="67">
        <v>1</v>
      </c>
      <c r="H42" s="104" t="s">
        <v>1946</v>
      </c>
      <c r="J42" s="67" t="b">
        <v>1</v>
      </c>
      <c r="Z42" s="67" t="b">
        <v>1</v>
      </c>
    </row>
    <row r="43" spans="1:26" ht="15" customHeight="1" x14ac:dyDescent="0.25">
      <c r="A43" s="67" t="s">
        <v>861</v>
      </c>
      <c r="B43" s="67" t="s">
        <v>66</v>
      </c>
      <c r="C43" s="67">
        <v>1</v>
      </c>
      <c r="D43" s="67" t="s">
        <v>59</v>
      </c>
      <c r="E43" s="67">
        <v>1</v>
      </c>
      <c r="F43" s="67" t="s">
        <v>62</v>
      </c>
      <c r="G43" s="67">
        <v>1</v>
      </c>
      <c r="J43" s="67" t="b">
        <v>1</v>
      </c>
      <c r="K43" s="67" t="b">
        <v>1</v>
      </c>
      <c r="L43" s="67" t="b">
        <v>1</v>
      </c>
      <c r="Z43" s="67" t="b">
        <v>1</v>
      </c>
    </row>
    <row r="44" spans="1:26" ht="15" customHeight="1" x14ac:dyDescent="0.25">
      <c r="A44" s="67" t="s">
        <v>863</v>
      </c>
      <c r="B44" s="67" t="s">
        <v>66</v>
      </c>
      <c r="C44" s="67">
        <v>1</v>
      </c>
      <c r="D44" s="67" t="s">
        <v>59</v>
      </c>
      <c r="E44" s="67">
        <v>1</v>
      </c>
      <c r="F44" s="67" t="s">
        <v>98</v>
      </c>
      <c r="G44" s="67">
        <v>1</v>
      </c>
      <c r="H44" s="104" t="s">
        <v>919</v>
      </c>
      <c r="J44" s="67" t="b">
        <v>1</v>
      </c>
      <c r="K44" s="67" t="b">
        <v>1</v>
      </c>
      <c r="L44" s="67" t="b">
        <v>1</v>
      </c>
      <c r="Z44" s="67" t="b">
        <v>1</v>
      </c>
    </row>
    <row r="45" spans="1:26" ht="15" customHeight="1" x14ac:dyDescent="0.25">
      <c r="A45" s="67" t="s">
        <v>864</v>
      </c>
      <c r="B45" s="67" t="s">
        <v>66</v>
      </c>
      <c r="C45" s="67">
        <v>1</v>
      </c>
      <c r="D45" s="67" t="s">
        <v>109</v>
      </c>
      <c r="E45" s="67">
        <v>3</v>
      </c>
      <c r="F45" s="67" t="s">
        <v>98</v>
      </c>
      <c r="G45" s="67">
        <v>1</v>
      </c>
      <c r="H45" s="104" t="s">
        <v>865</v>
      </c>
      <c r="J45" s="67" t="b">
        <v>1</v>
      </c>
      <c r="K45" s="67" t="b">
        <v>1</v>
      </c>
      <c r="L45" s="67" t="b">
        <v>1</v>
      </c>
      <c r="Z45" s="67" t="b">
        <v>1</v>
      </c>
    </row>
    <row r="46" spans="1:26" ht="15" customHeight="1" x14ac:dyDescent="0.25">
      <c r="A46" s="67" t="s">
        <v>1947</v>
      </c>
      <c r="B46" s="67" t="s">
        <v>66</v>
      </c>
      <c r="C46" s="67">
        <v>1</v>
      </c>
      <c r="D46" s="67" t="s">
        <v>59</v>
      </c>
      <c r="E46" s="67">
        <v>1</v>
      </c>
      <c r="F46" s="67" t="s">
        <v>1564</v>
      </c>
      <c r="G46" s="67">
        <v>1</v>
      </c>
      <c r="H46" s="104" t="s">
        <v>1946</v>
      </c>
      <c r="K46" s="67" t="b">
        <v>1</v>
      </c>
      <c r="L46" s="67" t="b">
        <v>1</v>
      </c>
      <c r="Z46" s="67" t="b">
        <v>1</v>
      </c>
    </row>
    <row r="47" spans="1:26" ht="15" customHeight="1" x14ac:dyDescent="0.25">
      <c r="A47" s="67" t="s">
        <v>1948</v>
      </c>
      <c r="B47" s="67" t="s">
        <v>59</v>
      </c>
      <c r="C47" s="67">
        <v>3</v>
      </c>
      <c r="D47" s="67" t="s">
        <v>62</v>
      </c>
      <c r="E47" s="67">
        <v>3</v>
      </c>
      <c r="F47" s="67" t="s">
        <v>56</v>
      </c>
      <c r="G47" s="67">
        <v>4</v>
      </c>
      <c r="H47" s="104" t="s">
        <v>1949</v>
      </c>
      <c r="J47" s="67" t="b">
        <v>1</v>
      </c>
      <c r="K47" s="67" t="b">
        <v>1</v>
      </c>
      <c r="L47" s="67" t="b">
        <v>1</v>
      </c>
      <c r="Z47" s="67" t="b">
        <v>1</v>
      </c>
    </row>
    <row r="48" spans="1:26" ht="15" customHeight="1" x14ac:dyDescent="0.25">
      <c r="A48" s="67" t="s">
        <v>1950</v>
      </c>
      <c r="B48" s="67" t="s">
        <v>59</v>
      </c>
      <c r="C48" s="67">
        <v>3</v>
      </c>
      <c r="D48" s="67" t="s">
        <v>56</v>
      </c>
      <c r="E48" s="67">
        <v>3</v>
      </c>
      <c r="F48" s="67" t="s">
        <v>68</v>
      </c>
      <c r="G48" s="67">
        <v>1</v>
      </c>
      <c r="H48" s="104" t="s">
        <v>1951</v>
      </c>
      <c r="J48" s="67" t="b">
        <v>1</v>
      </c>
      <c r="Z48" s="67" t="b">
        <v>1</v>
      </c>
    </row>
    <row r="49" spans="1:26" ht="15" customHeight="1" x14ac:dyDescent="0.25">
      <c r="A49" s="67" t="s">
        <v>1952</v>
      </c>
      <c r="B49" s="67" t="s">
        <v>59</v>
      </c>
      <c r="C49" s="67">
        <v>1</v>
      </c>
      <c r="D49" s="67" t="s">
        <v>68</v>
      </c>
      <c r="E49" s="67">
        <v>3</v>
      </c>
      <c r="F49" s="67" t="s">
        <v>23</v>
      </c>
      <c r="G49" s="67">
        <v>5</v>
      </c>
      <c r="H49" s="104" t="s">
        <v>1953</v>
      </c>
    </row>
    <row r="50" spans="1:26" ht="15" customHeight="1" x14ac:dyDescent="0.25">
      <c r="A50" s="67" t="s">
        <v>1954</v>
      </c>
      <c r="B50" s="67" t="s">
        <v>59</v>
      </c>
      <c r="C50" s="67">
        <v>3</v>
      </c>
      <c r="D50" s="67" t="s">
        <v>56</v>
      </c>
      <c r="E50" s="67">
        <v>3</v>
      </c>
      <c r="F50" s="67" t="s">
        <v>1564</v>
      </c>
      <c r="G50" s="67">
        <v>1</v>
      </c>
      <c r="H50" s="104" t="s">
        <v>1951</v>
      </c>
      <c r="J50" s="67" t="b">
        <v>1</v>
      </c>
      <c r="K50" s="67" t="b">
        <v>1</v>
      </c>
      <c r="L50" s="67" t="b">
        <v>1</v>
      </c>
      <c r="Z50" s="67" t="b">
        <v>1</v>
      </c>
    </row>
    <row r="51" spans="1:26" ht="15" customHeight="1" x14ac:dyDescent="0.25">
      <c r="A51" s="67" t="s">
        <v>2337</v>
      </c>
      <c r="B51" s="67" t="s">
        <v>2180</v>
      </c>
      <c r="C51" s="67">
        <v>1</v>
      </c>
      <c r="D51" s="67" t="s">
        <v>67</v>
      </c>
      <c r="E51" s="67">
        <v>3</v>
      </c>
      <c r="F51" s="67" t="s">
        <v>1564</v>
      </c>
      <c r="G51" s="67">
        <v>1</v>
      </c>
      <c r="H51" s="104" t="s">
        <v>2338</v>
      </c>
      <c r="I51" s="67" t="b">
        <v>1</v>
      </c>
      <c r="J51" s="67" t="b">
        <v>1</v>
      </c>
      <c r="K51" s="67" t="b">
        <v>1</v>
      </c>
      <c r="L51" s="67" t="b">
        <v>1</v>
      </c>
      <c r="Z51" s="67" t="b">
        <v>1</v>
      </c>
    </row>
    <row r="52" spans="1:26" ht="15" customHeight="1" x14ac:dyDescent="0.25">
      <c r="A52" s="67" t="s">
        <v>2339</v>
      </c>
      <c r="B52" s="67" t="s">
        <v>2180</v>
      </c>
      <c r="C52" s="67">
        <v>1</v>
      </c>
      <c r="D52" s="67" t="s">
        <v>98</v>
      </c>
      <c r="E52" s="67">
        <v>1</v>
      </c>
      <c r="F52" s="67" t="s">
        <v>106</v>
      </c>
      <c r="G52" s="67">
        <v>1</v>
      </c>
      <c r="H52" s="104" t="s">
        <v>2340</v>
      </c>
      <c r="I52" s="67" t="b">
        <v>1</v>
      </c>
      <c r="J52" s="67" t="b">
        <v>1</v>
      </c>
      <c r="K52" s="67" t="b">
        <v>1</v>
      </c>
      <c r="L52" s="67" t="b">
        <v>1</v>
      </c>
      <c r="Z52" s="67" t="b">
        <v>1</v>
      </c>
    </row>
    <row r="53" spans="1:26" ht="15" customHeight="1" x14ac:dyDescent="0.25">
      <c r="A53" s="67" t="s">
        <v>2341</v>
      </c>
      <c r="B53" s="67" t="s">
        <v>2180</v>
      </c>
      <c r="C53" s="67">
        <v>1</v>
      </c>
      <c r="D53" s="67" t="s">
        <v>68</v>
      </c>
      <c r="E53" s="67">
        <v>3</v>
      </c>
      <c r="F53" s="67" t="s">
        <v>1564</v>
      </c>
      <c r="G53" s="67">
        <v>1</v>
      </c>
      <c r="H53" s="104" t="s">
        <v>2342</v>
      </c>
      <c r="I53" s="67" t="b">
        <v>1</v>
      </c>
      <c r="J53" s="67" t="b">
        <v>1</v>
      </c>
      <c r="Z53" s="67" t="b">
        <v>1</v>
      </c>
    </row>
    <row r="54" spans="1:26" ht="15" customHeight="1" x14ac:dyDescent="0.25">
      <c r="A54" s="67" t="s">
        <v>2343</v>
      </c>
      <c r="B54" s="67" t="s">
        <v>2180</v>
      </c>
      <c r="C54" s="67">
        <v>1</v>
      </c>
      <c r="D54" s="67" t="s">
        <v>1564</v>
      </c>
      <c r="E54" s="67">
        <v>1</v>
      </c>
      <c r="F54" s="67" t="s">
        <v>50</v>
      </c>
      <c r="G54" s="67">
        <v>3</v>
      </c>
      <c r="H54" s="104" t="s">
        <v>2344</v>
      </c>
      <c r="I54" s="67" t="b">
        <v>1</v>
      </c>
      <c r="J54" s="67" t="b">
        <v>1</v>
      </c>
      <c r="K54" s="67" t="b">
        <v>1</v>
      </c>
      <c r="L54" s="67" t="b">
        <v>1</v>
      </c>
      <c r="Z54" s="67" t="b">
        <v>1</v>
      </c>
    </row>
    <row r="55" spans="1:26" ht="15" customHeight="1" x14ac:dyDescent="0.25">
      <c r="A55" s="67" t="s">
        <v>2345</v>
      </c>
      <c r="B55" s="67" t="s">
        <v>2180</v>
      </c>
      <c r="C55" s="67">
        <v>1</v>
      </c>
      <c r="D55" s="67" t="s">
        <v>68</v>
      </c>
      <c r="E55" s="67">
        <v>3</v>
      </c>
      <c r="F55" s="67" t="s">
        <v>23</v>
      </c>
      <c r="G55" s="67">
        <v>5</v>
      </c>
      <c r="H55" s="104" t="s">
        <v>2346</v>
      </c>
      <c r="I55" s="67" t="b">
        <v>1</v>
      </c>
      <c r="J55" s="67" t="b">
        <v>1</v>
      </c>
      <c r="K55" s="67" t="b">
        <v>1</v>
      </c>
      <c r="L55" s="67" t="b">
        <v>1</v>
      </c>
      <c r="Z55" s="67" t="b">
        <v>1</v>
      </c>
    </row>
    <row r="56" spans="1:26" ht="15" customHeight="1" x14ac:dyDescent="0.25">
      <c r="A56" s="67" t="s">
        <v>920</v>
      </c>
      <c r="B56" s="67" t="s">
        <v>108</v>
      </c>
      <c r="C56" s="67">
        <v>1</v>
      </c>
      <c r="D56" s="67" t="s">
        <v>89</v>
      </c>
      <c r="E56" s="67">
        <v>4</v>
      </c>
      <c r="F56" s="67" t="s">
        <v>80</v>
      </c>
      <c r="G56" s="67">
        <v>4</v>
      </c>
      <c r="H56" s="104" t="s">
        <v>2347</v>
      </c>
      <c r="I56" s="67" t="b">
        <v>1</v>
      </c>
      <c r="L56" s="67" t="b">
        <v>1</v>
      </c>
      <c r="O56" s="67" t="b">
        <v>1</v>
      </c>
    </row>
    <row r="57" spans="1:26" ht="15" customHeight="1" x14ac:dyDescent="0.25">
      <c r="A57" s="67" t="s">
        <v>921</v>
      </c>
      <c r="B57" s="67" t="s">
        <v>108</v>
      </c>
      <c r="C57" s="67">
        <v>1</v>
      </c>
      <c r="D57" s="67" t="s">
        <v>89</v>
      </c>
      <c r="E57" s="67">
        <v>4</v>
      </c>
      <c r="F57" s="67" t="s">
        <v>83</v>
      </c>
      <c r="G57" s="67">
        <v>4</v>
      </c>
      <c r="H57" s="104" t="s">
        <v>2348</v>
      </c>
      <c r="I57" s="67" t="b">
        <v>1</v>
      </c>
      <c r="L57" s="67" t="b">
        <v>1</v>
      </c>
      <c r="M57" s="67" t="b">
        <v>1</v>
      </c>
    </row>
    <row r="58" spans="1:26" ht="15" customHeight="1" x14ac:dyDescent="0.25">
      <c r="A58" s="67" t="s">
        <v>922</v>
      </c>
      <c r="B58" s="67" t="s">
        <v>108</v>
      </c>
      <c r="C58" s="67">
        <v>1</v>
      </c>
      <c r="D58" s="67" t="s">
        <v>89</v>
      </c>
      <c r="E58" s="67">
        <v>4</v>
      </c>
      <c r="F58" s="67" t="s">
        <v>70</v>
      </c>
      <c r="G58" s="67">
        <v>4</v>
      </c>
      <c r="H58" s="104" t="s">
        <v>2349</v>
      </c>
      <c r="I58" s="67" t="b">
        <v>1</v>
      </c>
      <c r="L58" s="67" t="b">
        <v>1</v>
      </c>
      <c r="N58" s="67" t="b">
        <v>1</v>
      </c>
    </row>
    <row r="59" spans="1:26" ht="15" customHeight="1" x14ac:dyDescent="0.25">
      <c r="A59" s="67" t="s">
        <v>941</v>
      </c>
      <c r="B59" s="67" t="s">
        <v>1640</v>
      </c>
      <c r="C59" s="67">
        <v>1</v>
      </c>
      <c r="D59" s="67" t="s">
        <v>1642</v>
      </c>
      <c r="E59" s="67">
        <v>1</v>
      </c>
      <c r="F59" s="67" t="s">
        <v>103</v>
      </c>
      <c r="G59" s="67">
        <v>1</v>
      </c>
      <c r="H59" s="104" t="s">
        <v>942</v>
      </c>
      <c r="K59" s="67" t="b">
        <v>1</v>
      </c>
      <c r="Y59" s="67" t="b">
        <v>1</v>
      </c>
    </row>
    <row r="60" spans="1:26" ht="15" customHeight="1" x14ac:dyDescent="0.25">
      <c r="A60" s="67" t="s">
        <v>1851</v>
      </c>
      <c r="B60" s="67" t="s">
        <v>1640</v>
      </c>
      <c r="C60" s="67">
        <v>1</v>
      </c>
      <c r="D60" s="67" t="s">
        <v>1638</v>
      </c>
      <c r="E60" s="67">
        <v>1</v>
      </c>
      <c r="F60" s="67" t="s">
        <v>9</v>
      </c>
      <c r="G60" s="67">
        <v>5</v>
      </c>
      <c r="H60" s="104" t="s">
        <v>2350</v>
      </c>
      <c r="K60" s="67" t="b">
        <v>1</v>
      </c>
      <c r="O60" s="67" t="b">
        <v>1</v>
      </c>
      <c r="S60" s="67" t="b">
        <v>1</v>
      </c>
    </row>
    <row r="61" spans="1:26" ht="15" customHeight="1" x14ac:dyDescent="0.25">
      <c r="A61" s="67" t="s">
        <v>2351</v>
      </c>
      <c r="B61" s="67" t="s">
        <v>1640</v>
      </c>
      <c r="C61" s="67">
        <v>2</v>
      </c>
      <c r="D61" s="67" t="s">
        <v>109</v>
      </c>
      <c r="E61" s="67">
        <v>4</v>
      </c>
      <c r="F61" s="67" t="s">
        <v>98</v>
      </c>
      <c r="G61" s="67">
        <v>1</v>
      </c>
      <c r="H61" s="104" t="s">
        <v>2352</v>
      </c>
      <c r="K61" s="67" t="b">
        <v>1</v>
      </c>
      <c r="O61" s="67" t="b">
        <v>1</v>
      </c>
      <c r="Q61" s="67" t="b">
        <v>1</v>
      </c>
      <c r="S61" s="67" t="b">
        <v>1</v>
      </c>
    </row>
    <row r="62" spans="1:26" ht="15" customHeight="1" x14ac:dyDescent="0.25">
      <c r="A62" s="67" t="s">
        <v>1384</v>
      </c>
      <c r="B62" s="67" t="s">
        <v>67</v>
      </c>
      <c r="C62" s="67">
        <v>1</v>
      </c>
      <c r="D62" s="67" t="s">
        <v>49</v>
      </c>
      <c r="E62" s="67">
        <v>3</v>
      </c>
      <c r="F62" s="67" t="s">
        <v>66</v>
      </c>
      <c r="G62" s="67">
        <v>3</v>
      </c>
      <c r="H62" s="104" t="s">
        <v>1385</v>
      </c>
      <c r="I62" s="67" t="b">
        <v>1</v>
      </c>
      <c r="K62" s="67" t="b">
        <v>1</v>
      </c>
      <c r="M62" s="67" t="b">
        <v>1</v>
      </c>
      <c r="N62" s="67" t="b">
        <v>1</v>
      </c>
      <c r="O62" s="67" t="b">
        <v>1</v>
      </c>
      <c r="R62" s="67" t="b">
        <v>1</v>
      </c>
    </row>
    <row r="63" spans="1:26" ht="15" customHeight="1" x14ac:dyDescent="0.25">
      <c r="A63" s="67" t="s">
        <v>1852</v>
      </c>
      <c r="B63" s="67" t="s">
        <v>98</v>
      </c>
      <c r="C63" s="67">
        <v>1</v>
      </c>
      <c r="D63" s="67" t="s">
        <v>83</v>
      </c>
      <c r="E63" s="67">
        <v>4</v>
      </c>
      <c r="F63" s="67" t="s">
        <v>1564</v>
      </c>
      <c r="G63" s="67">
        <v>1</v>
      </c>
      <c r="I63" s="67" t="b">
        <v>1</v>
      </c>
      <c r="J63" s="67" t="b">
        <v>1</v>
      </c>
      <c r="M63" s="67" t="b">
        <v>1</v>
      </c>
    </row>
    <row r="64" spans="1:26" ht="15" customHeight="1" x14ac:dyDescent="0.25">
      <c r="A64" s="67" t="s">
        <v>847</v>
      </c>
      <c r="B64" s="67" t="s">
        <v>1640</v>
      </c>
      <c r="C64" s="67">
        <v>1</v>
      </c>
      <c r="D64" s="67" t="s">
        <v>68</v>
      </c>
      <c r="E64" s="67">
        <v>1</v>
      </c>
      <c r="F64" s="67" t="s">
        <v>23</v>
      </c>
      <c r="G64" s="67">
        <v>4</v>
      </c>
      <c r="H64" s="104" t="s">
        <v>829</v>
      </c>
      <c r="L64" s="67" t="b">
        <v>1</v>
      </c>
      <c r="P64" s="67" t="b">
        <v>1</v>
      </c>
      <c r="Q64" s="67" t="b">
        <v>1</v>
      </c>
      <c r="U64" s="67" t="b">
        <v>1</v>
      </c>
      <c r="W64" s="67" t="b">
        <v>1</v>
      </c>
    </row>
    <row r="65" spans="1:27" ht="15" customHeight="1" x14ac:dyDescent="0.25">
      <c r="A65" s="67" t="s">
        <v>1386</v>
      </c>
      <c r="B65" s="67" t="s">
        <v>68</v>
      </c>
      <c r="C65" s="67">
        <v>1</v>
      </c>
      <c r="D65" s="67" t="s">
        <v>42</v>
      </c>
      <c r="E65" s="67">
        <v>4</v>
      </c>
      <c r="F65" s="67" t="s">
        <v>66</v>
      </c>
      <c r="G65" s="67">
        <v>3</v>
      </c>
      <c r="H65" s="104" t="s">
        <v>1387</v>
      </c>
    </row>
    <row r="66" spans="1:27" ht="15" customHeight="1" x14ac:dyDescent="0.25">
      <c r="A66" s="67" t="s">
        <v>857</v>
      </c>
      <c r="B66" s="67" t="s">
        <v>65</v>
      </c>
      <c r="C66" s="67">
        <v>1</v>
      </c>
      <c r="D66" s="67" t="s">
        <v>68</v>
      </c>
      <c r="E66" s="67">
        <v>1</v>
      </c>
      <c r="F66" s="67" t="s">
        <v>80</v>
      </c>
      <c r="G66" s="67">
        <v>4</v>
      </c>
      <c r="H66" s="104" t="s">
        <v>858</v>
      </c>
      <c r="I66" s="67" t="b">
        <v>1</v>
      </c>
      <c r="J66" s="67" t="b">
        <v>1</v>
      </c>
      <c r="O66" s="67" t="b">
        <v>1</v>
      </c>
      <c r="R66" s="67" t="b">
        <v>1</v>
      </c>
    </row>
    <row r="67" spans="1:27" ht="15" customHeight="1" x14ac:dyDescent="0.25">
      <c r="A67" s="67" t="s">
        <v>894</v>
      </c>
      <c r="B67" s="67" t="s">
        <v>65</v>
      </c>
      <c r="C67" s="67">
        <v>1</v>
      </c>
      <c r="D67" s="67" t="s">
        <v>68</v>
      </c>
      <c r="E67" s="67">
        <v>1</v>
      </c>
      <c r="F67" s="67" t="s">
        <v>83</v>
      </c>
      <c r="G67" s="67">
        <v>4</v>
      </c>
      <c r="H67" s="104" t="s">
        <v>895</v>
      </c>
      <c r="I67" s="67" t="b">
        <v>1</v>
      </c>
      <c r="J67" s="67" t="b">
        <v>1</v>
      </c>
      <c r="M67" s="67" t="b">
        <v>1</v>
      </c>
    </row>
    <row r="68" spans="1:27" ht="15" customHeight="1" x14ac:dyDescent="0.25">
      <c r="A68" s="67" t="s">
        <v>848</v>
      </c>
      <c r="B68" s="67" t="s">
        <v>1640</v>
      </c>
      <c r="C68" s="67">
        <v>1</v>
      </c>
      <c r="D68" s="67" t="s">
        <v>68</v>
      </c>
      <c r="E68" s="67">
        <v>1</v>
      </c>
      <c r="F68" s="67" t="s">
        <v>23</v>
      </c>
      <c r="G68" s="67">
        <v>4</v>
      </c>
      <c r="H68" s="104" t="s">
        <v>829</v>
      </c>
      <c r="I68" s="67" t="b">
        <v>1</v>
      </c>
      <c r="J68" s="67" t="b">
        <v>1</v>
      </c>
      <c r="K68" s="67" t="b">
        <v>1</v>
      </c>
      <c r="L68" s="67" t="b">
        <v>1</v>
      </c>
      <c r="M68" s="67" t="b">
        <v>1</v>
      </c>
      <c r="N68" s="67" t="b">
        <v>1</v>
      </c>
      <c r="O68" s="67" t="b">
        <v>1</v>
      </c>
      <c r="P68" s="67" t="b">
        <v>1</v>
      </c>
      <c r="Q68" s="67" t="b">
        <v>1</v>
      </c>
      <c r="R68" s="67" t="b">
        <v>1</v>
      </c>
      <c r="V68" s="67" t="b">
        <v>1</v>
      </c>
      <c r="W68" s="67" t="b">
        <v>1</v>
      </c>
      <c r="Y68" s="67" t="b">
        <v>1</v>
      </c>
    </row>
    <row r="69" spans="1:27" ht="15" customHeight="1" x14ac:dyDescent="0.25">
      <c r="A69" s="67" t="s">
        <v>1664</v>
      </c>
      <c r="B69" s="67" t="s">
        <v>103</v>
      </c>
      <c r="C69" s="67">
        <v>1</v>
      </c>
      <c r="D69" s="67" t="s">
        <v>97</v>
      </c>
      <c r="E69" s="67">
        <v>2</v>
      </c>
      <c r="F69" s="67" t="s">
        <v>1564</v>
      </c>
      <c r="G69" s="67">
        <v>1</v>
      </c>
      <c r="H69" s="104" t="s">
        <v>1665</v>
      </c>
      <c r="I69" s="67" t="b">
        <v>1</v>
      </c>
      <c r="J69" s="67" t="b">
        <v>1</v>
      </c>
      <c r="K69" s="67" t="b">
        <v>1</v>
      </c>
      <c r="L69" s="67" t="b">
        <v>1</v>
      </c>
      <c r="M69" s="67" t="b">
        <v>1</v>
      </c>
      <c r="N69" s="67" t="b">
        <v>1</v>
      </c>
      <c r="O69" s="67" t="b">
        <v>1</v>
      </c>
    </row>
    <row r="70" spans="1:27" ht="15" customHeight="1" x14ac:dyDescent="0.25">
      <c r="A70" s="67" t="s">
        <v>1666</v>
      </c>
      <c r="B70" s="67" t="s">
        <v>731</v>
      </c>
      <c r="C70" s="67">
        <v>1</v>
      </c>
      <c r="D70" s="67" t="s">
        <v>106</v>
      </c>
      <c r="E70" s="67">
        <v>3</v>
      </c>
      <c r="F70" s="67" t="s">
        <v>66</v>
      </c>
      <c r="G70" s="67">
        <v>3</v>
      </c>
      <c r="H70" s="104" t="s">
        <v>2353</v>
      </c>
      <c r="J70" s="67" t="b">
        <v>1</v>
      </c>
      <c r="L70" s="67" t="b">
        <v>1</v>
      </c>
      <c r="P70" s="67" t="b">
        <v>1</v>
      </c>
      <c r="Q70" s="67" t="b">
        <v>1</v>
      </c>
    </row>
    <row r="71" spans="1:27" ht="15" customHeight="1" x14ac:dyDescent="0.25">
      <c r="A71" s="67" t="s">
        <v>851</v>
      </c>
      <c r="B71" s="67" t="s">
        <v>738</v>
      </c>
      <c r="C71" s="67">
        <v>1</v>
      </c>
      <c r="D71" s="67" t="s">
        <v>736</v>
      </c>
      <c r="E71" s="67">
        <v>1</v>
      </c>
      <c r="F71" s="67" t="s">
        <v>20</v>
      </c>
      <c r="G71" s="67">
        <v>5</v>
      </c>
      <c r="H71" s="104" t="s">
        <v>822</v>
      </c>
      <c r="J71" s="67" t="b">
        <v>1</v>
      </c>
      <c r="K71" s="67" t="b">
        <v>1</v>
      </c>
      <c r="L71" s="67" t="b">
        <v>1</v>
      </c>
      <c r="M71" s="67" t="b">
        <v>1</v>
      </c>
      <c r="O71" s="67" t="b">
        <v>1</v>
      </c>
      <c r="P71" s="67" t="b">
        <v>1</v>
      </c>
      <c r="Q71" s="67" t="b">
        <v>1</v>
      </c>
      <c r="S71" s="67" t="b">
        <v>1</v>
      </c>
      <c r="U71" s="67" t="b">
        <v>1</v>
      </c>
    </row>
    <row r="72" spans="1:27" ht="15" customHeight="1" x14ac:dyDescent="0.25">
      <c r="A72" s="67" t="s">
        <v>849</v>
      </c>
      <c r="B72" s="67" t="s">
        <v>17</v>
      </c>
      <c r="C72" s="67">
        <v>1</v>
      </c>
      <c r="D72" s="67" t="s">
        <v>13</v>
      </c>
      <c r="E72" s="67">
        <v>1</v>
      </c>
      <c r="F72" s="67" t="s">
        <v>20</v>
      </c>
      <c r="G72" s="67">
        <v>5</v>
      </c>
      <c r="H72" s="104" t="s">
        <v>850</v>
      </c>
      <c r="J72" s="67" t="b">
        <v>1</v>
      </c>
      <c r="K72" s="67" t="b">
        <v>1</v>
      </c>
      <c r="L72" s="67" t="b">
        <v>1</v>
      </c>
      <c r="M72" s="67" t="b">
        <v>1</v>
      </c>
      <c r="O72" s="67" t="b">
        <v>1</v>
      </c>
      <c r="P72" s="67" t="b">
        <v>1</v>
      </c>
      <c r="Q72" s="67" t="b">
        <v>1</v>
      </c>
      <c r="S72" s="67" t="b">
        <v>1</v>
      </c>
      <c r="U72" s="67" t="b">
        <v>1</v>
      </c>
    </row>
    <row r="73" spans="1:27" ht="15" customHeight="1" x14ac:dyDescent="0.25">
      <c r="A73" s="67" t="s">
        <v>832</v>
      </c>
      <c r="B73" s="67" t="s">
        <v>17</v>
      </c>
      <c r="C73" s="67">
        <v>1</v>
      </c>
      <c r="D73" s="67" t="s">
        <v>13</v>
      </c>
      <c r="E73" s="67">
        <v>1</v>
      </c>
      <c r="F73" s="67" t="s">
        <v>9</v>
      </c>
      <c r="G73" s="67">
        <v>5</v>
      </c>
      <c r="H73" s="104" t="s">
        <v>2354</v>
      </c>
      <c r="J73" s="67" t="b">
        <v>1</v>
      </c>
      <c r="K73" s="67" t="b">
        <v>1</v>
      </c>
      <c r="L73" s="67" t="b">
        <v>1</v>
      </c>
      <c r="N73" s="67" t="b">
        <v>1</v>
      </c>
      <c r="Q73" s="67" t="b">
        <v>1</v>
      </c>
      <c r="S73" s="67" t="b">
        <v>1</v>
      </c>
      <c r="T73" s="67" t="b">
        <v>1</v>
      </c>
    </row>
    <row r="74" spans="1:27" ht="15" customHeight="1" x14ac:dyDescent="0.25">
      <c r="A74" s="67" t="s">
        <v>833</v>
      </c>
      <c r="B74" s="67" t="s">
        <v>738</v>
      </c>
      <c r="C74" s="67">
        <v>1</v>
      </c>
      <c r="D74" s="67" t="s">
        <v>736</v>
      </c>
      <c r="E74" s="67">
        <v>1</v>
      </c>
      <c r="F74" s="67" t="s">
        <v>9</v>
      </c>
      <c r="G74" s="67">
        <v>5</v>
      </c>
      <c r="H74" s="104" t="s">
        <v>2355</v>
      </c>
      <c r="J74" s="67" t="b">
        <v>1</v>
      </c>
      <c r="K74" s="67" t="b">
        <v>1</v>
      </c>
      <c r="L74" s="67" t="b">
        <v>1</v>
      </c>
      <c r="N74" s="67" t="b">
        <v>1</v>
      </c>
      <c r="Q74" s="67" t="b">
        <v>1</v>
      </c>
      <c r="S74" s="67" t="b">
        <v>1</v>
      </c>
      <c r="T74" s="67" t="b">
        <v>1</v>
      </c>
    </row>
    <row r="75" spans="1:27" ht="15" customHeight="1" x14ac:dyDescent="0.25">
      <c r="A75" s="67" t="s">
        <v>896</v>
      </c>
      <c r="B75" s="67" t="s">
        <v>869</v>
      </c>
      <c r="C75" s="67">
        <v>1</v>
      </c>
      <c r="D75" s="67" t="s">
        <v>731</v>
      </c>
      <c r="E75" s="67">
        <v>1</v>
      </c>
      <c r="F75" s="67" t="s">
        <v>20</v>
      </c>
      <c r="G75" s="67">
        <v>5</v>
      </c>
      <c r="H75" s="104" t="s">
        <v>897</v>
      </c>
      <c r="J75" s="67" t="b">
        <v>1</v>
      </c>
      <c r="K75" s="67" t="b">
        <v>1</v>
      </c>
      <c r="L75" s="67" t="b">
        <v>1</v>
      </c>
      <c r="M75" s="67" t="b">
        <v>1</v>
      </c>
      <c r="O75" s="67" t="b">
        <v>1</v>
      </c>
      <c r="P75" s="67" t="b">
        <v>1</v>
      </c>
      <c r="Q75" s="67" t="b">
        <v>1</v>
      </c>
    </row>
    <row r="76" spans="1:27" ht="15" customHeight="1" x14ac:dyDescent="0.25">
      <c r="A76" s="67" t="s">
        <v>898</v>
      </c>
      <c r="B76" s="67" t="s">
        <v>82</v>
      </c>
      <c r="C76" s="67">
        <v>1</v>
      </c>
      <c r="D76" s="67" t="s">
        <v>64</v>
      </c>
      <c r="E76" s="67">
        <v>1</v>
      </c>
      <c r="F76" s="67" t="s">
        <v>20</v>
      </c>
      <c r="G76" s="67">
        <v>5</v>
      </c>
      <c r="H76" s="104" t="s">
        <v>821</v>
      </c>
      <c r="J76" s="67" t="b">
        <v>1</v>
      </c>
      <c r="K76" s="67" t="b">
        <v>1</v>
      </c>
      <c r="L76" s="67" t="b">
        <v>1</v>
      </c>
      <c r="M76" s="67" t="b">
        <v>1</v>
      </c>
      <c r="O76" s="67" t="b">
        <v>1</v>
      </c>
      <c r="P76" s="67" t="b">
        <v>1</v>
      </c>
      <c r="Q76" s="67" t="b">
        <v>1</v>
      </c>
      <c r="S76" s="67" t="b">
        <v>1</v>
      </c>
      <c r="U76" s="67" t="b">
        <v>1</v>
      </c>
      <c r="AA76" s="67" t="b">
        <v>1</v>
      </c>
    </row>
    <row r="77" spans="1:27" ht="15" customHeight="1" x14ac:dyDescent="0.25">
      <c r="A77" s="67" t="s">
        <v>899</v>
      </c>
      <c r="B77" s="67" t="s">
        <v>869</v>
      </c>
      <c r="C77" s="67">
        <v>1</v>
      </c>
      <c r="D77" s="67" t="s">
        <v>731</v>
      </c>
      <c r="E77" s="67">
        <v>1</v>
      </c>
      <c r="F77" s="67" t="s">
        <v>9</v>
      </c>
      <c r="G77" s="67">
        <v>5</v>
      </c>
      <c r="H77" s="104" t="s">
        <v>2356</v>
      </c>
      <c r="J77" s="67" t="b">
        <v>1</v>
      </c>
      <c r="K77" s="67" t="b">
        <v>1</v>
      </c>
      <c r="L77" s="67" t="b">
        <v>1</v>
      </c>
      <c r="N77" s="67" t="b">
        <v>1</v>
      </c>
      <c r="Q77" s="67" t="b">
        <v>1</v>
      </c>
    </row>
    <row r="78" spans="1:27" ht="15" customHeight="1" x14ac:dyDescent="0.25">
      <c r="A78" s="67" t="s">
        <v>900</v>
      </c>
      <c r="B78" s="67" t="s">
        <v>82</v>
      </c>
      <c r="C78" s="67">
        <v>1</v>
      </c>
      <c r="D78" s="67" t="s">
        <v>64</v>
      </c>
      <c r="E78" s="67">
        <v>1</v>
      </c>
      <c r="F78" s="67" t="s">
        <v>9</v>
      </c>
      <c r="G78" s="67">
        <v>5</v>
      </c>
      <c r="H78" s="104" t="s">
        <v>2357</v>
      </c>
      <c r="J78" s="67" t="b">
        <v>1</v>
      </c>
      <c r="K78" s="67" t="b">
        <v>1</v>
      </c>
      <c r="L78" s="67" t="b">
        <v>1</v>
      </c>
      <c r="N78" s="67" t="b">
        <v>1</v>
      </c>
      <c r="Q78" s="67" t="b">
        <v>1</v>
      </c>
      <c r="S78" s="67" t="b">
        <v>1</v>
      </c>
      <c r="T78" s="67" t="b">
        <v>1</v>
      </c>
      <c r="AA78" s="67" t="b">
        <v>1</v>
      </c>
    </row>
    <row r="79" spans="1:27" ht="15" customHeight="1" x14ac:dyDescent="0.25">
      <c r="A79" s="67" t="s">
        <v>901</v>
      </c>
      <c r="B79" s="67" t="s">
        <v>103</v>
      </c>
      <c r="C79" s="67">
        <v>1</v>
      </c>
      <c r="D79" s="67" t="s">
        <v>97</v>
      </c>
      <c r="E79" s="67">
        <v>2</v>
      </c>
      <c r="F79" s="67" t="s">
        <v>70</v>
      </c>
      <c r="G79" s="67">
        <v>4</v>
      </c>
      <c r="H79" s="104" t="s">
        <v>942</v>
      </c>
      <c r="I79" s="67" t="b">
        <v>1</v>
      </c>
      <c r="K79" s="67" t="b">
        <v>1</v>
      </c>
      <c r="M79" s="67" t="b">
        <v>1</v>
      </c>
      <c r="N79" s="67" t="b">
        <v>1</v>
      </c>
      <c r="O79" s="67" t="b">
        <v>1</v>
      </c>
      <c r="P79" s="67" t="b">
        <v>1</v>
      </c>
      <c r="R79" s="67" t="b">
        <v>1</v>
      </c>
    </row>
    <row r="80" spans="1:27" ht="15" customHeight="1" x14ac:dyDescent="0.25">
      <c r="A80" s="67" t="s">
        <v>902</v>
      </c>
      <c r="B80" s="67" t="s">
        <v>103</v>
      </c>
      <c r="C80" s="67">
        <v>1</v>
      </c>
      <c r="D80" s="67" t="s">
        <v>97</v>
      </c>
      <c r="E80" s="67">
        <v>2</v>
      </c>
      <c r="F80" s="67" t="s">
        <v>66</v>
      </c>
      <c r="G80" s="67">
        <v>1</v>
      </c>
      <c r="H80" s="104" t="s">
        <v>933</v>
      </c>
      <c r="I80" s="67" t="b">
        <v>1</v>
      </c>
      <c r="K80" s="67" t="b">
        <v>1</v>
      </c>
      <c r="M80" s="67" t="b">
        <v>1</v>
      </c>
      <c r="N80" s="67" t="b">
        <v>1</v>
      </c>
      <c r="O80" s="67" t="b">
        <v>1</v>
      </c>
      <c r="P80" s="67" t="b">
        <v>1</v>
      </c>
      <c r="R80" s="67" t="b">
        <v>1</v>
      </c>
    </row>
    <row r="81" spans="1:28" ht="15" customHeight="1" x14ac:dyDescent="0.25">
      <c r="A81" s="67" t="s">
        <v>1544</v>
      </c>
      <c r="B81" s="67" t="s">
        <v>67</v>
      </c>
      <c r="C81" s="67">
        <v>1</v>
      </c>
      <c r="D81" s="67" t="s">
        <v>97</v>
      </c>
      <c r="E81" s="67">
        <v>1</v>
      </c>
      <c r="F81" s="67" t="s">
        <v>66</v>
      </c>
      <c r="G81" s="67">
        <v>3</v>
      </c>
      <c r="H81" s="104" t="s">
        <v>1545</v>
      </c>
      <c r="I81" s="67" t="b">
        <v>1</v>
      </c>
      <c r="K81" s="67" t="b">
        <v>1</v>
      </c>
      <c r="M81" s="67" t="b">
        <v>1</v>
      </c>
      <c r="N81" s="67" t="b">
        <v>1</v>
      </c>
      <c r="O81" s="67" t="b">
        <v>1</v>
      </c>
      <c r="R81" s="67" t="b">
        <v>1</v>
      </c>
    </row>
    <row r="82" spans="1:28" ht="15" customHeight="1" x14ac:dyDescent="0.25">
      <c r="A82" s="67" t="s">
        <v>1546</v>
      </c>
      <c r="B82" s="67" t="s">
        <v>252</v>
      </c>
      <c r="C82" s="67">
        <v>1</v>
      </c>
      <c r="D82" s="67" t="s">
        <v>1963</v>
      </c>
      <c r="E82" s="67">
        <v>1</v>
      </c>
      <c r="F82" s="67" t="s">
        <v>683</v>
      </c>
      <c r="G82" s="67">
        <v>1</v>
      </c>
      <c r="H82" s="104" t="s">
        <v>1547</v>
      </c>
      <c r="I82" s="67" t="b">
        <v>1</v>
      </c>
      <c r="AB82" s="67" t="b">
        <v>1</v>
      </c>
    </row>
    <row r="83" spans="1:28" ht="15" customHeight="1" x14ac:dyDescent="0.25">
      <c r="A83" s="67" t="s">
        <v>853</v>
      </c>
      <c r="B83" s="67" t="s">
        <v>94</v>
      </c>
      <c r="C83" s="67">
        <v>1</v>
      </c>
      <c r="D83" s="67" t="s">
        <v>68</v>
      </c>
      <c r="E83" s="67">
        <v>1</v>
      </c>
      <c r="F83" s="67" t="s">
        <v>23</v>
      </c>
      <c r="G83" s="67">
        <v>4</v>
      </c>
      <c r="H83" s="104" t="s">
        <v>2358</v>
      </c>
      <c r="J83" s="67" t="b">
        <v>1</v>
      </c>
      <c r="K83" s="67" t="b">
        <v>1</v>
      </c>
      <c r="L83" s="67" t="b">
        <v>1</v>
      </c>
      <c r="M83" s="67" t="b">
        <v>1</v>
      </c>
      <c r="N83" s="67" t="b">
        <v>1</v>
      </c>
      <c r="O83" s="67" t="b">
        <v>1</v>
      </c>
      <c r="P83" s="67" t="b">
        <v>1</v>
      </c>
      <c r="Q83" s="67" t="b">
        <v>1</v>
      </c>
      <c r="R83" s="67" t="b">
        <v>1</v>
      </c>
      <c r="V83" s="67" t="b">
        <v>1</v>
      </c>
      <c r="W83" s="67" t="b">
        <v>1</v>
      </c>
    </row>
    <row r="84" spans="1:28" ht="15" customHeight="1" x14ac:dyDescent="0.25">
      <c r="A84" s="67" t="s">
        <v>859</v>
      </c>
      <c r="B84" s="67" t="s">
        <v>1633</v>
      </c>
      <c r="C84" s="67">
        <v>1</v>
      </c>
      <c r="D84" s="67" t="s">
        <v>24</v>
      </c>
      <c r="E84" s="67">
        <v>5</v>
      </c>
      <c r="F84" s="67" t="s">
        <v>1638</v>
      </c>
      <c r="G84" s="67">
        <v>1</v>
      </c>
      <c r="H84" s="104" t="s">
        <v>1667</v>
      </c>
      <c r="Z84" s="67" t="b">
        <v>1</v>
      </c>
      <c r="AB84" s="67" t="b">
        <v>1</v>
      </c>
    </row>
    <row r="85" spans="1:28" ht="15" customHeight="1" x14ac:dyDescent="0.25">
      <c r="A85" s="67" t="s">
        <v>1388</v>
      </c>
      <c r="B85" s="67" t="s">
        <v>44</v>
      </c>
      <c r="C85" s="67">
        <v>5</v>
      </c>
      <c r="D85" s="67" t="s">
        <v>23</v>
      </c>
      <c r="E85" s="67">
        <v>5</v>
      </c>
      <c r="F85" s="67" t="s">
        <v>68</v>
      </c>
      <c r="G85" s="67">
        <v>1</v>
      </c>
      <c r="H85" s="104" t="s">
        <v>1389</v>
      </c>
      <c r="I85" s="67" t="b">
        <v>1</v>
      </c>
      <c r="J85" s="67" t="b">
        <v>1</v>
      </c>
      <c r="K85" s="67" t="b">
        <v>1</v>
      </c>
      <c r="L85" s="67" t="b">
        <v>1</v>
      </c>
      <c r="M85" s="67" t="b">
        <v>1</v>
      </c>
      <c r="N85" s="67" t="b">
        <v>1</v>
      </c>
      <c r="O85" s="67" t="b">
        <v>1</v>
      </c>
      <c r="R85" s="67" t="b">
        <v>1</v>
      </c>
      <c r="V85" s="67" t="b">
        <v>1</v>
      </c>
      <c r="W85" s="67" t="b">
        <v>1</v>
      </c>
      <c r="X85" s="67" t="b">
        <v>1</v>
      </c>
      <c r="Y85" s="67" t="b">
        <v>1</v>
      </c>
    </row>
    <row r="86" spans="1:28" ht="15" customHeight="1" x14ac:dyDescent="0.25">
      <c r="A86" s="67" t="s">
        <v>1955</v>
      </c>
      <c r="B86" s="67" t="s">
        <v>684</v>
      </c>
      <c r="C86" s="67">
        <v>1</v>
      </c>
      <c r="D86" s="67" t="s">
        <v>1846</v>
      </c>
      <c r="E86" s="67">
        <v>1</v>
      </c>
      <c r="F86" s="67" t="s">
        <v>15</v>
      </c>
      <c r="G86" s="67">
        <v>5</v>
      </c>
      <c r="H86" s="104" t="s">
        <v>2186</v>
      </c>
      <c r="J86" s="67" t="b">
        <v>1</v>
      </c>
    </row>
    <row r="87" spans="1:28" ht="15" customHeight="1" x14ac:dyDescent="0.25">
      <c r="A87" s="67" t="s">
        <v>1956</v>
      </c>
      <c r="B87" s="67" t="s">
        <v>684</v>
      </c>
      <c r="C87" s="67">
        <v>1</v>
      </c>
      <c r="D87" s="67" t="s">
        <v>683</v>
      </c>
      <c r="E87" s="67">
        <v>1</v>
      </c>
      <c r="F87" s="67" t="s">
        <v>15</v>
      </c>
      <c r="G87" s="67">
        <v>5</v>
      </c>
      <c r="H87" s="104" t="s">
        <v>2359</v>
      </c>
      <c r="J87" s="67" t="b">
        <v>1</v>
      </c>
    </row>
    <row r="88" spans="1:28" ht="15" customHeight="1" x14ac:dyDescent="0.25">
      <c r="A88" s="67" t="s">
        <v>1957</v>
      </c>
      <c r="B88" s="67" t="s">
        <v>1846</v>
      </c>
      <c r="C88" s="67">
        <v>1</v>
      </c>
      <c r="D88" s="67" t="s">
        <v>15</v>
      </c>
      <c r="E88" s="67">
        <v>5</v>
      </c>
      <c r="F88" s="67" t="s">
        <v>27</v>
      </c>
      <c r="G88" s="67">
        <v>1</v>
      </c>
      <c r="H88" s="104" t="s">
        <v>1958</v>
      </c>
      <c r="K88" s="67" t="b">
        <v>1</v>
      </c>
      <c r="L88" s="67" t="b">
        <v>1</v>
      </c>
    </row>
    <row r="89" spans="1:28" ht="15" customHeight="1" x14ac:dyDescent="0.25">
      <c r="A89" s="67" t="s">
        <v>2187</v>
      </c>
      <c r="B89" s="67" t="s">
        <v>1978</v>
      </c>
      <c r="C89" s="67">
        <v>1</v>
      </c>
      <c r="D89" s="67" t="s">
        <v>1634</v>
      </c>
      <c r="E89" s="67">
        <v>1</v>
      </c>
      <c r="F89" s="67" t="s">
        <v>1973</v>
      </c>
      <c r="G89" s="67">
        <v>1</v>
      </c>
      <c r="H89" s="104" t="s">
        <v>2188</v>
      </c>
      <c r="AB89" s="67" t="b">
        <v>1</v>
      </c>
    </row>
    <row r="90" spans="1:28" ht="15" customHeight="1" x14ac:dyDescent="0.25">
      <c r="A90" s="67" t="s">
        <v>1668</v>
      </c>
      <c r="B90" s="67" t="s">
        <v>1651</v>
      </c>
      <c r="C90" s="67">
        <v>1</v>
      </c>
      <c r="D90" s="67" t="s">
        <v>1647</v>
      </c>
      <c r="E90" s="67">
        <v>1</v>
      </c>
      <c r="F90" s="67" t="s">
        <v>1634</v>
      </c>
      <c r="G90" s="67">
        <v>1</v>
      </c>
      <c r="H90" s="104" t="s">
        <v>1669</v>
      </c>
      <c r="AB90" s="67" t="b">
        <v>1</v>
      </c>
    </row>
    <row r="91" spans="1:28" ht="15" customHeight="1" x14ac:dyDescent="0.25">
      <c r="A91" s="67" t="s">
        <v>2189</v>
      </c>
      <c r="B91" s="67" t="s">
        <v>43</v>
      </c>
      <c r="C91" s="67">
        <v>1</v>
      </c>
      <c r="D91" s="67" t="s">
        <v>251</v>
      </c>
      <c r="E91" s="67">
        <v>1</v>
      </c>
      <c r="F91" s="67" t="s">
        <v>254</v>
      </c>
      <c r="G91" s="67">
        <v>1</v>
      </c>
      <c r="H91" s="104" t="s">
        <v>1648</v>
      </c>
      <c r="AB91" s="67" t="b">
        <v>1</v>
      </c>
    </row>
    <row r="92" spans="1:28" ht="15" customHeight="1" x14ac:dyDescent="0.25">
      <c r="A92" s="67" t="s">
        <v>1390</v>
      </c>
      <c r="B92" s="67" t="s">
        <v>32</v>
      </c>
      <c r="C92" s="67">
        <v>1</v>
      </c>
      <c r="D92" s="67" t="s">
        <v>1647</v>
      </c>
      <c r="E92" s="67">
        <v>1</v>
      </c>
      <c r="F92" s="67" t="s">
        <v>1978</v>
      </c>
      <c r="G92" s="67">
        <v>1</v>
      </c>
      <c r="H92" s="104" t="s">
        <v>1391</v>
      </c>
      <c r="AB92" s="67" t="b">
        <v>1</v>
      </c>
    </row>
    <row r="93" spans="1:28" ht="15" customHeight="1" x14ac:dyDescent="0.25">
      <c r="A93" s="67" t="s">
        <v>2190</v>
      </c>
      <c r="B93" s="67" t="s">
        <v>32</v>
      </c>
      <c r="C93" s="67">
        <v>1</v>
      </c>
      <c r="D93" s="67" t="s">
        <v>25</v>
      </c>
      <c r="E93" s="67">
        <v>3</v>
      </c>
      <c r="F93" s="67" t="s">
        <v>1634</v>
      </c>
      <c r="G93" s="67">
        <v>1</v>
      </c>
      <c r="H93" s="104" t="s">
        <v>2191</v>
      </c>
      <c r="AB93" s="67" t="b">
        <v>1</v>
      </c>
    </row>
    <row r="94" spans="1:28" ht="15" customHeight="1" x14ac:dyDescent="0.25">
      <c r="A94" s="67" t="s">
        <v>856</v>
      </c>
      <c r="B94" s="67" t="s">
        <v>254</v>
      </c>
      <c r="C94" s="67">
        <v>1</v>
      </c>
      <c r="D94" s="67" t="s">
        <v>6</v>
      </c>
      <c r="E94" s="67">
        <v>1</v>
      </c>
      <c r="F94" s="67" t="s">
        <v>19</v>
      </c>
      <c r="G94" s="67">
        <v>1</v>
      </c>
      <c r="H94" s="104" t="s">
        <v>2360</v>
      </c>
    </row>
    <row r="95" spans="1:28" ht="15" customHeight="1" x14ac:dyDescent="0.25">
      <c r="A95" s="67" t="s">
        <v>855</v>
      </c>
      <c r="B95" s="67" t="s">
        <v>251</v>
      </c>
      <c r="C95" s="67">
        <v>1</v>
      </c>
      <c r="D95" s="67" t="s">
        <v>43</v>
      </c>
      <c r="E95" s="67">
        <v>1</v>
      </c>
      <c r="F95" s="67" t="s">
        <v>254</v>
      </c>
      <c r="G95" s="67">
        <v>1</v>
      </c>
      <c r="H95" s="104" t="s">
        <v>2360</v>
      </c>
      <c r="AB95" s="67" t="b">
        <v>1</v>
      </c>
    </row>
    <row r="96" spans="1:28" ht="15" customHeight="1" x14ac:dyDescent="0.25">
      <c r="A96" s="67" t="s">
        <v>1670</v>
      </c>
      <c r="B96" s="67" t="s">
        <v>1634</v>
      </c>
      <c r="C96" s="67">
        <v>1</v>
      </c>
      <c r="D96" s="67" t="s">
        <v>1647</v>
      </c>
      <c r="E96" s="67">
        <v>1</v>
      </c>
      <c r="F96" s="67" t="s">
        <v>1643</v>
      </c>
      <c r="G96" s="67">
        <v>1</v>
      </c>
      <c r="H96" s="104" t="s">
        <v>1671</v>
      </c>
      <c r="AB96" s="67" t="b">
        <v>1</v>
      </c>
    </row>
    <row r="97" spans="1:28" ht="15" customHeight="1" x14ac:dyDescent="0.25">
      <c r="A97" s="67" t="s">
        <v>2192</v>
      </c>
      <c r="B97" s="67" t="s">
        <v>25</v>
      </c>
      <c r="C97" s="67">
        <v>1</v>
      </c>
      <c r="D97" s="67" t="s">
        <v>6</v>
      </c>
      <c r="E97" s="67">
        <v>1</v>
      </c>
      <c r="F97" s="67" t="s">
        <v>19</v>
      </c>
      <c r="G97" s="67">
        <v>1</v>
      </c>
      <c r="H97" s="104" t="s">
        <v>1648</v>
      </c>
      <c r="AB97" s="67" t="b">
        <v>1</v>
      </c>
    </row>
    <row r="98" spans="1:28" ht="15" customHeight="1" x14ac:dyDescent="0.25">
      <c r="A98" s="67" t="s">
        <v>929</v>
      </c>
      <c r="B98" s="67" t="s">
        <v>84</v>
      </c>
      <c r="C98" s="67">
        <v>1</v>
      </c>
      <c r="D98" s="67" t="s">
        <v>251</v>
      </c>
      <c r="E98" s="67">
        <v>1</v>
      </c>
      <c r="F98" s="67" t="s">
        <v>1647</v>
      </c>
      <c r="G98" s="67">
        <v>1</v>
      </c>
      <c r="H98" s="104" t="s">
        <v>930</v>
      </c>
      <c r="AB98" s="67" t="b">
        <v>1</v>
      </c>
    </row>
    <row r="99" spans="1:28" ht="15" customHeight="1" x14ac:dyDescent="0.25">
      <c r="A99" s="67" t="s">
        <v>854</v>
      </c>
      <c r="B99" s="67" t="s">
        <v>251</v>
      </c>
      <c r="C99" s="67">
        <v>1</v>
      </c>
      <c r="D99" s="67" t="s">
        <v>1647</v>
      </c>
      <c r="E99" s="67">
        <v>1</v>
      </c>
      <c r="F99" s="67" t="s">
        <v>25</v>
      </c>
      <c r="G99" s="67">
        <v>1</v>
      </c>
      <c r="H99" s="104" t="s">
        <v>2361</v>
      </c>
      <c r="AB99" s="67" t="b">
        <v>1</v>
      </c>
    </row>
    <row r="100" spans="1:28" ht="15" customHeight="1" x14ac:dyDescent="0.25">
      <c r="A100" s="67" t="s">
        <v>2193</v>
      </c>
      <c r="B100" s="67" t="s">
        <v>1973</v>
      </c>
      <c r="C100" s="67">
        <v>1</v>
      </c>
      <c r="D100" s="67" t="s">
        <v>2180</v>
      </c>
      <c r="E100" s="67">
        <v>1</v>
      </c>
      <c r="F100" s="67" t="s">
        <v>1978</v>
      </c>
      <c r="G100" s="67">
        <v>1</v>
      </c>
      <c r="H100" s="104" t="s">
        <v>2362</v>
      </c>
      <c r="AB100" s="67" t="b">
        <v>1</v>
      </c>
    </row>
    <row r="101" spans="1:28" ht="15" customHeight="1" x14ac:dyDescent="0.25">
      <c r="A101" s="67" t="s">
        <v>2194</v>
      </c>
      <c r="B101" s="67" t="s">
        <v>1651</v>
      </c>
      <c r="C101" s="67">
        <v>1</v>
      </c>
      <c r="D101" s="67" t="s">
        <v>1647</v>
      </c>
      <c r="E101" s="67">
        <v>1</v>
      </c>
      <c r="F101" s="67" t="s">
        <v>1978</v>
      </c>
      <c r="G101" s="67">
        <v>1</v>
      </c>
      <c r="H101" s="104" t="s">
        <v>2195</v>
      </c>
      <c r="AB101" s="67" t="b">
        <v>1</v>
      </c>
    </row>
    <row r="102" spans="1:28" ht="15" customHeight="1" x14ac:dyDescent="0.25">
      <c r="A102" s="67" t="s">
        <v>1636</v>
      </c>
      <c r="B102" s="67" t="s">
        <v>1634</v>
      </c>
      <c r="C102" s="67">
        <v>1</v>
      </c>
      <c r="D102" s="67" t="s">
        <v>1633</v>
      </c>
      <c r="E102" s="67">
        <v>1</v>
      </c>
      <c r="F102" s="67" t="s">
        <v>1647</v>
      </c>
      <c r="G102" s="67">
        <v>1</v>
      </c>
      <c r="H102" s="104" t="s">
        <v>2363</v>
      </c>
      <c r="AB102" s="67" t="b">
        <v>1</v>
      </c>
    </row>
    <row r="103" spans="1:28" ht="15" customHeight="1" x14ac:dyDescent="0.25">
      <c r="A103" s="67" t="s">
        <v>2196</v>
      </c>
      <c r="B103" s="67" t="s">
        <v>1634</v>
      </c>
      <c r="C103" s="67">
        <v>1</v>
      </c>
      <c r="D103" s="67" t="s">
        <v>1647</v>
      </c>
      <c r="E103" s="67">
        <v>1</v>
      </c>
      <c r="F103" s="67" t="s">
        <v>1978</v>
      </c>
      <c r="G103" s="67">
        <v>1</v>
      </c>
      <c r="H103" s="104" t="s">
        <v>2197</v>
      </c>
      <c r="AB103" s="67" t="b">
        <v>1</v>
      </c>
    </row>
    <row r="104" spans="1:28" ht="15" customHeight="1" x14ac:dyDescent="0.25">
      <c r="A104" s="67" t="s">
        <v>2198</v>
      </c>
      <c r="B104" s="67" t="s">
        <v>1978</v>
      </c>
      <c r="C104" s="67">
        <v>1</v>
      </c>
      <c r="D104" s="67" t="s">
        <v>1973</v>
      </c>
      <c r="E104" s="67">
        <v>1</v>
      </c>
      <c r="F104" s="67" t="s">
        <v>1647</v>
      </c>
      <c r="G104" s="67">
        <v>1</v>
      </c>
      <c r="H104" s="104" t="s">
        <v>2364</v>
      </c>
      <c r="AB104" s="67" t="b">
        <v>1</v>
      </c>
    </row>
    <row r="105" spans="1:28" ht="15" customHeight="1" x14ac:dyDescent="0.25">
      <c r="A105" s="67" t="s">
        <v>2199</v>
      </c>
      <c r="B105" s="67" t="s">
        <v>1638</v>
      </c>
      <c r="C105" s="67">
        <v>1</v>
      </c>
      <c r="D105" s="67" t="s">
        <v>1647</v>
      </c>
      <c r="E105" s="67">
        <v>1</v>
      </c>
      <c r="F105" s="67" t="s">
        <v>1978</v>
      </c>
      <c r="G105" s="67">
        <v>1</v>
      </c>
      <c r="H105" s="104" t="s">
        <v>2195</v>
      </c>
      <c r="AB105" s="67" t="b">
        <v>1</v>
      </c>
    </row>
    <row r="106" spans="1:28" ht="15" customHeight="1" x14ac:dyDescent="0.25">
      <c r="A106" s="67" t="s">
        <v>1635</v>
      </c>
      <c r="B106" s="67" t="s">
        <v>1846</v>
      </c>
      <c r="C106" s="67">
        <v>1</v>
      </c>
      <c r="D106" s="67" t="s">
        <v>25</v>
      </c>
      <c r="E106" s="67">
        <v>1</v>
      </c>
      <c r="F106" s="67" t="s">
        <v>254</v>
      </c>
      <c r="G106" s="67">
        <v>1</v>
      </c>
      <c r="H106" s="104" t="s">
        <v>1631</v>
      </c>
      <c r="AB106" s="67" t="b">
        <v>1</v>
      </c>
    </row>
    <row r="107" spans="1:28" ht="15" customHeight="1" x14ac:dyDescent="0.25">
      <c r="A107" s="67" t="s">
        <v>1637</v>
      </c>
      <c r="B107" s="67" t="s">
        <v>1846</v>
      </c>
      <c r="C107" s="67">
        <v>1</v>
      </c>
      <c r="D107" s="67" t="s">
        <v>25</v>
      </c>
      <c r="E107" s="67">
        <v>3</v>
      </c>
      <c r="F107" s="67" t="s">
        <v>1634</v>
      </c>
      <c r="G107" s="67">
        <v>1</v>
      </c>
      <c r="H107" s="104" t="s">
        <v>1578</v>
      </c>
      <c r="AB107" s="67" t="b">
        <v>1</v>
      </c>
    </row>
    <row r="108" spans="1:28" ht="15" customHeight="1" x14ac:dyDescent="0.25">
      <c r="A108" s="67" t="s">
        <v>943</v>
      </c>
      <c r="B108" s="67" t="s">
        <v>1633</v>
      </c>
      <c r="C108" s="67">
        <v>1</v>
      </c>
      <c r="D108" s="67" t="s">
        <v>24</v>
      </c>
      <c r="E108" s="67">
        <v>1</v>
      </c>
      <c r="F108" s="67" t="s">
        <v>1647</v>
      </c>
      <c r="G108" s="67">
        <v>1</v>
      </c>
      <c r="H108" s="104" t="s">
        <v>1649</v>
      </c>
      <c r="AB108" s="67" t="b">
        <v>1</v>
      </c>
    </row>
    <row r="109" spans="1:28" ht="15" customHeight="1" x14ac:dyDescent="0.25">
      <c r="A109" s="67" t="s">
        <v>944</v>
      </c>
      <c r="B109" s="67" t="s">
        <v>1633</v>
      </c>
      <c r="C109" s="67">
        <v>1</v>
      </c>
      <c r="D109" s="67" t="s">
        <v>25</v>
      </c>
      <c r="E109" s="67">
        <v>1</v>
      </c>
      <c r="F109" s="67" t="s">
        <v>1630</v>
      </c>
      <c r="G109" s="67">
        <v>1</v>
      </c>
      <c r="H109" s="104" t="s">
        <v>1632</v>
      </c>
      <c r="AB109" s="67" t="b">
        <v>1</v>
      </c>
    </row>
    <row r="110" spans="1:28" ht="15" customHeight="1" x14ac:dyDescent="0.25">
      <c r="A110" s="67" t="s">
        <v>1672</v>
      </c>
      <c r="B110" s="67" t="s">
        <v>1638</v>
      </c>
      <c r="C110" s="67">
        <v>1</v>
      </c>
      <c r="D110" s="67" t="s">
        <v>1647</v>
      </c>
      <c r="E110" s="67">
        <v>1</v>
      </c>
      <c r="F110" s="67" t="s">
        <v>1634</v>
      </c>
      <c r="G110" s="67">
        <v>1</v>
      </c>
      <c r="H110" s="104" t="s">
        <v>2365</v>
      </c>
      <c r="AB110" s="67" t="b">
        <v>1</v>
      </c>
    </row>
    <row r="111" spans="1:28" ht="15" customHeight="1" x14ac:dyDescent="0.25">
      <c r="A111" s="67" t="s">
        <v>2200</v>
      </c>
      <c r="B111" s="67" t="s">
        <v>24</v>
      </c>
      <c r="C111" s="67">
        <v>1</v>
      </c>
      <c r="D111" s="67" t="s">
        <v>4</v>
      </c>
      <c r="E111" s="67">
        <v>1</v>
      </c>
      <c r="F111" s="67" t="s">
        <v>19</v>
      </c>
      <c r="G111" s="67">
        <v>1</v>
      </c>
      <c r="H111" s="104" t="s">
        <v>1648</v>
      </c>
      <c r="AB111" s="67" t="b">
        <v>1</v>
      </c>
    </row>
    <row r="112" spans="1:28" ht="15" customHeight="1" x14ac:dyDescent="0.25">
      <c r="A112" s="67" t="s">
        <v>1959</v>
      </c>
      <c r="B112" s="67" t="s">
        <v>1846</v>
      </c>
      <c r="C112" s="67">
        <v>1</v>
      </c>
      <c r="D112" s="67" t="s">
        <v>1634</v>
      </c>
      <c r="E112" s="67">
        <v>1</v>
      </c>
      <c r="F112" s="67" t="s">
        <v>25</v>
      </c>
      <c r="G112" s="67">
        <v>1</v>
      </c>
      <c r="H112" s="104" t="s">
        <v>1960</v>
      </c>
      <c r="AB112" s="67" t="b">
        <v>1</v>
      </c>
    </row>
    <row r="113" spans="1:19" ht="15" customHeight="1" x14ac:dyDescent="0.25">
      <c r="A113" s="67" t="s">
        <v>2366</v>
      </c>
      <c r="B113" s="67" t="s">
        <v>65</v>
      </c>
      <c r="C113" s="67">
        <v>1</v>
      </c>
      <c r="D113" s="67" t="s">
        <v>66</v>
      </c>
      <c r="E113" s="67">
        <v>3</v>
      </c>
      <c r="F113" s="67" t="s">
        <v>67</v>
      </c>
      <c r="G113" s="67">
        <v>3</v>
      </c>
      <c r="H113" s="104" t="s">
        <v>2367</v>
      </c>
      <c r="J113" s="67" t="b">
        <v>1</v>
      </c>
      <c r="K113" s="67" t="b">
        <v>1</v>
      </c>
      <c r="L113" s="67" t="b">
        <v>1</v>
      </c>
      <c r="M113" s="67" t="b">
        <v>1</v>
      </c>
      <c r="N113" s="67" t="b">
        <v>1</v>
      </c>
      <c r="O113" s="67" t="b">
        <v>1</v>
      </c>
      <c r="R113" s="67" t="b">
        <v>1</v>
      </c>
    </row>
    <row r="114" spans="1:19" ht="15" customHeight="1" x14ac:dyDescent="0.25">
      <c r="A114" s="67" t="s">
        <v>2368</v>
      </c>
      <c r="B114" s="67" t="s">
        <v>65</v>
      </c>
      <c r="C114" s="67">
        <v>1</v>
      </c>
      <c r="D114" s="67" t="s">
        <v>66</v>
      </c>
      <c r="E114" s="67">
        <v>3</v>
      </c>
      <c r="F114" s="67" t="s">
        <v>83</v>
      </c>
      <c r="G114" s="67">
        <v>4</v>
      </c>
      <c r="H114" s="104" t="s">
        <v>2369</v>
      </c>
      <c r="J114" s="67" t="b">
        <v>1</v>
      </c>
      <c r="K114" s="67" t="b">
        <v>1</v>
      </c>
      <c r="L114" s="67" t="b">
        <v>1</v>
      </c>
      <c r="M114" s="67" t="b">
        <v>1</v>
      </c>
      <c r="R114" s="67" t="b">
        <v>1</v>
      </c>
    </row>
    <row r="115" spans="1:19" ht="15" customHeight="1" x14ac:dyDescent="0.25">
      <c r="A115" s="67" t="s">
        <v>2368</v>
      </c>
      <c r="B115" s="67" t="s">
        <v>65</v>
      </c>
      <c r="C115" s="67">
        <v>1</v>
      </c>
      <c r="D115" s="67" t="s">
        <v>66</v>
      </c>
      <c r="E115" s="67">
        <v>3</v>
      </c>
      <c r="F115" s="67" t="s">
        <v>80</v>
      </c>
      <c r="G115" s="67">
        <v>4</v>
      </c>
      <c r="H115" s="104" t="s">
        <v>2370</v>
      </c>
      <c r="J115" s="67" t="b">
        <v>1</v>
      </c>
      <c r="K115" s="67" t="b">
        <v>1</v>
      </c>
      <c r="L115" s="67" t="b">
        <v>1</v>
      </c>
      <c r="O115" s="67" t="b">
        <v>1</v>
      </c>
      <c r="R115" s="67" t="b">
        <v>1</v>
      </c>
    </row>
    <row r="116" spans="1:19" ht="15" customHeight="1" x14ac:dyDescent="0.25">
      <c r="A116" s="67" t="s">
        <v>2368</v>
      </c>
      <c r="B116" s="67" t="s">
        <v>65</v>
      </c>
      <c r="C116" s="67">
        <v>1</v>
      </c>
      <c r="D116" s="67" t="s">
        <v>66</v>
      </c>
      <c r="E116" s="67">
        <v>3</v>
      </c>
      <c r="F116" s="67" t="s">
        <v>70</v>
      </c>
      <c r="G116" s="67">
        <v>4</v>
      </c>
      <c r="H116" s="104" t="s">
        <v>2371</v>
      </c>
      <c r="J116" s="67" t="b">
        <v>1</v>
      </c>
      <c r="K116" s="67" t="b">
        <v>1</v>
      </c>
      <c r="L116" s="67" t="b">
        <v>1</v>
      </c>
      <c r="N116" s="67" t="b">
        <v>1</v>
      </c>
      <c r="R116" s="67" t="b">
        <v>1</v>
      </c>
    </row>
    <row r="117" spans="1:19" ht="15" customHeight="1" x14ac:dyDescent="0.25">
      <c r="A117" s="67" t="s">
        <v>823</v>
      </c>
      <c r="B117" s="67" t="s">
        <v>1640</v>
      </c>
      <c r="C117" s="67">
        <v>2</v>
      </c>
      <c r="D117" s="67" t="s">
        <v>9</v>
      </c>
      <c r="E117" s="67">
        <v>5</v>
      </c>
      <c r="F117" s="67" t="s">
        <v>20</v>
      </c>
      <c r="G117" s="67">
        <v>5</v>
      </c>
      <c r="H117" s="104" t="s">
        <v>824</v>
      </c>
      <c r="K117" s="67" t="b">
        <v>1</v>
      </c>
      <c r="O117" s="67" t="b">
        <v>1</v>
      </c>
      <c r="Q117" s="67" t="b">
        <v>1</v>
      </c>
      <c r="S117" s="67" t="b">
        <v>1</v>
      </c>
    </row>
    <row r="118" spans="1:19" ht="15" customHeight="1" x14ac:dyDescent="0.25">
      <c r="A118" s="67" t="s">
        <v>903</v>
      </c>
      <c r="B118" s="67" t="s">
        <v>869</v>
      </c>
      <c r="C118" s="67">
        <v>1</v>
      </c>
      <c r="D118" s="67" t="s">
        <v>731</v>
      </c>
      <c r="E118" s="67">
        <v>1</v>
      </c>
      <c r="F118" s="67" t="s">
        <v>20</v>
      </c>
      <c r="G118" s="67">
        <v>5</v>
      </c>
      <c r="H118" s="104" t="s">
        <v>904</v>
      </c>
      <c r="K118" s="67" t="b">
        <v>1</v>
      </c>
      <c r="O118" s="67" t="b">
        <v>1</v>
      </c>
      <c r="Q118" s="67" t="b">
        <v>1</v>
      </c>
      <c r="S118" s="67" t="b">
        <v>1</v>
      </c>
    </row>
    <row r="119" spans="1:19" ht="15" customHeight="1" x14ac:dyDescent="0.25">
      <c r="A119" s="67" t="s">
        <v>1853</v>
      </c>
      <c r="B119" s="67" t="s">
        <v>869</v>
      </c>
      <c r="C119" s="67">
        <v>1</v>
      </c>
      <c r="D119" s="67" t="s">
        <v>731</v>
      </c>
      <c r="E119" s="67">
        <v>1</v>
      </c>
      <c r="F119" s="67" t="s">
        <v>9</v>
      </c>
      <c r="G119" s="67">
        <v>5</v>
      </c>
      <c r="H119" s="104" t="s">
        <v>1854</v>
      </c>
      <c r="K119" s="67" t="b">
        <v>1</v>
      </c>
      <c r="O119" s="67" t="b">
        <v>1</v>
      </c>
      <c r="Q119" s="67" t="b">
        <v>1</v>
      </c>
      <c r="S119" s="67" t="b">
        <v>1</v>
      </c>
    </row>
    <row r="120" spans="1:19" ht="15" customHeight="1" x14ac:dyDescent="0.25">
      <c r="A120" s="67" t="s">
        <v>834</v>
      </c>
      <c r="B120" s="67" t="s">
        <v>82</v>
      </c>
      <c r="C120" s="67">
        <v>1</v>
      </c>
      <c r="D120" s="67" t="s">
        <v>64</v>
      </c>
      <c r="E120" s="67">
        <v>1</v>
      </c>
      <c r="F120" s="67" t="s">
        <v>20</v>
      </c>
      <c r="G120" s="67">
        <v>5</v>
      </c>
      <c r="H120" s="104" t="s">
        <v>852</v>
      </c>
      <c r="K120" s="67" t="b">
        <v>1</v>
      </c>
      <c r="O120" s="67" t="b">
        <v>1</v>
      </c>
      <c r="Q120" s="67" t="b">
        <v>1</v>
      </c>
    </row>
    <row r="121" spans="1:19" ht="15" customHeight="1" x14ac:dyDescent="0.25">
      <c r="A121" s="67" t="s">
        <v>1855</v>
      </c>
      <c r="B121" s="67" t="s">
        <v>82</v>
      </c>
      <c r="C121" s="67">
        <v>1</v>
      </c>
      <c r="D121" s="67" t="s">
        <v>64</v>
      </c>
      <c r="E121" s="67">
        <v>1</v>
      </c>
      <c r="F121" s="67" t="s">
        <v>9</v>
      </c>
      <c r="G121" s="67">
        <v>5</v>
      </c>
      <c r="H121" s="104" t="s">
        <v>1854</v>
      </c>
      <c r="K121" s="67" t="b">
        <v>1</v>
      </c>
      <c r="O121" s="67" t="b">
        <v>1</v>
      </c>
      <c r="Q121" s="67" t="b">
        <v>1</v>
      </c>
      <c r="S121" s="67" t="b">
        <v>1</v>
      </c>
    </row>
    <row r="122" spans="1:19" ht="15" customHeight="1" x14ac:dyDescent="0.25">
      <c r="A122" s="67" t="s">
        <v>1856</v>
      </c>
      <c r="B122" s="67" t="s">
        <v>1640</v>
      </c>
      <c r="C122" s="67">
        <v>1</v>
      </c>
      <c r="D122" s="67" t="s">
        <v>1643</v>
      </c>
      <c r="E122" s="67">
        <v>1</v>
      </c>
      <c r="F122" s="67" t="s">
        <v>9</v>
      </c>
      <c r="G122" s="67">
        <v>5</v>
      </c>
      <c r="H122" s="104" t="s">
        <v>1857</v>
      </c>
      <c r="K122" s="67" t="b">
        <v>1</v>
      </c>
      <c r="O122" s="67" t="b">
        <v>1</v>
      </c>
      <c r="Q122" s="67" t="b">
        <v>1</v>
      </c>
      <c r="S122" s="67" t="b">
        <v>1</v>
      </c>
    </row>
    <row r="123" spans="1:19" ht="15" customHeight="1" x14ac:dyDescent="0.25">
      <c r="A123" s="67" t="s">
        <v>860</v>
      </c>
      <c r="B123" s="67" t="s">
        <v>1643</v>
      </c>
      <c r="C123" s="67">
        <v>1</v>
      </c>
      <c r="D123" s="67" t="s">
        <v>1644</v>
      </c>
      <c r="E123" s="67">
        <v>1</v>
      </c>
      <c r="F123" s="67" t="s">
        <v>1645</v>
      </c>
      <c r="G123" s="67">
        <v>1</v>
      </c>
      <c r="H123" s="104" t="s">
        <v>1646</v>
      </c>
      <c r="K123" s="67" t="b">
        <v>1</v>
      </c>
      <c r="O123" s="67" t="b">
        <v>1</v>
      </c>
      <c r="Q123" s="67" t="b">
        <v>1</v>
      </c>
      <c r="S123" s="67" t="b">
        <v>1</v>
      </c>
    </row>
    <row r="124" spans="1:19" ht="15" customHeight="1" x14ac:dyDescent="0.25">
      <c r="A124" s="67" t="s">
        <v>2201</v>
      </c>
      <c r="B124" s="67" t="s">
        <v>1848</v>
      </c>
      <c r="C124" s="67">
        <v>3</v>
      </c>
      <c r="D124" s="67" t="s">
        <v>1564</v>
      </c>
      <c r="E124" s="67">
        <v>1</v>
      </c>
      <c r="F124" s="67" t="s">
        <v>80</v>
      </c>
      <c r="G124" s="67">
        <v>4</v>
      </c>
      <c r="H124" s="104" t="s">
        <v>2372</v>
      </c>
      <c r="I124" s="67" t="b">
        <v>1</v>
      </c>
      <c r="J124" s="67" t="b">
        <v>1</v>
      </c>
      <c r="O124" s="67" t="b">
        <v>1</v>
      </c>
    </row>
    <row r="125" spans="1:19" ht="15" customHeight="1" x14ac:dyDescent="0.25">
      <c r="A125" s="67" t="s">
        <v>2202</v>
      </c>
      <c r="B125" s="67" t="s">
        <v>1848</v>
      </c>
      <c r="C125" s="67">
        <v>3</v>
      </c>
      <c r="D125" s="67" t="s">
        <v>1564</v>
      </c>
      <c r="E125" s="67">
        <v>1</v>
      </c>
      <c r="F125" s="67" t="s">
        <v>83</v>
      </c>
      <c r="G125" s="67">
        <v>4</v>
      </c>
      <c r="H125" s="104" t="s">
        <v>2373</v>
      </c>
      <c r="I125" s="67" t="b">
        <v>1</v>
      </c>
      <c r="J125" s="67" t="b">
        <v>1</v>
      </c>
      <c r="M125" s="67" t="b">
        <v>1</v>
      </c>
    </row>
    <row r="126" spans="1:19" ht="15" customHeight="1" x14ac:dyDescent="0.25">
      <c r="A126" s="67" t="s">
        <v>2203</v>
      </c>
      <c r="B126" s="67" t="s">
        <v>1848</v>
      </c>
      <c r="C126" s="67">
        <v>3</v>
      </c>
      <c r="D126" s="67" t="s">
        <v>1564</v>
      </c>
      <c r="E126" s="67">
        <v>1</v>
      </c>
      <c r="F126" s="67" t="s">
        <v>70</v>
      </c>
      <c r="G126" s="67">
        <v>4</v>
      </c>
      <c r="H126" s="104" t="s">
        <v>2374</v>
      </c>
      <c r="I126" s="67" t="b">
        <v>1</v>
      </c>
      <c r="J126" s="67" t="b">
        <v>1</v>
      </c>
      <c r="N126" s="67" t="b">
        <v>1</v>
      </c>
    </row>
    <row r="127" spans="1:19" ht="15" customHeight="1" x14ac:dyDescent="0.25">
      <c r="A127" s="67" t="s">
        <v>2204</v>
      </c>
      <c r="B127" s="67" t="s">
        <v>80</v>
      </c>
      <c r="C127" s="67">
        <v>4</v>
      </c>
      <c r="D127" s="67" t="s">
        <v>63</v>
      </c>
      <c r="E127" s="67">
        <v>5</v>
      </c>
      <c r="F127" s="67" t="s">
        <v>60</v>
      </c>
      <c r="G127" s="67">
        <v>5</v>
      </c>
      <c r="H127" s="104" t="s">
        <v>2205</v>
      </c>
      <c r="I127" s="67" t="b">
        <v>1</v>
      </c>
      <c r="J127" s="67" t="b">
        <v>1</v>
      </c>
      <c r="K127" s="67" t="b">
        <v>1</v>
      </c>
      <c r="L127" s="67" t="b">
        <v>1</v>
      </c>
      <c r="O127" s="67" t="b">
        <v>1</v>
      </c>
    </row>
    <row r="128" spans="1:19" ht="15" customHeight="1" x14ac:dyDescent="0.25">
      <c r="A128" s="67" t="s">
        <v>2206</v>
      </c>
      <c r="B128" s="67" t="s">
        <v>83</v>
      </c>
      <c r="C128" s="67">
        <v>4</v>
      </c>
      <c r="D128" s="67" t="s">
        <v>63</v>
      </c>
      <c r="E128" s="67">
        <v>5</v>
      </c>
      <c r="F128" s="67" t="s">
        <v>60</v>
      </c>
      <c r="G128" s="67">
        <v>5</v>
      </c>
      <c r="H128" s="104" t="s">
        <v>2207</v>
      </c>
      <c r="I128" s="67" t="b">
        <v>1</v>
      </c>
      <c r="J128" s="67" t="b">
        <v>1</v>
      </c>
      <c r="K128" s="67" t="b">
        <v>1</v>
      </c>
      <c r="L128" s="67" t="b">
        <v>1</v>
      </c>
      <c r="M128" s="67" t="b">
        <v>1</v>
      </c>
    </row>
    <row r="129" spans="1:26" ht="15" customHeight="1" x14ac:dyDescent="0.25">
      <c r="A129" s="67" t="s">
        <v>2208</v>
      </c>
      <c r="B129" s="67" t="s">
        <v>70</v>
      </c>
      <c r="C129" s="67">
        <v>4</v>
      </c>
      <c r="D129" s="67" t="s">
        <v>63</v>
      </c>
      <c r="E129" s="67">
        <v>5</v>
      </c>
      <c r="F129" s="67" t="s">
        <v>60</v>
      </c>
      <c r="G129" s="67">
        <v>5</v>
      </c>
      <c r="H129" s="104" t="s">
        <v>2209</v>
      </c>
      <c r="I129" s="67" t="b">
        <v>1</v>
      </c>
      <c r="J129" s="67" t="b">
        <v>1</v>
      </c>
      <c r="K129" s="67" t="b">
        <v>1</v>
      </c>
      <c r="L129" s="67" t="b">
        <v>1</v>
      </c>
      <c r="N129" s="67" t="b">
        <v>1</v>
      </c>
    </row>
    <row r="130" spans="1:26" ht="15" customHeight="1" x14ac:dyDescent="0.25">
      <c r="A130" s="67" t="s">
        <v>2210</v>
      </c>
      <c r="B130" s="67" t="s">
        <v>80</v>
      </c>
      <c r="C130" s="67">
        <v>4</v>
      </c>
      <c r="D130" s="67" t="s">
        <v>37</v>
      </c>
      <c r="E130" s="67">
        <v>5</v>
      </c>
      <c r="F130" s="67" t="s">
        <v>1655</v>
      </c>
      <c r="G130" s="67">
        <v>5</v>
      </c>
      <c r="H130" s="104" t="s">
        <v>2211</v>
      </c>
      <c r="I130" s="67" t="b">
        <v>1</v>
      </c>
      <c r="J130" s="67" t="b">
        <v>1</v>
      </c>
      <c r="K130" s="67" t="b">
        <v>1</v>
      </c>
      <c r="L130" s="67" t="b">
        <v>1</v>
      </c>
      <c r="O130" s="67" t="b">
        <v>1</v>
      </c>
    </row>
    <row r="131" spans="1:26" ht="15" customHeight="1" x14ac:dyDescent="0.25">
      <c r="A131" s="67" t="s">
        <v>2212</v>
      </c>
      <c r="B131" s="67" t="s">
        <v>83</v>
      </c>
      <c r="C131" s="67">
        <v>4</v>
      </c>
      <c r="D131" s="67" t="s">
        <v>37</v>
      </c>
      <c r="E131" s="67">
        <v>5</v>
      </c>
      <c r="F131" s="67" t="s">
        <v>1655</v>
      </c>
      <c r="G131" s="67">
        <v>5</v>
      </c>
      <c r="H131" s="104" t="s">
        <v>2213</v>
      </c>
      <c r="I131" s="67" t="b">
        <v>1</v>
      </c>
      <c r="J131" s="67" t="b">
        <v>1</v>
      </c>
      <c r="K131" s="67" t="b">
        <v>1</v>
      </c>
      <c r="L131" s="67" t="b">
        <v>1</v>
      </c>
      <c r="M131" s="67" t="b">
        <v>1</v>
      </c>
    </row>
    <row r="132" spans="1:26" ht="15" customHeight="1" x14ac:dyDescent="0.25">
      <c r="A132" s="67" t="s">
        <v>2214</v>
      </c>
      <c r="B132" s="67" t="s">
        <v>70</v>
      </c>
      <c r="C132" s="67">
        <v>4</v>
      </c>
      <c r="D132" s="67" t="s">
        <v>37</v>
      </c>
      <c r="E132" s="67">
        <v>5</v>
      </c>
      <c r="F132" s="67" t="s">
        <v>1655</v>
      </c>
      <c r="G132" s="67">
        <v>5</v>
      </c>
      <c r="H132" s="104" t="s">
        <v>2215</v>
      </c>
      <c r="I132" s="67" t="b">
        <v>1</v>
      </c>
      <c r="J132" s="67" t="b">
        <v>1</v>
      </c>
      <c r="K132" s="67" t="b">
        <v>1</v>
      </c>
      <c r="L132" s="67" t="b">
        <v>1</v>
      </c>
      <c r="N132" s="67" t="b">
        <v>1</v>
      </c>
    </row>
    <row r="133" spans="1:26" ht="15" customHeight="1" x14ac:dyDescent="0.25">
      <c r="A133" s="67" t="s">
        <v>2216</v>
      </c>
      <c r="B133" s="67" t="s">
        <v>65</v>
      </c>
      <c r="C133" s="67">
        <v>5</v>
      </c>
      <c r="D133" s="67" t="s">
        <v>53</v>
      </c>
      <c r="E133" s="67">
        <v>5</v>
      </c>
      <c r="F133" s="67" t="s">
        <v>80</v>
      </c>
      <c r="G133" s="67">
        <v>4</v>
      </c>
      <c r="H133" s="104" t="s">
        <v>2375</v>
      </c>
      <c r="I133" s="67" t="b">
        <v>1</v>
      </c>
      <c r="J133" s="67" t="b">
        <v>1</v>
      </c>
      <c r="K133" s="67" t="b">
        <v>1</v>
      </c>
      <c r="L133" s="67" t="b">
        <v>1</v>
      </c>
      <c r="O133" s="67" t="b">
        <v>1</v>
      </c>
    </row>
    <row r="134" spans="1:26" ht="15" customHeight="1" x14ac:dyDescent="0.25">
      <c r="A134" s="67" t="s">
        <v>2217</v>
      </c>
      <c r="B134" s="67" t="s">
        <v>65</v>
      </c>
      <c r="C134" s="67">
        <v>5</v>
      </c>
      <c r="D134" s="67" t="s">
        <v>53</v>
      </c>
      <c r="E134" s="67">
        <v>5</v>
      </c>
      <c r="F134" s="67" t="s">
        <v>83</v>
      </c>
      <c r="G134" s="67">
        <v>4</v>
      </c>
      <c r="H134" s="104" t="s">
        <v>2218</v>
      </c>
      <c r="I134" s="67" t="b">
        <v>1</v>
      </c>
      <c r="J134" s="67" t="b">
        <v>1</v>
      </c>
      <c r="K134" s="67" t="b">
        <v>1</v>
      </c>
      <c r="L134" s="67" t="b">
        <v>1</v>
      </c>
      <c r="M134" s="67" t="b">
        <v>1</v>
      </c>
    </row>
    <row r="135" spans="1:26" ht="15" customHeight="1" x14ac:dyDescent="0.25">
      <c r="A135" s="67" t="s">
        <v>2219</v>
      </c>
      <c r="B135" s="67" t="s">
        <v>65</v>
      </c>
      <c r="C135" s="67">
        <v>5</v>
      </c>
      <c r="D135" s="67" t="s">
        <v>53</v>
      </c>
      <c r="E135" s="67">
        <v>5</v>
      </c>
      <c r="F135" s="67" t="s">
        <v>70</v>
      </c>
      <c r="G135" s="67">
        <v>4</v>
      </c>
      <c r="H135" s="104" t="s">
        <v>2220</v>
      </c>
      <c r="I135" s="67" t="b">
        <v>1</v>
      </c>
      <c r="J135" s="67" t="b">
        <v>1</v>
      </c>
      <c r="K135" s="67" t="b">
        <v>1</v>
      </c>
      <c r="L135" s="67" t="b">
        <v>1</v>
      </c>
      <c r="N135" s="67" t="b">
        <v>1</v>
      </c>
    </row>
    <row r="136" spans="1:26" ht="15" customHeight="1" x14ac:dyDescent="0.25">
      <c r="A136" s="67" t="s">
        <v>2112</v>
      </c>
      <c r="B136" s="67" t="s">
        <v>1939</v>
      </c>
      <c r="C136" s="67">
        <v>1</v>
      </c>
      <c r="D136" s="67" t="s">
        <v>24</v>
      </c>
      <c r="E136" s="67">
        <v>3</v>
      </c>
      <c r="F136" s="67" t="s">
        <v>1638</v>
      </c>
      <c r="G136" s="67">
        <v>1</v>
      </c>
      <c r="H136" s="104" t="s">
        <v>2113</v>
      </c>
      <c r="I136" s="67" t="b">
        <v>1</v>
      </c>
      <c r="Z136" s="67" t="b">
        <v>1</v>
      </c>
    </row>
    <row r="137" spans="1:26" ht="15" customHeight="1" x14ac:dyDescent="0.25">
      <c r="A137" s="67" t="s">
        <v>945</v>
      </c>
      <c r="B137" s="67" t="s">
        <v>67</v>
      </c>
      <c r="C137" s="67">
        <v>1</v>
      </c>
      <c r="D137" s="67" t="s">
        <v>49</v>
      </c>
      <c r="E137" s="67">
        <v>1</v>
      </c>
      <c r="F137" s="67" t="s">
        <v>80</v>
      </c>
      <c r="G137" s="67">
        <v>4</v>
      </c>
      <c r="H137" s="104" t="s">
        <v>933</v>
      </c>
      <c r="I137" s="67" t="b">
        <v>1</v>
      </c>
      <c r="L137" s="67" t="b">
        <v>1</v>
      </c>
    </row>
    <row r="138" spans="1:26" ht="15" customHeight="1" x14ac:dyDescent="0.25">
      <c r="A138" s="67" t="s">
        <v>946</v>
      </c>
      <c r="B138" s="67" t="s">
        <v>67</v>
      </c>
      <c r="C138" s="67">
        <v>1</v>
      </c>
      <c r="D138" s="67" t="s">
        <v>49</v>
      </c>
      <c r="E138" s="67">
        <v>1</v>
      </c>
      <c r="F138" s="67" t="s">
        <v>83</v>
      </c>
      <c r="G138" s="67">
        <v>4</v>
      </c>
      <c r="H138" s="104" t="s">
        <v>846</v>
      </c>
      <c r="I138" s="67" t="b">
        <v>1</v>
      </c>
      <c r="L138" s="67" t="b">
        <v>1</v>
      </c>
    </row>
    <row r="139" spans="1:26" ht="15" customHeight="1" x14ac:dyDescent="0.25">
      <c r="A139" s="67" t="s">
        <v>947</v>
      </c>
      <c r="B139" s="67" t="s">
        <v>67</v>
      </c>
      <c r="C139" s="67">
        <v>1</v>
      </c>
      <c r="D139" s="67" t="s">
        <v>49</v>
      </c>
      <c r="E139" s="67">
        <v>1</v>
      </c>
      <c r="F139" s="67" t="s">
        <v>70</v>
      </c>
      <c r="G139" s="67">
        <v>4</v>
      </c>
      <c r="H139" s="104" t="s">
        <v>940</v>
      </c>
      <c r="I139" s="67" t="b">
        <v>1</v>
      </c>
      <c r="L139" s="67" t="b">
        <v>1</v>
      </c>
    </row>
    <row r="140" spans="1:26" ht="15" customHeight="1" x14ac:dyDescent="0.25">
      <c r="A140" s="67" t="s">
        <v>948</v>
      </c>
      <c r="B140" s="67" t="s">
        <v>67</v>
      </c>
      <c r="C140" s="67">
        <v>1</v>
      </c>
      <c r="D140" s="67" t="s">
        <v>49</v>
      </c>
      <c r="E140" s="67">
        <v>1</v>
      </c>
      <c r="F140" s="67" t="s">
        <v>98</v>
      </c>
      <c r="G140" s="67">
        <v>1</v>
      </c>
      <c r="H140" s="104" t="s">
        <v>949</v>
      </c>
      <c r="I140" s="67" t="b">
        <v>1</v>
      </c>
      <c r="L140" s="67" t="b">
        <v>1</v>
      </c>
    </row>
    <row r="141" spans="1:26" ht="15" customHeight="1" x14ac:dyDescent="0.25">
      <c r="A141" s="67" t="s">
        <v>927</v>
      </c>
      <c r="B141" s="67" t="s">
        <v>90</v>
      </c>
      <c r="C141" s="67">
        <v>1</v>
      </c>
      <c r="D141" s="67" t="s">
        <v>85</v>
      </c>
      <c r="E141" s="67">
        <v>1</v>
      </c>
      <c r="F141" s="67" t="s">
        <v>87</v>
      </c>
      <c r="G141" s="67">
        <v>1</v>
      </c>
      <c r="H141" s="104" t="s">
        <v>2376</v>
      </c>
      <c r="J141" s="67" t="b">
        <v>1</v>
      </c>
      <c r="Q141" s="67" t="b">
        <v>1</v>
      </c>
    </row>
    <row r="142" spans="1:26" ht="15" customHeight="1" x14ac:dyDescent="0.25">
      <c r="A142" s="67" t="s">
        <v>1961</v>
      </c>
      <c r="B142" s="67" t="s">
        <v>731</v>
      </c>
      <c r="C142" s="67">
        <v>1</v>
      </c>
      <c r="D142" s="67" t="s">
        <v>70</v>
      </c>
      <c r="E142" s="67">
        <v>4</v>
      </c>
      <c r="F142" s="67" t="s">
        <v>104</v>
      </c>
      <c r="G142" s="67">
        <v>1</v>
      </c>
      <c r="H142" s="104" t="s">
        <v>2377</v>
      </c>
      <c r="J142" s="67" t="b">
        <v>1</v>
      </c>
      <c r="N142" s="67" t="b">
        <v>1</v>
      </c>
      <c r="T142" s="67" t="b">
        <v>1</v>
      </c>
    </row>
    <row r="143" spans="1:26" ht="15" customHeight="1" x14ac:dyDescent="0.25">
      <c r="A143" s="67" t="s">
        <v>1962</v>
      </c>
      <c r="B143" s="67" t="s">
        <v>1640</v>
      </c>
      <c r="C143" s="67">
        <v>2</v>
      </c>
      <c r="D143" s="67" t="s">
        <v>1643</v>
      </c>
      <c r="E143" s="67">
        <v>1</v>
      </c>
      <c r="F143" s="67" t="s">
        <v>70</v>
      </c>
      <c r="G143" s="67">
        <v>4</v>
      </c>
      <c r="H143" s="104" t="s">
        <v>828</v>
      </c>
      <c r="J143" s="67" t="b">
        <v>1</v>
      </c>
      <c r="N143" s="67" t="b">
        <v>1</v>
      </c>
      <c r="Q143" s="67" t="b">
        <v>1</v>
      </c>
      <c r="T143" s="67" t="b">
        <v>1</v>
      </c>
    </row>
    <row r="144" spans="1:26" ht="15" customHeight="1" x14ac:dyDescent="0.25">
      <c r="A144" s="67" t="s">
        <v>835</v>
      </c>
      <c r="B144" s="67" t="s">
        <v>17</v>
      </c>
      <c r="C144" s="67">
        <v>1</v>
      </c>
      <c r="D144" s="67" t="s">
        <v>13</v>
      </c>
      <c r="E144" s="67">
        <v>1</v>
      </c>
      <c r="F144" s="67" t="s">
        <v>9</v>
      </c>
      <c r="G144" s="67">
        <v>5</v>
      </c>
      <c r="H144" s="104" t="s">
        <v>2378</v>
      </c>
      <c r="J144" s="67" t="b">
        <v>1</v>
      </c>
      <c r="N144" s="67" t="b">
        <v>1</v>
      </c>
      <c r="Q144" s="67" t="b">
        <v>1</v>
      </c>
      <c r="T144" s="67" t="b">
        <v>1</v>
      </c>
    </row>
    <row r="145" spans="1:28" ht="15" customHeight="1" x14ac:dyDescent="0.25">
      <c r="A145" s="67" t="s">
        <v>905</v>
      </c>
      <c r="B145" s="67" t="s">
        <v>869</v>
      </c>
      <c r="C145" s="67">
        <v>1</v>
      </c>
      <c r="D145" s="67" t="s">
        <v>731</v>
      </c>
      <c r="E145" s="67">
        <v>1</v>
      </c>
      <c r="F145" s="67" t="s">
        <v>9</v>
      </c>
      <c r="G145" s="67">
        <v>5</v>
      </c>
      <c r="H145" s="104" t="s">
        <v>1573</v>
      </c>
      <c r="J145" s="67" t="b">
        <v>1</v>
      </c>
      <c r="N145" s="67" t="b">
        <v>1</v>
      </c>
      <c r="Q145" s="67" t="b">
        <v>1</v>
      </c>
      <c r="T145" s="67" t="b">
        <v>1</v>
      </c>
    </row>
    <row r="146" spans="1:28" ht="15" customHeight="1" x14ac:dyDescent="0.25">
      <c r="A146" s="67" t="s">
        <v>906</v>
      </c>
      <c r="B146" s="67" t="s">
        <v>869</v>
      </c>
      <c r="C146" s="67">
        <v>1</v>
      </c>
      <c r="D146" s="67" t="s">
        <v>731</v>
      </c>
      <c r="E146" s="67">
        <v>1</v>
      </c>
      <c r="F146" s="67" t="s">
        <v>104</v>
      </c>
      <c r="G146" s="67">
        <v>1</v>
      </c>
      <c r="H146" s="104" t="s">
        <v>1574</v>
      </c>
      <c r="J146" s="67" t="b">
        <v>1</v>
      </c>
      <c r="N146" s="67" t="b">
        <v>1</v>
      </c>
      <c r="Q146" s="67" t="b">
        <v>1</v>
      </c>
      <c r="T146" s="67" t="b">
        <v>1</v>
      </c>
    </row>
    <row r="147" spans="1:28" ht="15" customHeight="1" x14ac:dyDescent="0.25">
      <c r="A147" s="67" t="s">
        <v>825</v>
      </c>
      <c r="B147" s="67" t="s">
        <v>82</v>
      </c>
      <c r="C147" s="67">
        <v>1</v>
      </c>
      <c r="D147" s="67" t="s">
        <v>64</v>
      </c>
      <c r="E147" s="67">
        <v>1</v>
      </c>
      <c r="F147" s="67" t="s">
        <v>9</v>
      </c>
      <c r="G147" s="67">
        <v>5</v>
      </c>
      <c r="H147" s="104" t="s">
        <v>826</v>
      </c>
      <c r="J147" s="67" t="b">
        <v>1</v>
      </c>
      <c r="N147" s="67" t="b">
        <v>1</v>
      </c>
      <c r="Q147" s="67" t="b">
        <v>1</v>
      </c>
      <c r="T147" s="67" t="b">
        <v>1</v>
      </c>
      <c r="AA147" s="67" t="b">
        <v>1</v>
      </c>
    </row>
    <row r="148" spans="1:28" ht="15" customHeight="1" x14ac:dyDescent="0.25">
      <c r="A148" s="67" t="s">
        <v>836</v>
      </c>
      <c r="B148" s="67" t="s">
        <v>82</v>
      </c>
      <c r="C148" s="67">
        <v>1</v>
      </c>
      <c r="D148" s="67" t="s">
        <v>64</v>
      </c>
      <c r="E148" s="67">
        <v>1</v>
      </c>
      <c r="F148" s="67" t="s">
        <v>104</v>
      </c>
      <c r="G148" s="67">
        <v>1</v>
      </c>
      <c r="J148" s="67" t="b">
        <v>1</v>
      </c>
      <c r="N148" s="67" t="b">
        <v>1</v>
      </c>
      <c r="Q148" s="67" t="b">
        <v>1</v>
      </c>
      <c r="T148" s="67" t="b">
        <v>1</v>
      </c>
      <c r="AA148" s="67" t="b">
        <v>1</v>
      </c>
    </row>
    <row r="149" spans="1:28" ht="15" customHeight="1" x14ac:dyDescent="0.25">
      <c r="A149" s="67" t="s">
        <v>837</v>
      </c>
      <c r="B149" s="67" t="s">
        <v>738</v>
      </c>
      <c r="C149" s="67">
        <v>1</v>
      </c>
      <c r="D149" s="67" t="s">
        <v>736</v>
      </c>
      <c r="E149" s="67">
        <v>1</v>
      </c>
      <c r="F149" s="67" t="s">
        <v>9</v>
      </c>
      <c r="G149" s="67">
        <v>5</v>
      </c>
      <c r="H149" s="104" t="s">
        <v>827</v>
      </c>
      <c r="J149" s="67" t="b">
        <v>1</v>
      </c>
      <c r="N149" s="67" t="b">
        <v>1</v>
      </c>
      <c r="Q149" s="67" t="b">
        <v>1</v>
      </c>
      <c r="T149" s="67" t="b">
        <v>1</v>
      </c>
    </row>
    <row r="150" spans="1:28" ht="15" customHeight="1" x14ac:dyDescent="0.25">
      <c r="A150" s="67" t="s">
        <v>1673</v>
      </c>
      <c r="B150" s="67" t="s">
        <v>104</v>
      </c>
      <c r="C150" s="67">
        <v>1</v>
      </c>
      <c r="D150" s="67" t="s">
        <v>70</v>
      </c>
      <c r="E150" s="67">
        <v>4</v>
      </c>
      <c r="F150" s="67" t="s">
        <v>731</v>
      </c>
      <c r="G150" s="67">
        <v>1</v>
      </c>
      <c r="H150" s="104" t="s">
        <v>2379</v>
      </c>
      <c r="J150" s="67" t="b">
        <v>1</v>
      </c>
      <c r="N150" s="67" t="b">
        <v>1</v>
      </c>
      <c r="Q150" s="67" t="b">
        <v>1</v>
      </c>
      <c r="T150" s="67" t="b">
        <v>1</v>
      </c>
    </row>
    <row r="151" spans="1:28" ht="15" customHeight="1" x14ac:dyDescent="0.25">
      <c r="A151" s="67" t="s">
        <v>1392</v>
      </c>
      <c r="B151" s="67" t="s">
        <v>46</v>
      </c>
      <c r="C151" s="67">
        <v>1</v>
      </c>
      <c r="H151" s="104" t="s">
        <v>2380</v>
      </c>
      <c r="I151" s="67" t="b">
        <v>1</v>
      </c>
    </row>
    <row r="152" spans="1:28" ht="15" customHeight="1" x14ac:dyDescent="0.25">
      <c r="A152" s="67" t="s">
        <v>1393</v>
      </c>
      <c r="B152" s="67" t="s">
        <v>252</v>
      </c>
      <c r="C152" s="67">
        <v>1</v>
      </c>
      <c r="D152" s="67" t="s">
        <v>1963</v>
      </c>
      <c r="E152" s="67">
        <v>3</v>
      </c>
      <c r="F152" s="67" t="s">
        <v>683</v>
      </c>
      <c r="G152" s="67">
        <v>3</v>
      </c>
      <c r="H152" s="104" t="s">
        <v>2381</v>
      </c>
      <c r="I152" s="67" t="b">
        <v>1</v>
      </c>
      <c r="M152" s="67" t="b">
        <v>1</v>
      </c>
      <c r="N152" s="67" t="b">
        <v>1</v>
      </c>
      <c r="O152" s="67" t="b">
        <v>1</v>
      </c>
      <c r="P152" s="67" t="b">
        <v>1</v>
      </c>
      <c r="AB152" s="67" t="b">
        <v>1</v>
      </c>
    </row>
    <row r="153" spans="1:28" ht="15" customHeight="1" x14ac:dyDescent="0.25">
      <c r="A153" s="67" t="s">
        <v>923</v>
      </c>
      <c r="B153" s="67" t="s">
        <v>252</v>
      </c>
      <c r="C153" s="67">
        <v>1</v>
      </c>
      <c r="D153" s="67" t="s">
        <v>1963</v>
      </c>
      <c r="E153" s="67">
        <v>3</v>
      </c>
      <c r="F153" s="67" t="s">
        <v>649</v>
      </c>
      <c r="G153" s="67">
        <v>3</v>
      </c>
      <c r="H153" s="104" t="s">
        <v>2382</v>
      </c>
      <c r="I153" s="67" t="b">
        <v>1</v>
      </c>
      <c r="J153" s="67" t="b">
        <v>1</v>
      </c>
      <c r="M153" s="67" t="b">
        <v>1</v>
      </c>
      <c r="N153" s="67" t="b">
        <v>1</v>
      </c>
      <c r="O153" s="67" t="b">
        <v>1</v>
      </c>
    </row>
    <row r="154" spans="1:28" ht="15" customHeight="1" x14ac:dyDescent="0.25">
      <c r="A154" s="67" t="s">
        <v>924</v>
      </c>
      <c r="B154" s="67" t="s">
        <v>252</v>
      </c>
      <c r="C154" s="67">
        <v>1</v>
      </c>
      <c r="D154" s="67" t="s">
        <v>1963</v>
      </c>
      <c r="E154" s="67">
        <v>3</v>
      </c>
      <c r="F154" s="67" t="s">
        <v>80</v>
      </c>
      <c r="G154" s="67">
        <v>4</v>
      </c>
      <c r="H154" s="104" t="s">
        <v>950</v>
      </c>
      <c r="I154" s="67" t="b">
        <v>1</v>
      </c>
      <c r="J154" s="67" t="b">
        <v>1</v>
      </c>
      <c r="O154" s="67" t="b">
        <v>1</v>
      </c>
    </row>
    <row r="155" spans="1:28" ht="15" customHeight="1" x14ac:dyDescent="0.25">
      <c r="A155" s="67" t="s">
        <v>925</v>
      </c>
      <c r="B155" s="67" t="s">
        <v>252</v>
      </c>
      <c r="C155" s="67">
        <v>1</v>
      </c>
      <c r="D155" s="67" t="s">
        <v>1963</v>
      </c>
      <c r="E155" s="67">
        <v>3</v>
      </c>
      <c r="F155" s="67" t="s">
        <v>83</v>
      </c>
      <c r="G155" s="67">
        <v>4</v>
      </c>
      <c r="H155" s="104" t="s">
        <v>846</v>
      </c>
      <c r="I155" s="67" t="b">
        <v>1</v>
      </c>
      <c r="J155" s="67" t="b">
        <v>1</v>
      </c>
      <c r="M155" s="67" t="b">
        <v>1</v>
      </c>
    </row>
    <row r="156" spans="1:28" ht="15" customHeight="1" x14ac:dyDescent="0.25">
      <c r="A156" s="67" t="s">
        <v>926</v>
      </c>
      <c r="B156" s="67" t="s">
        <v>252</v>
      </c>
      <c r="C156" s="67">
        <v>1</v>
      </c>
      <c r="D156" s="67" t="s">
        <v>1963</v>
      </c>
      <c r="E156" s="67">
        <v>3</v>
      </c>
      <c r="F156" s="67" t="s">
        <v>70</v>
      </c>
      <c r="G156" s="67">
        <v>4</v>
      </c>
      <c r="H156" s="104" t="s">
        <v>845</v>
      </c>
      <c r="I156" s="67" t="b">
        <v>1</v>
      </c>
      <c r="J156" s="67" t="b">
        <v>1</v>
      </c>
      <c r="N156" s="67" t="b">
        <v>1</v>
      </c>
    </row>
    <row r="157" spans="1:28" ht="15" customHeight="1" x14ac:dyDescent="0.25">
      <c r="A157" s="67" t="s">
        <v>907</v>
      </c>
      <c r="B157" s="67" t="s">
        <v>9</v>
      </c>
      <c r="C157" s="67">
        <v>1</v>
      </c>
      <c r="D157" s="67" t="s">
        <v>82</v>
      </c>
      <c r="E157" s="67">
        <v>1</v>
      </c>
      <c r="F157" s="67" t="s">
        <v>95</v>
      </c>
      <c r="G157" s="67">
        <v>1</v>
      </c>
      <c r="H157" s="104" t="s">
        <v>2383</v>
      </c>
      <c r="J157" s="67" t="b">
        <v>1</v>
      </c>
      <c r="K157" s="67" t="b">
        <v>1</v>
      </c>
      <c r="L157" s="67" t="b">
        <v>1</v>
      </c>
      <c r="M157" s="67" t="b">
        <v>1</v>
      </c>
      <c r="N157" s="67" t="b">
        <v>1</v>
      </c>
      <c r="O157" s="67" t="b">
        <v>1</v>
      </c>
      <c r="P157" s="67" t="b">
        <v>1</v>
      </c>
      <c r="Q157" s="67" t="b">
        <v>1</v>
      </c>
      <c r="AA157" s="67" t="b">
        <v>1</v>
      </c>
    </row>
    <row r="158" spans="1:28" ht="15" customHeight="1" x14ac:dyDescent="0.25">
      <c r="A158" s="67" t="s">
        <v>883</v>
      </c>
      <c r="B158" s="67" t="s">
        <v>9</v>
      </c>
      <c r="C158" s="67">
        <v>1</v>
      </c>
      <c r="D158" s="67" t="s">
        <v>95</v>
      </c>
      <c r="E158" s="67">
        <v>1</v>
      </c>
      <c r="F158" s="67" t="s">
        <v>94</v>
      </c>
      <c r="G158" s="67">
        <v>1</v>
      </c>
      <c r="H158" s="104" t="s">
        <v>884</v>
      </c>
      <c r="L158" s="67" t="b">
        <v>1</v>
      </c>
      <c r="M158" s="67" t="b">
        <v>1</v>
      </c>
      <c r="N158" s="67" t="b">
        <v>1</v>
      </c>
      <c r="O158" s="67" t="b">
        <v>1</v>
      </c>
      <c r="P158" s="67" t="b">
        <v>1</v>
      </c>
      <c r="Q158" s="67" t="b">
        <v>1</v>
      </c>
      <c r="AA158" s="67" t="b">
        <v>1</v>
      </c>
    </row>
    <row r="159" spans="1:28" ht="15" customHeight="1" x14ac:dyDescent="0.25">
      <c r="A159" s="67" t="s">
        <v>885</v>
      </c>
      <c r="B159" s="67" t="s">
        <v>9</v>
      </c>
      <c r="C159" s="67">
        <v>1</v>
      </c>
      <c r="D159" s="67" t="s">
        <v>95</v>
      </c>
      <c r="E159" s="67">
        <v>1</v>
      </c>
      <c r="F159" s="67" t="s">
        <v>93</v>
      </c>
      <c r="G159" s="67">
        <v>1</v>
      </c>
      <c r="H159" s="104" t="s">
        <v>884</v>
      </c>
      <c r="J159" s="67" t="b">
        <v>1</v>
      </c>
      <c r="M159" s="67" t="b">
        <v>1</v>
      </c>
      <c r="N159" s="67" t="b">
        <v>1</v>
      </c>
      <c r="O159" s="67" t="b">
        <v>1</v>
      </c>
      <c r="P159" s="67" t="b">
        <v>1</v>
      </c>
      <c r="Q159" s="67" t="b">
        <v>1</v>
      </c>
      <c r="AA159" s="67" t="b">
        <v>1</v>
      </c>
    </row>
    <row r="160" spans="1:28" ht="15" customHeight="1" x14ac:dyDescent="0.25">
      <c r="A160" s="67" t="s">
        <v>886</v>
      </c>
      <c r="B160" s="67" t="s">
        <v>9</v>
      </c>
      <c r="C160" s="67">
        <v>1</v>
      </c>
      <c r="D160" s="67" t="s">
        <v>95</v>
      </c>
      <c r="E160" s="67">
        <v>1</v>
      </c>
      <c r="F160" s="67" t="s">
        <v>91</v>
      </c>
      <c r="G160" s="67">
        <v>1</v>
      </c>
      <c r="H160" s="104" t="s">
        <v>884</v>
      </c>
      <c r="K160" s="67" t="b">
        <v>1</v>
      </c>
      <c r="M160" s="67" t="b">
        <v>1</v>
      </c>
      <c r="N160" s="67" t="b">
        <v>1</v>
      </c>
      <c r="O160" s="67" t="b">
        <v>1</v>
      </c>
      <c r="P160" s="67" t="b">
        <v>1</v>
      </c>
      <c r="Q160" s="67" t="b">
        <v>1</v>
      </c>
      <c r="AA160" s="67" t="b">
        <v>1</v>
      </c>
    </row>
    <row r="161" spans="1:27" ht="15" customHeight="1" x14ac:dyDescent="0.25">
      <c r="A161" s="67" t="s">
        <v>887</v>
      </c>
      <c r="B161" s="67" t="s">
        <v>9</v>
      </c>
      <c r="C161" s="67">
        <v>1</v>
      </c>
      <c r="D161" s="67" t="s">
        <v>95</v>
      </c>
      <c r="E161" s="67">
        <v>1</v>
      </c>
      <c r="F161" s="67" t="s">
        <v>73</v>
      </c>
      <c r="G161" s="67">
        <v>1</v>
      </c>
      <c r="H161" s="104" t="s">
        <v>884</v>
      </c>
      <c r="M161" s="67" t="b">
        <v>1</v>
      </c>
      <c r="N161" s="67" t="b">
        <v>1</v>
      </c>
      <c r="O161" s="67" t="b">
        <v>1</v>
      </c>
      <c r="P161" s="67" t="b">
        <v>1</v>
      </c>
      <c r="Q161" s="67" t="b">
        <v>1</v>
      </c>
      <c r="AA161" s="67" t="b">
        <v>1</v>
      </c>
    </row>
  </sheetData>
  <autoFilter ref="A1:AD1">
    <sortState ref="A2:Y26">
      <sortCondition ref="A1"/>
    </sortState>
  </autoFilter>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I66"/>
  <sheetViews>
    <sheetView workbookViewId="0">
      <selection activeCell="B7" sqref="B7"/>
    </sheetView>
  </sheetViews>
  <sheetFormatPr defaultRowHeight="15" x14ac:dyDescent="0.25"/>
  <cols>
    <col min="1" max="1" width="19.28515625" style="67" customWidth="1"/>
    <col min="2" max="2" width="18.42578125" style="103" customWidth="1"/>
    <col min="3" max="9" width="18.42578125" style="67" customWidth="1"/>
    <col min="10" max="16384" width="9.140625" style="67"/>
  </cols>
  <sheetData>
    <row r="1" spans="1:9" ht="36" customHeight="1" x14ac:dyDescent="0.25">
      <c r="B1" s="491" t="s">
        <v>779</v>
      </c>
      <c r="C1" s="491" t="s">
        <v>780</v>
      </c>
      <c r="D1" s="491" t="s">
        <v>781</v>
      </c>
      <c r="E1" s="491" t="s">
        <v>785</v>
      </c>
      <c r="F1" s="491" t="s">
        <v>1773</v>
      </c>
      <c r="G1" s="491" t="s">
        <v>782</v>
      </c>
      <c r="H1" s="492" t="s">
        <v>783</v>
      </c>
      <c r="I1" s="492" t="s">
        <v>784</v>
      </c>
    </row>
    <row r="2" spans="1:9" x14ac:dyDescent="0.25">
      <c r="A2" s="67" t="s">
        <v>208</v>
      </c>
      <c r="B2" s="69">
        <f>Roster!E7+Roster!E8+Roster!E9+Roster!E10+Roster!E11+Roster!E13+Roster!E15+Roster!H15</f>
        <v>0</v>
      </c>
      <c r="C2" s="75">
        <f>Roster!E7+Roster!E8+Roster!E9+Roster!E10+Roster!E11+Roster!E13+Roster!E15+Roster!H15+Roster!H14</f>
        <v>0</v>
      </c>
      <c r="D2" s="75">
        <f>Roster!E7+Roster!E8+Roster!E9+Roster!E10+Roster!E11+Roster!E13+Roster!E15+Roster!H15+Roster!H14+Roster!H13</f>
        <v>0</v>
      </c>
      <c r="E2" s="69">
        <f>IF(OAEApply = TRUE, 0.4,0)+IF(OEApply = TRUE, 0.35,0)+IF(AOEApply = TRUE, AOEValue,0)</f>
        <v>0</v>
      </c>
      <c r="F2" s="69">
        <f>OrionAttack</f>
        <v>0</v>
      </c>
      <c r="G2" s="69">
        <f>IF(ApplyBonus,B2+E2+F2+1,1)</f>
        <v>1</v>
      </c>
      <c r="H2" s="75">
        <f>IF(ApplyBonus,C2+E2+F2+1,1)</f>
        <v>1</v>
      </c>
      <c r="I2" s="75">
        <f>IF(ApplyBonus,D2+E2+F2+1,1)</f>
        <v>1</v>
      </c>
    </row>
    <row r="3" spans="1:9" x14ac:dyDescent="0.25">
      <c r="A3" s="67" t="s">
        <v>209</v>
      </c>
      <c r="B3" s="69">
        <f>Roster!E7+Roster!E8+Roster!E9+Roster!E10+Roster!E12+Roster!E13+Roster!E14+Roster!H15</f>
        <v>0</v>
      </c>
      <c r="C3" s="75">
        <f>Roster!E7+Roster!E8+Roster!E9+Roster!E10+Roster!E12+Roster!E13+Roster!E14+Roster!H15+Roster!H14</f>
        <v>0</v>
      </c>
      <c r="D3" s="75">
        <f>Roster!E7+Roster!E8+Roster!E9+Roster!E10+Roster!E12+Roster!E13+Roster!E14+Roster!H15+Roster!H14+Roster!H13</f>
        <v>0</v>
      </c>
      <c r="E3" s="69">
        <f>IF(ODEApply = TRUE, 0.4,0)+IF(OEApply = TRUE, 0.35,0)+IF(AOEApply = TRUE, AOEValue,0)</f>
        <v>0</v>
      </c>
      <c r="F3" s="69">
        <f>OrionDefence</f>
        <v>0</v>
      </c>
      <c r="G3" s="69">
        <f>IF(ApplyBonus,B3+E3+F3+1,1)</f>
        <v>1</v>
      </c>
      <c r="H3" s="75">
        <f>IF(ApplyBonus,C3+E3+F3+1,1)</f>
        <v>1</v>
      </c>
      <c r="I3" s="75">
        <f>IF(ApplyBonus,D3+E3+F3+1,1)</f>
        <v>1</v>
      </c>
    </row>
    <row r="4" spans="1:9" x14ac:dyDescent="0.25">
      <c r="A4" s="67" t="s">
        <v>210</v>
      </c>
      <c r="B4" s="69">
        <f>Roster!E7+Roster!E8+Roster!E9+Roster!E10+Roster!E13+Roster!H12+Roster!H15</f>
        <v>0</v>
      </c>
      <c r="C4" s="75">
        <f>Roster!E7+Roster!E8+Roster!E9+Roster!E10+Roster!E13+Roster!H12+Roster!H15+Roster!H14</f>
        <v>0</v>
      </c>
      <c r="D4" s="75">
        <f>Roster!E7+Roster!E8+Roster!E9+Roster!E10+Roster!E13+Roster!H12+Roster!H15+Roster!H14+Roster!H13</f>
        <v>0</v>
      </c>
      <c r="E4" s="69">
        <f>IF(OEApply = TRUE, 0.35,0)+IF(AOEApply = TRUE, AOEValue,0)</f>
        <v>0</v>
      </c>
      <c r="F4" s="69">
        <f>OrionHealth</f>
        <v>0</v>
      </c>
      <c r="G4" s="69">
        <f>IF(ApplyBonus,B4+E4+F4+1,1)</f>
        <v>1</v>
      </c>
      <c r="H4" s="75">
        <f>IF(ApplyBonus,C4+E4+F4+1,1)</f>
        <v>1</v>
      </c>
      <c r="I4" s="75">
        <f>IF(ApplyBonus,D4+E4+F4+1,1)</f>
        <v>1</v>
      </c>
    </row>
    <row r="5" spans="1:9" x14ac:dyDescent="0.25">
      <c r="B5" s="724" t="s">
        <v>675</v>
      </c>
      <c r="C5" s="725"/>
      <c r="D5" s="724" t="s">
        <v>676</v>
      </c>
      <c r="E5" s="725"/>
      <c r="F5" s="471"/>
    </row>
    <row r="6" spans="1:9" x14ac:dyDescent="0.25">
      <c r="A6" s="101" t="s">
        <v>696</v>
      </c>
      <c r="B6" s="107" t="s">
        <v>130</v>
      </c>
      <c r="C6" s="107" t="s">
        <v>671</v>
      </c>
      <c r="D6" s="107" t="s">
        <v>130</v>
      </c>
      <c r="E6" s="107" t="s">
        <v>671</v>
      </c>
      <c r="F6" s="462"/>
    </row>
    <row r="7" spans="1:9" x14ac:dyDescent="0.25">
      <c r="A7" s="67" t="s">
        <v>672</v>
      </c>
      <c r="B7" s="69">
        <f>IFERROR(VLOOKUP(Roster!L7,OfficerSkillsFull,21,FALSE),0)+IFERROR(VLOOKUP(Roster!N7,OfficerSkillsFull,21,FALSE),0)+IFERROR(VLOOKUP(Roster!P7,OfficerSkillsFull,21,FALSE),0)</f>
        <v>0</v>
      </c>
      <c r="C7" s="69">
        <f>IFERROR(VLOOKUP(Roster!L7,OfficerSkillsFull,22,FALSE),0)+IFERROR(VLOOKUP(Roster!N7,OfficerSkillsFull,22,FALSE),0)+IFERROR(VLOOKUP(Roster!P7,OfficerSkillsFull,22,FALSE),0)</f>
        <v>0</v>
      </c>
      <c r="D7" s="69">
        <f>IF(IFERROR(VLOOKUP(Roster!N7,OfficerSkillsFull,27,FALSE),0) = "Y",IFERROR(IF(AND(VLOOKUP(Roster!L7,OfficerSkillsFull,11,FALSE) = VLOOKUP(Roster!N7,OfficerSkillsFull,11,FALSE), VLOOKUP(Roster!L7,OfficerSkillsFull,12,FALSE) = VLOOKUP(Roster!N7,OfficerSkillsFull,12,FALSE)),VLOOKUP(Roster!N7,OfficerSkillsFull,14,FALSE),IF(VLOOKUP(Roster!L7,OfficerSkillsFull,11,FALSE) = VLOOKUP(Roster!N7,OfficerSkillsFull,11,FALSE),VLOOKUP(Roster!N7,OfficerSkillsFull,13,FALSE),0)),0) + IFERROR(VLOOKUP(Roster!N7,OfficerSkillsFull,10,FALSE),0) + IFERROR(IF(AND(VLOOKUP(Roster!P7,OfficerSkillsFull,11,FALSE) = VLOOKUP(Roster!N7,OfficerSkillsFull,11,FALSE), OR(VLOOKUP(Roster!P7,OfficerSkillsFull,12,FALSE) = VLOOKUP(Roster!N7,OfficerSkillsFull,12,FALSE),AND(VLOOKUP(Roster!P7,OfficerSkillsFull,11,FALSE) = VLOOKUP(Roster!N7,OfficerSkillsFull,11,FALSE),VLOOKUP(Roster!P7,OfficerSkillsFull,12,FALSE) = IFERROR(VLOOKUP(Roster!L7,OfficerSkillsFull,12,FALSE),0)))),VLOOKUP(Roster!N7,OfficerSkillsFull,14,FALSE),IF(VLOOKUP(Roster!P7,OfficerSkillsFull,11,FALSE) = VLOOKUP(Roster!N7,OfficerSkillsFull,11,FALSE),VLOOKUP(Roster!N7,OfficerSkillsFull,13,FALSE),0)),0),0)</f>
        <v>0</v>
      </c>
      <c r="E7" s="69">
        <f>IF(IFERROR(VLOOKUP(Roster!N7,OfficerSkillsFull,28,FALSE),0) = "Y",IFERROR(IF(AND(VLOOKUP(Roster!L7,OfficerSkillsFull,11,FALSE) = VLOOKUP(Roster!N7,OfficerSkillsFull,11,FALSE), VLOOKUP(Roster!L7,OfficerSkillsFull,12,FALSE) = VLOOKUP(Roster!N7,OfficerSkillsFull,12,FALSE)),VLOOKUP(Roster!N7,OfficerSkillsFull,14,FALSE),IF(VLOOKUP(Roster!L7,OfficerSkillsFull,11,FALSE) = VLOOKUP(Roster!N7,OfficerSkillsFull,11,FALSE),VLOOKUP(Roster!N7,OfficerSkillsFull,13,FALSE),0)),0) + IFERROR(VLOOKUP(Roster!N7,OfficerSkillsFull,10,FALSE),0) + IFERROR(IF(AND(VLOOKUP(Roster!P7,OfficerSkillsFull,11,FALSE) = VLOOKUP(Roster!N7,OfficerSkillsFull,11,FALSE), OR(VLOOKUP(Roster!P7,OfficerSkillsFull,12,FALSE) = VLOOKUP(Roster!N7,OfficerSkillsFull,12,FALSE),AND(VLOOKUP(Roster!P7,OfficerSkillsFull,11,FALSE) = VLOOKUP(Roster!N7,OfficerSkillsFull,11,FALSE),VLOOKUP(Roster!P7,OfficerSkillsFull,12,FALSE) = IFERROR(VLOOKUP(Roster!L7,OfficerSkillsFull,12,FALSE),0)))),VLOOKUP(Roster!N7,OfficerSkillsFull,14,FALSE),IF(VLOOKUP(Roster!P7,OfficerSkillsFull,11,FALSE) = VLOOKUP(Roster!N7,OfficerSkillsFull,11,FALSE),VLOOKUP(Roster!N7,OfficerSkillsFull,13,FALSE),0)),0),0)</f>
        <v>0</v>
      </c>
      <c r="F7" s="69"/>
    </row>
    <row r="8" spans="1:9" x14ac:dyDescent="0.25">
      <c r="A8" s="67" t="s">
        <v>673</v>
      </c>
      <c r="B8" s="69">
        <f>IFERROR(VLOOKUP(Roster!L7,OfficerSkillsFull,23,FALSE),0)+IFERROR(VLOOKUP(Roster!N7,OfficerSkillsFull,23,FALSE),0)+IFERROR(VLOOKUP(Roster!P7,OfficerSkillsFull,23,FALSE),0)</f>
        <v>0</v>
      </c>
      <c r="C8" s="69">
        <f>IFERROR(VLOOKUP(Roster!L7,OfficerSkillsFull,24,FALSE),0)+IFERROR(VLOOKUP(Roster!N7,OfficerSkillsFull,24,FALSE),0)+IFERROR(VLOOKUP(Roster!P7,OfficerSkillsFull,24,FALSE),0)</f>
        <v>0</v>
      </c>
      <c r="D8" s="69">
        <f>IF(IFERROR(VLOOKUP(Roster!N7,OfficerSkillsFull,29,FALSE),0) = "Y",IFERROR(IF(AND(VLOOKUP(Roster!L7,OfficerSkillsFull,11,FALSE) = VLOOKUP(Roster!N7,OfficerSkillsFull,11,FALSE), VLOOKUP(Roster!L7,OfficerSkillsFull,12,FALSE) = VLOOKUP(Roster!N7,OfficerSkillsFull,12,FALSE)),VLOOKUP(Roster!N7,OfficerSkillsFull,14,FALSE),IF(VLOOKUP(Roster!L7,OfficerSkillsFull,11,FALSE) = VLOOKUP(Roster!N7,OfficerSkillsFull,11,FALSE),VLOOKUP(Roster!N7,OfficerSkillsFull,13,FALSE),0)),0) + IFERROR(VLOOKUP(Roster!N7,OfficerSkillsFull,10,FALSE),0) + IFERROR(IF(AND(VLOOKUP(Roster!P7,OfficerSkillsFull,11,FALSE) = VLOOKUP(Roster!N7,OfficerSkillsFull,11,FALSE), OR(VLOOKUP(Roster!P7,OfficerSkillsFull,12,FALSE) = VLOOKUP(Roster!N7,OfficerSkillsFull,12,FALSE),AND(VLOOKUP(Roster!P7,OfficerSkillsFull,11,FALSE) = VLOOKUP(Roster!N7,OfficerSkillsFull,11,FALSE),VLOOKUP(Roster!P7,OfficerSkillsFull,12,FALSE) = IFERROR(VLOOKUP(Roster!L7,OfficerSkillsFull,12,FALSE),0)))),VLOOKUP(Roster!N7,OfficerSkillsFull,14,FALSE),IF(VLOOKUP(Roster!P7,OfficerSkillsFull,11,FALSE) = VLOOKUP(Roster!N7,OfficerSkillsFull,11,FALSE),VLOOKUP(Roster!N7,OfficerSkillsFull,13,FALSE),0)),0),0)</f>
        <v>0</v>
      </c>
      <c r="E8" s="69">
        <f>IF(IFERROR(VLOOKUP(Roster!N7,OfficerSkillsFull,30,FALSE),0) = "Y",IFERROR(IF(AND(VLOOKUP(Roster!L7,OfficerSkillsFull,11,FALSE) = VLOOKUP(Roster!N7,OfficerSkillsFull,11,FALSE), VLOOKUP(Roster!L7,OfficerSkillsFull,12,FALSE) = VLOOKUP(Roster!N7,OfficerSkillsFull,12,FALSE)),VLOOKUP(Roster!N7,OfficerSkillsFull,14,FALSE),IF(VLOOKUP(Roster!L7,OfficerSkillsFull,11,FALSE) = VLOOKUP(Roster!N7,OfficerSkillsFull,11,FALSE),VLOOKUP(Roster!N7,OfficerSkillsFull,13,FALSE),0)),0) + IFERROR(VLOOKUP(Roster!N7,OfficerSkillsFull,10,FALSE),0) + IFERROR(IF(AND(VLOOKUP(Roster!P7,OfficerSkillsFull,11,FALSE) = VLOOKUP(Roster!N7,OfficerSkillsFull,11,FALSE), OR(VLOOKUP(Roster!P7,OfficerSkillsFull,12,FALSE) = VLOOKUP(Roster!N7,OfficerSkillsFull,12,FALSE),AND(VLOOKUP(Roster!P7,OfficerSkillsFull,11,FALSE) = VLOOKUP(Roster!N7,OfficerSkillsFull,11,FALSE),VLOOKUP(Roster!P7,OfficerSkillsFull,12,FALSE) = IFERROR(VLOOKUP(Roster!L7,OfficerSkillsFull,12,FALSE),0)))),VLOOKUP(Roster!N7,OfficerSkillsFull,14,FALSE),IF(VLOOKUP(Roster!P7,OfficerSkillsFull,11,FALSE) = VLOOKUP(Roster!N7,OfficerSkillsFull,11,FALSE),VLOOKUP(Roster!N7,OfficerSkillsFull,13,FALSE),0)),0),0)</f>
        <v>0</v>
      </c>
      <c r="F8" s="69"/>
    </row>
    <row r="9" spans="1:9" x14ac:dyDescent="0.25">
      <c r="A9" s="67" t="s">
        <v>674</v>
      </c>
      <c r="B9" s="69">
        <f>IFERROR(VLOOKUP(Roster!L7,OfficerSkillsFull,25,FALSE),0)+IFERROR(VLOOKUP(Roster!N7,OfficerSkillsFull,25,FALSE),0)+IFERROR(VLOOKUP(Roster!P7,OfficerSkillsFull,25,FALSE),0)</f>
        <v>0</v>
      </c>
      <c r="C9" s="69">
        <f>IFERROR(VLOOKUP(Roster!L7,OfficerSkillsFull,26,FALSE),0)+IFERROR(VLOOKUP(Roster!N7,OfficerSkillsFull,26,FALSE),0)+IFERROR(VLOOKUP(Roster!P7,OfficerSkillsFull,26,FALSE),0)</f>
        <v>0</v>
      </c>
      <c r="D9" s="69">
        <f>IF(IFERROR(VLOOKUP(Roster!N7,OfficerSkillsFull,31,FALSE),0) = "Y",IFERROR(IF(AND(VLOOKUP(Roster!L7,OfficerSkillsFull,11,FALSE) = VLOOKUP(Roster!N7,OfficerSkillsFull,11,FALSE), VLOOKUP(Roster!L7,OfficerSkillsFull,12,FALSE) = VLOOKUP(Roster!N7,OfficerSkillsFull,12,FALSE)),VLOOKUP(Roster!N7,OfficerSkillsFull,14,FALSE),IF(VLOOKUP(Roster!L7,OfficerSkillsFull,11,FALSE) = VLOOKUP(Roster!N7,OfficerSkillsFull,11,FALSE),VLOOKUP(Roster!N7,OfficerSkillsFull,13,FALSE),0)),0) + IFERROR(VLOOKUP(Roster!N7,OfficerSkillsFull,10,FALSE),0) + IFERROR(IF(AND(VLOOKUP(Roster!P7,OfficerSkillsFull,11,FALSE) = VLOOKUP(Roster!N7,OfficerSkillsFull,11,FALSE), OR(VLOOKUP(Roster!P7,OfficerSkillsFull,12,FALSE) = VLOOKUP(Roster!N7,OfficerSkillsFull,12,FALSE),AND(VLOOKUP(Roster!P7,OfficerSkillsFull,11,FALSE) = VLOOKUP(Roster!N7,OfficerSkillsFull,11,FALSE),VLOOKUP(Roster!P7,OfficerSkillsFull,12,FALSE) = IFERROR(VLOOKUP(Roster!L7,OfficerSkillsFull,12,FALSE),0)))),VLOOKUP(Roster!N7,OfficerSkillsFull,14,FALSE),IF(VLOOKUP(Roster!P7,OfficerSkillsFull,11,FALSE) = VLOOKUP(Roster!N7,OfficerSkillsFull,11,FALSE),VLOOKUP(Roster!N7,OfficerSkillsFull,13,FALSE),0)),0),0)</f>
        <v>0</v>
      </c>
      <c r="E9" s="69">
        <f>IF(IFERROR(VLOOKUP(Roster!N7,OfficerSkillsFull,32,FALSE),0) = "Y",IFERROR(IF(AND(VLOOKUP(Roster!L7,OfficerSkillsFull,11,FALSE) = VLOOKUP(Roster!N7,OfficerSkillsFull,11,FALSE), VLOOKUP(Roster!L7,OfficerSkillsFull,12,FALSE) = VLOOKUP(Roster!N7,OfficerSkillsFull,12,FALSE)),VLOOKUP(Roster!N7,OfficerSkillsFull,14,FALSE),IF(VLOOKUP(Roster!L7,OfficerSkillsFull,11,FALSE) = VLOOKUP(Roster!N7,OfficerSkillsFull,11,FALSE),VLOOKUP(Roster!N7,OfficerSkillsFull,13,FALSE),0)),0) + IFERROR(VLOOKUP(Roster!N7,OfficerSkillsFull,10,FALSE),0) + IFERROR(IF(AND(VLOOKUP(Roster!P7,OfficerSkillsFull,11,FALSE) = VLOOKUP(Roster!N7,OfficerSkillsFull,11,FALSE), OR(VLOOKUP(Roster!P7,OfficerSkillsFull,12,FALSE) = VLOOKUP(Roster!N7,OfficerSkillsFull,12,FALSE),AND(VLOOKUP(Roster!P7,OfficerSkillsFull,11,FALSE) = VLOOKUP(Roster!N7,OfficerSkillsFull,11,FALSE),VLOOKUP(Roster!P7,OfficerSkillsFull,12,FALSE) = IFERROR(VLOOKUP(Roster!L7,OfficerSkillsFull,12,FALSE),0)))),VLOOKUP(Roster!N7,OfficerSkillsFull,14,FALSE),IF(VLOOKUP(Roster!P7,OfficerSkillsFull,11,FALSE) = VLOOKUP(Roster!N7,OfficerSkillsFull,11,FALSE),VLOOKUP(Roster!N7,OfficerSkillsFull,13,FALSE),0)),0),0)</f>
        <v>0</v>
      </c>
      <c r="F9" s="69"/>
    </row>
    <row r="10" spans="1:9" x14ac:dyDescent="0.25">
      <c r="A10" s="101" t="s">
        <v>694</v>
      </c>
      <c r="B10" s="107" t="s">
        <v>130</v>
      </c>
      <c r="C10" s="107" t="s">
        <v>671</v>
      </c>
      <c r="D10" s="107" t="s">
        <v>130</v>
      </c>
      <c r="E10" s="107" t="s">
        <v>671</v>
      </c>
      <c r="F10" s="462"/>
    </row>
    <row r="11" spans="1:9" x14ac:dyDescent="0.25">
      <c r="A11" s="67" t="s">
        <v>672</v>
      </c>
      <c r="B11" s="69">
        <f>IFERROR(VLOOKUP('All Docks'!C5,OfficerSkillsFull,21,FALSE),0)+IFERROR(VLOOKUP('All Docks'!E5,OfficerSkillsFull,21,FALSE),0)+IFERROR(VLOOKUP('All Docks'!G5,OfficerSkillsFull,21,FALSE),0)</f>
        <v>0</v>
      </c>
      <c r="C11" s="69">
        <f>IFERROR(VLOOKUP('All Docks'!C5,OfficerSkillsFull,22,FALSE),0)+IFERROR(VLOOKUP('All Docks'!E5,OfficerSkillsFull,22,FALSE),0)+IFERROR(VLOOKUP('All Docks'!G5,OfficerSkillsFull,22,FALSE),0)</f>
        <v>0</v>
      </c>
      <c r="D11" s="69">
        <f>IF(IFERROR(VLOOKUP('All Docks'!E5,OfficerSkillsFull,27,FALSE),0) = "Y",IFERROR(IF(AND(VLOOKUP('All Docks'!C5,OfficerSkillsFull,11,FALSE) = VLOOKUP('All Docks'!E5,OfficerSkillsFull,11,FALSE), VLOOKUP('All Docks'!C5,OfficerSkillsFull,12,FALSE) = VLOOKUP('All Docks'!E5,OfficerSkillsFull,12,FALSE)),VLOOKUP('All Docks'!E5,OfficerSkillsFull,14,FALSE),IF(VLOOKUP('All Docks'!C5,OfficerSkillsFull,11,FALSE) = VLOOKUP('All Docks'!E5,OfficerSkillsFull,11,FALSE),VLOOKUP('All Docks'!E5,OfficerSkillsFull,13,FALSE),0)),0) + IFERROR(VLOOKUP('All Docks'!E5,OfficerSkillsFull,10,FALSE),0) + IFERROR(IF(AND(VLOOKUP('All Docks'!G5,OfficerSkillsFull,11,FALSE) = VLOOKUP('All Docks'!E5,OfficerSkillsFull,11,FALSE), OR(VLOOKUP('All Docks'!G5,OfficerSkillsFull,12,FALSE) = VLOOKUP('All Docks'!E5,OfficerSkillsFull,12,FALSE),AND(VLOOKUP('All Docks'!G5,OfficerSkillsFull,11,FALSE) = VLOOKUP('All Docks'!E5,OfficerSkillsFull,11,FALSE),VLOOKUP('All Docks'!G5,OfficerSkillsFull,12,FALSE) = IFERROR(VLOOKUP('All Docks'!C5,OfficerSkillsFull,12,FALSE),0)))),VLOOKUP('All Docks'!E5,OfficerSkillsFull,14,FALSE),IF(VLOOKUP('All Docks'!G5,OfficerSkillsFull,11,FALSE) = VLOOKUP('All Docks'!E5,OfficerSkillsFull,11,FALSE),VLOOKUP('All Docks'!E5,OfficerSkillsFull,13,FALSE),0)),0),0)</f>
        <v>0</v>
      </c>
      <c r="E11" s="69">
        <f>IF(IFERROR(VLOOKUP('All Docks'!E5,OfficerSkillsFull,28,FALSE),0) = "Y",IFERROR(IF(AND(VLOOKUP('All Docks'!C5,OfficerSkillsFull,11,FALSE) = VLOOKUP('All Docks'!E5,OfficerSkillsFull,11,FALSE), VLOOKUP('All Docks'!C5,OfficerSkillsFull,12,FALSE) = VLOOKUP('All Docks'!E5,OfficerSkillsFull,12,FALSE)),VLOOKUP('All Docks'!E5,OfficerSkillsFull,14,FALSE),IF(VLOOKUP('All Docks'!C5,OfficerSkillsFull,11,FALSE) = VLOOKUP('All Docks'!E5,OfficerSkillsFull,11,FALSE),VLOOKUP('All Docks'!E5,OfficerSkillsFull,13,FALSE),0)),0) + IFERROR(VLOOKUP('All Docks'!E5,OfficerSkillsFull,10,FALSE),0) + IFERROR(IF(AND(VLOOKUP('All Docks'!G5,OfficerSkillsFull,11,FALSE) = VLOOKUP('All Docks'!E5,OfficerSkillsFull,11,FALSE), OR(VLOOKUP('All Docks'!G5,OfficerSkillsFull,12,FALSE) = VLOOKUP('All Docks'!E5,OfficerSkillsFull,12,FALSE),AND(VLOOKUP('All Docks'!G5,OfficerSkillsFull,11,FALSE) = VLOOKUP('All Docks'!E5,OfficerSkillsFull,11,FALSE),VLOOKUP('All Docks'!G5,OfficerSkillsFull,12,FALSE) = IFERROR(VLOOKUP('All Docks'!C5,OfficerSkillsFull,12,FALSE),0)))),VLOOKUP('All Docks'!E5,OfficerSkillsFull,14,FALSE),IF(VLOOKUP('All Docks'!G5,OfficerSkillsFull,11,FALSE) = VLOOKUP('All Docks'!E5,OfficerSkillsFull,11,FALSE),VLOOKUP('All Docks'!E5,OfficerSkillsFull,13,FALSE),0)),0),0)</f>
        <v>0</v>
      </c>
      <c r="F11" s="69"/>
    </row>
    <row r="12" spans="1:9" x14ac:dyDescent="0.25">
      <c r="A12" s="67" t="s">
        <v>673</v>
      </c>
      <c r="B12" s="69">
        <f>IFERROR(VLOOKUP('All Docks'!C5,OfficerSkillsFull,23,FALSE),0)+IFERROR(VLOOKUP('All Docks'!E5,OfficerSkillsFull,23,FALSE),0)+IFERROR(VLOOKUP('All Docks'!G5,OfficerSkillsFull,23,FALSE),0)</f>
        <v>0</v>
      </c>
      <c r="C12" s="69">
        <f>IFERROR(VLOOKUP('All Docks'!C5,OfficerSkillsFull,24,FALSE),0)+IFERROR(VLOOKUP('All Docks'!E5,OfficerSkillsFull,24,FALSE),0)+IFERROR(VLOOKUP('All Docks'!G5,OfficerSkillsFull,24,FALSE),0)</f>
        <v>0</v>
      </c>
      <c r="D12" s="69">
        <f>IF(IFERROR(VLOOKUP('All Docks'!E5,OfficerSkillsFull,29,FALSE),0) = "Y",IFERROR(IF(AND(VLOOKUP('All Docks'!C5,OfficerSkillsFull,11,FALSE) = VLOOKUP('All Docks'!E5,OfficerSkillsFull,11,FALSE), VLOOKUP('All Docks'!C5,OfficerSkillsFull,12,FALSE) = VLOOKUP('All Docks'!E5,OfficerSkillsFull,12,FALSE)),VLOOKUP('All Docks'!E5,OfficerSkillsFull,14,FALSE),IF(VLOOKUP('All Docks'!C5,OfficerSkillsFull,11,FALSE) = VLOOKUP('All Docks'!E5,OfficerSkillsFull,11,FALSE),VLOOKUP('All Docks'!E5,OfficerSkillsFull,13,FALSE),0)),0) + IFERROR(VLOOKUP('All Docks'!E5,OfficerSkillsFull,10,FALSE),0) + IFERROR(IF(AND(VLOOKUP('All Docks'!G5,OfficerSkillsFull,11,FALSE) = VLOOKUP('All Docks'!E5,OfficerSkillsFull,11,FALSE), OR(VLOOKUP('All Docks'!G5,OfficerSkillsFull,12,FALSE) = VLOOKUP('All Docks'!E5,OfficerSkillsFull,12,FALSE),AND(VLOOKUP('All Docks'!G5,OfficerSkillsFull,11,FALSE) = VLOOKUP('All Docks'!E5,OfficerSkillsFull,11,FALSE),VLOOKUP('All Docks'!G5,OfficerSkillsFull,12,FALSE) = IFERROR(VLOOKUP('All Docks'!C5,OfficerSkillsFull,12,FALSE),0)))),VLOOKUP('All Docks'!E5,OfficerSkillsFull,14,FALSE),IF(VLOOKUP('All Docks'!G5,OfficerSkillsFull,11,FALSE) = VLOOKUP('All Docks'!E5,OfficerSkillsFull,11,FALSE),VLOOKUP('All Docks'!E5,OfficerSkillsFull,13,FALSE),0)),0),0)</f>
        <v>0</v>
      </c>
      <c r="E12" s="69">
        <f>IF(IFERROR(VLOOKUP('All Docks'!E5,OfficerSkillsFull,30,FALSE),0) = "Y",IFERROR(IF(AND(VLOOKUP('All Docks'!C5,OfficerSkillsFull,11,FALSE) = VLOOKUP('All Docks'!E5,OfficerSkillsFull,11,FALSE), VLOOKUP('All Docks'!C5,OfficerSkillsFull,12,FALSE) = VLOOKUP('All Docks'!E5,OfficerSkillsFull,12,FALSE)),VLOOKUP('All Docks'!E5,OfficerSkillsFull,14,FALSE),IF(VLOOKUP('All Docks'!C5,OfficerSkillsFull,11,FALSE) = VLOOKUP('All Docks'!E5,OfficerSkillsFull,11,FALSE),VLOOKUP('All Docks'!E5,OfficerSkillsFull,13,FALSE),0)),0) + IFERROR(VLOOKUP('All Docks'!E5,OfficerSkillsFull,10,FALSE),0) + IFERROR(IF(AND(VLOOKUP('All Docks'!G5,OfficerSkillsFull,11,FALSE) = VLOOKUP('All Docks'!E5,OfficerSkillsFull,11,FALSE), OR(VLOOKUP('All Docks'!G5,OfficerSkillsFull,12,FALSE) = VLOOKUP('All Docks'!E5,OfficerSkillsFull,12,FALSE),AND(VLOOKUP('All Docks'!G5,OfficerSkillsFull,11,FALSE) = VLOOKUP('All Docks'!E5,OfficerSkillsFull,11,FALSE),VLOOKUP('All Docks'!G5,OfficerSkillsFull,12,FALSE) = IFERROR(VLOOKUP('All Docks'!C5,OfficerSkillsFull,12,FALSE),0)))),VLOOKUP('All Docks'!E5,OfficerSkillsFull,14,FALSE),IF(VLOOKUP('All Docks'!G5,OfficerSkillsFull,11,FALSE) = VLOOKUP('All Docks'!E5,OfficerSkillsFull,11,FALSE),VLOOKUP('All Docks'!E5,OfficerSkillsFull,13,FALSE),0)),0),0)</f>
        <v>0</v>
      </c>
      <c r="F12" s="69"/>
    </row>
    <row r="13" spans="1:9" x14ac:dyDescent="0.25">
      <c r="A13" s="67" t="s">
        <v>674</v>
      </c>
      <c r="B13" s="69">
        <f>IFERROR(VLOOKUP('All Docks'!C5,OfficerSkillsFull,25,FALSE),0)+IFERROR(VLOOKUP('All Docks'!E5,OfficerSkillsFull,25,FALSE),0)+IFERROR(VLOOKUP('All Docks'!G5,OfficerSkillsFull,25,FALSE),0)</f>
        <v>0</v>
      </c>
      <c r="C13" s="69">
        <f>IFERROR(VLOOKUP('All Docks'!C5,OfficerSkillsFull,26,FALSE),0)+IFERROR(VLOOKUP('All Docks'!E5,OfficerSkillsFull,26,FALSE),0)+IFERROR(VLOOKUP('All Docks'!G5,OfficerSkillsFull,26,FALSE),0)</f>
        <v>0</v>
      </c>
      <c r="D13" s="69">
        <f>IF(IFERROR(VLOOKUP('All Docks'!E5,OfficerSkillsFull,31,FALSE),0) = "Y",IFERROR(IF(AND(VLOOKUP('All Docks'!C5,OfficerSkillsFull,11,FALSE) = VLOOKUP('All Docks'!E5,OfficerSkillsFull,11,FALSE), VLOOKUP('All Docks'!C5,OfficerSkillsFull,12,FALSE) = VLOOKUP('All Docks'!E5,OfficerSkillsFull,12,FALSE)),VLOOKUP('All Docks'!E5,OfficerSkillsFull,14,FALSE),IF(VLOOKUP('All Docks'!C5,OfficerSkillsFull,11,FALSE) = VLOOKUP('All Docks'!E5,OfficerSkillsFull,11,FALSE),VLOOKUP('All Docks'!E5,OfficerSkillsFull,13,FALSE),0)),0) + IFERROR(VLOOKUP('All Docks'!E5,OfficerSkillsFull,10,FALSE),0) + IFERROR(IF(AND(VLOOKUP('All Docks'!G5,OfficerSkillsFull,11,FALSE) = VLOOKUP('All Docks'!E5,OfficerSkillsFull,11,FALSE), OR(VLOOKUP('All Docks'!G5,OfficerSkillsFull,12,FALSE) = VLOOKUP('All Docks'!E5,OfficerSkillsFull,12,FALSE),AND(VLOOKUP('All Docks'!G5,OfficerSkillsFull,11,FALSE) = VLOOKUP('All Docks'!E5,OfficerSkillsFull,11,FALSE),VLOOKUP('All Docks'!G5,OfficerSkillsFull,12,FALSE) = IFERROR(VLOOKUP('All Docks'!C5,OfficerSkillsFull,12,FALSE),0)))),VLOOKUP('All Docks'!E5,OfficerSkillsFull,14,FALSE),IF(VLOOKUP('All Docks'!G5,OfficerSkillsFull,11,FALSE) = VLOOKUP('All Docks'!E5,OfficerSkillsFull,11,FALSE),VLOOKUP('All Docks'!E5,OfficerSkillsFull,13,FALSE),0)),0),0)</f>
        <v>0</v>
      </c>
      <c r="E13" s="69">
        <f>IF(IFERROR(VLOOKUP('All Docks'!E5,OfficerSkillsFull,32,FALSE),0) = "Y",IFERROR(IF(AND(VLOOKUP('All Docks'!C5,OfficerSkillsFull,11,FALSE) = VLOOKUP('All Docks'!E5,OfficerSkillsFull,11,FALSE), VLOOKUP('All Docks'!C5,OfficerSkillsFull,12,FALSE) = VLOOKUP('All Docks'!E5,OfficerSkillsFull,12,FALSE)),VLOOKUP('All Docks'!E5,OfficerSkillsFull,14,FALSE),IF(VLOOKUP('All Docks'!C5,OfficerSkillsFull,11,FALSE) = VLOOKUP('All Docks'!E5,OfficerSkillsFull,11,FALSE),VLOOKUP('All Docks'!E5,OfficerSkillsFull,13,FALSE),0)),0) + IFERROR(VLOOKUP('All Docks'!E5,OfficerSkillsFull,10,FALSE),0) + IFERROR(IF(AND(VLOOKUP('All Docks'!G5,OfficerSkillsFull,11,FALSE) = VLOOKUP('All Docks'!E5,OfficerSkillsFull,11,FALSE), OR(VLOOKUP('All Docks'!G5,OfficerSkillsFull,12,FALSE) = VLOOKUP('All Docks'!E5,OfficerSkillsFull,12,FALSE),AND(VLOOKUP('All Docks'!G5,OfficerSkillsFull,11,FALSE) = VLOOKUP('All Docks'!E5,OfficerSkillsFull,11,FALSE),VLOOKUP('All Docks'!G5,OfficerSkillsFull,12,FALSE) = IFERROR(VLOOKUP('All Docks'!C5,OfficerSkillsFull,12,FALSE),0)))),VLOOKUP('All Docks'!E5,OfficerSkillsFull,14,FALSE),IF(VLOOKUP('All Docks'!G5,OfficerSkillsFull,11,FALSE) = VLOOKUP('All Docks'!E5,OfficerSkillsFull,11,FALSE),VLOOKUP('All Docks'!E5,OfficerSkillsFull,13,FALSE),0)),0),0)</f>
        <v>0</v>
      </c>
      <c r="F13" s="69"/>
    </row>
    <row r="14" spans="1:9" x14ac:dyDescent="0.25">
      <c r="A14" s="101" t="s">
        <v>720</v>
      </c>
      <c r="B14" s="107" t="s">
        <v>130</v>
      </c>
      <c r="C14" s="107" t="s">
        <v>671</v>
      </c>
      <c r="D14" s="107" t="s">
        <v>130</v>
      </c>
      <c r="E14" s="107" t="s">
        <v>671</v>
      </c>
      <c r="F14" s="462"/>
    </row>
    <row r="15" spans="1:9" x14ac:dyDescent="0.25">
      <c r="A15" s="67" t="s">
        <v>672</v>
      </c>
      <c r="B15" s="69">
        <f>IFERROR(VLOOKUP('All Docks'!C14,OfficerSkillsFull,21,FALSE),0)+IFERROR(VLOOKUP('All Docks'!E14,OfficerSkillsFull,21,FALSE),0)+IFERROR(VLOOKUP('All Docks'!G14,OfficerSkillsFull,21,FALSE),0)</f>
        <v>0</v>
      </c>
      <c r="C15" s="69">
        <f>IFERROR(VLOOKUP('All Docks'!C14,OfficerSkillsFull,22,FALSE),0)+IFERROR(VLOOKUP('All Docks'!E14,OfficerSkillsFull,22,FALSE),0)+IFERROR(VLOOKUP('All Docks'!G14,OfficerSkillsFull,22,FALSE),0)</f>
        <v>0</v>
      </c>
      <c r="D15" s="69">
        <f>IF(IFERROR(VLOOKUP('All Docks'!E14,OfficerSkillsFull,27,FALSE),0) = "Y",IFERROR(IF(AND(VLOOKUP('All Docks'!C14,OfficerSkillsFull,11,FALSE) = VLOOKUP('All Docks'!E14,OfficerSkillsFull,11,FALSE), VLOOKUP('All Docks'!C14,OfficerSkillsFull,12,FALSE) = VLOOKUP('All Docks'!E14,OfficerSkillsFull,12,FALSE)),VLOOKUP('All Docks'!E14,OfficerSkillsFull,14,FALSE),IF(VLOOKUP('All Docks'!C14,OfficerSkillsFull,11,FALSE) = VLOOKUP('All Docks'!E14,OfficerSkillsFull,11,FALSE),VLOOKUP('All Docks'!E14,OfficerSkillsFull,13,FALSE),0)),0) + IFERROR(VLOOKUP('All Docks'!E14,OfficerSkillsFull,10,FALSE),0) + IFERROR(IF(AND(VLOOKUP('All Docks'!G14,OfficerSkillsFull,11,FALSE) = VLOOKUP('All Docks'!E14,OfficerSkillsFull,11,FALSE), OR(VLOOKUP('All Docks'!G14,OfficerSkillsFull,12,FALSE) = VLOOKUP('All Docks'!E14,OfficerSkillsFull,12,FALSE),AND(VLOOKUP('All Docks'!G14,OfficerSkillsFull,11,FALSE) = VLOOKUP('All Docks'!E14,OfficerSkillsFull,11,FALSE),VLOOKUP('All Docks'!G14,OfficerSkillsFull,12,FALSE) = IFERROR(VLOOKUP('All Docks'!C14,OfficerSkillsFull,12,FALSE),0)))),VLOOKUP('All Docks'!E14,OfficerSkillsFull,14,FALSE),IF(VLOOKUP('All Docks'!G14,OfficerSkillsFull,11,FALSE) = VLOOKUP('All Docks'!E14,OfficerSkillsFull,11,FALSE),VLOOKUP('All Docks'!E14,OfficerSkillsFull,13,FALSE),0)),0),0)</f>
        <v>0</v>
      </c>
      <c r="E15" s="69">
        <f>IF(IFERROR(VLOOKUP('All Docks'!E14,OfficerSkillsFull,28,FALSE),0) = "Y",IFERROR(IF(AND(VLOOKUP('All Docks'!C14,OfficerSkillsFull,11,FALSE) = VLOOKUP('All Docks'!E14,OfficerSkillsFull,11,FALSE), VLOOKUP('All Docks'!C14,OfficerSkillsFull,12,FALSE) = VLOOKUP('All Docks'!E14,OfficerSkillsFull,12,FALSE)),VLOOKUP('All Docks'!E14,OfficerSkillsFull,14,FALSE),IF(VLOOKUP('All Docks'!C14,OfficerSkillsFull,11,FALSE) = VLOOKUP('All Docks'!E14,OfficerSkillsFull,11,FALSE),VLOOKUP('All Docks'!E14,OfficerSkillsFull,13,FALSE),0)),0) + IFERROR(VLOOKUP('All Docks'!E14,OfficerSkillsFull,10,FALSE),0) + IFERROR(IF(AND(VLOOKUP('All Docks'!G14,OfficerSkillsFull,11,FALSE) = VLOOKUP('All Docks'!E14,OfficerSkillsFull,11,FALSE), OR(VLOOKUP('All Docks'!G14,OfficerSkillsFull,12,FALSE) = VLOOKUP('All Docks'!E14,OfficerSkillsFull,12,FALSE),AND(VLOOKUP('All Docks'!G14,OfficerSkillsFull,11,FALSE) = VLOOKUP('All Docks'!E14,OfficerSkillsFull,11,FALSE),VLOOKUP('All Docks'!G14,OfficerSkillsFull,12,FALSE) = IFERROR(VLOOKUP('All Docks'!C14,OfficerSkillsFull,12,FALSE),0)))),VLOOKUP('All Docks'!E14,OfficerSkillsFull,14,FALSE),IF(VLOOKUP('All Docks'!G14,OfficerSkillsFull,11,FALSE) = VLOOKUP('All Docks'!E14,OfficerSkillsFull,11,FALSE),VLOOKUP('All Docks'!E14,OfficerSkillsFull,13,FALSE),0)),0),0)</f>
        <v>0</v>
      </c>
      <c r="F15" s="69"/>
    </row>
    <row r="16" spans="1:9" x14ac:dyDescent="0.25">
      <c r="A16" s="67" t="s">
        <v>673</v>
      </c>
      <c r="B16" s="69">
        <f>IFERROR(VLOOKUP('All Docks'!C14,OfficerSkillsFull,23,FALSE),0)+IFERROR(VLOOKUP('All Docks'!E14,OfficerSkillsFull,23,FALSE),0)+IFERROR(VLOOKUP('All Docks'!G14,OfficerSkillsFull,23,FALSE),0)</f>
        <v>0</v>
      </c>
      <c r="C16" s="69">
        <f>IFERROR(VLOOKUP('All Docks'!C14,OfficerSkillsFull,24,FALSE),0)+IFERROR(VLOOKUP('All Docks'!E14,OfficerSkillsFull,24,FALSE),0)+IFERROR(VLOOKUP('All Docks'!G14,OfficerSkillsFull,24,FALSE),0)</f>
        <v>0</v>
      </c>
      <c r="D16" s="69">
        <f>IF(IFERROR(VLOOKUP('All Docks'!E14,OfficerSkillsFull,29,FALSE),0) = "Y",IFERROR(IF(AND(VLOOKUP('All Docks'!C14,OfficerSkillsFull,11,FALSE) = VLOOKUP('All Docks'!E14,OfficerSkillsFull,11,FALSE), VLOOKUP('All Docks'!C14,OfficerSkillsFull,12,FALSE) = VLOOKUP('All Docks'!E14,OfficerSkillsFull,12,FALSE)),VLOOKUP('All Docks'!E14,OfficerSkillsFull,14,FALSE),IF(VLOOKUP('All Docks'!C14,OfficerSkillsFull,11,FALSE) = VLOOKUP('All Docks'!E14,OfficerSkillsFull,11,FALSE),VLOOKUP('All Docks'!E14,OfficerSkillsFull,13,FALSE),0)),0) + IFERROR(VLOOKUP('All Docks'!E14,OfficerSkillsFull,10,FALSE),0) + IFERROR(IF(AND(VLOOKUP('All Docks'!G14,OfficerSkillsFull,11,FALSE) = VLOOKUP('All Docks'!E14,OfficerSkillsFull,11,FALSE), OR(VLOOKUP('All Docks'!G14,OfficerSkillsFull,12,FALSE) = VLOOKUP('All Docks'!E14,OfficerSkillsFull,12,FALSE),AND(VLOOKUP('All Docks'!G14,OfficerSkillsFull,11,FALSE) = VLOOKUP('All Docks'!E14,OfficerSkillsFull,11,FALSE),VLOOKUP('All Docks'!G14,OfficerSkillsFull,12,FALSE) = IFERROR(VLOOKUP('All Docks'!C14,OfficerSkillsFull,12,FALSE),0)))),VLOOKUP('All Docks'!E14,OfficerSkillsFull,14,FALSE),IF(VLOOKUP('All Docks'!G14,OfficerSkillsFull,11,FALSE) = VLOOKUP('All Docks'!E14,OfficerSkillsFull,11,FALSE),VLOOKUP('All Docks'!E14,OfficerSkillsFull,13,FALSE),0)),0),0)</f>
        <v>0</v>
      </c>
      <c r="E16" s="69">
        <f>IF(IFERROR(VLOOKUP('All Docks'!E14,OfficerSkillsFull,30,FALSE),0) = "Y",IFERROR(IF(AND(VLOOKUP('All Docks'!C14,OfficerSkillsFull,11,FALSE) = VLOOKUP('All Docks'!E14,OfficerSkillsFull,11,FALSE), VLOOKUP('All Docks'!C14,OfficerSkillsFull,12,FALSE) = VLOOKUP('All Docks'!E14,OfficerSkillsFull,12,FALSE)),VLOOKUP('All Docks'!E14,OfficerSkillsFull,14,FALSE),IF(VLOOKUP('All Docks'!C14,OfficerSkillsFull,11,FALSE) = VLOOKUP('All Docks'!E14,OfficerSkillsFull,11,FALSE),VLOOKUP('All Docks'!E14,OfficerSkillsFull,13,FALSE),0)),0) + IFERROR(VLOOKUP('All Docks'!E14,OfficerSkillsFull,10,FALSE),0) + IFERROR(IF(AND(VLOOKUP('All Docks'!G14,OfficerSkillsFull,11,FALSE) = VLOOKUP('All Docks'!E14,OfficerSkillsFull,11,FALSE), OR(VLOOKUP('All Docks'!G14,OfficerSkillsFull,12,FALSE) = VLOOKUP('All Docks'!E14,OfficerSkillsFull,12,FALSE),AND(VLOOKUP('All Docks'!G14,OfficerSkillsFull,11,FALSE) = VLOOKUP('All Docks'!E14,OfficerSkillsFull,11,FALSE),VLOOKUP('All Docks'!G14,OfficerSkillsFull,12,FALSE) = IFERROR(VLOOKUP('All Docks'!C14,OfficerSkillsFull,12,FALSE),0)))),VLOOKUP('All Docks'!E14,OfficerSkillsFull,14,FALSE),IF(VLOOKUP('All Docks'!G14,OfficerSkillsFull,11,FALSE) = VLOOKUP('All Docks'!E14,OfficerSkillsFull,11,FALSE),VLOOKUP('All Docks'!E14,OfficerSkillsFull,13,FALSE),0)),0),0)</f>
        <v>0</v>
      </c>
      <c r="F16" s="69"/>
    </row>
    <row r="17" spans="1:6" x14ac:dyDescent="0.25">
      <c r="A17" s="67" t="s">
        <v>674</v>
      </c>
      <c r="B17" s="69">
        <f>IFERROR(VLOOKUP('All Docks'!C14,OfficerSkillsFull,25,FALSE),0)+IFERROR(VLOOKUP('All Docks'!E14,OfficerSkillsFull,25,FALSE),0)+IFERROR(VLOOKUP('All Docks'!G14,OfficerSkillsFull,25,FALSE),0)</f>
        <v>0</v>
      </c>
      <c r="C17" s="69">
        <f>IFERROR(VLOOKUP('All Docks'!C14,OfficerSkillsFull,26,FALSE),0)+IFERROR(VLOOKUP('All Docks'!E14,OfficerSkillsFull,26,FALSE),0)+IFERROR(VLOOKUP('All Docks'!G14,OfficerSkillsFull,26,FALSE),0)</f>
        <v>0</v>
      </c>
      <c r="D17" s="69">
        <f>IF(IFERROR(VLOOKUP('All Docks'!E14,OfficerSkillsFull,31,FALSE),0) = "Y",IFERROR(IF(AND(VLOOKUP('All Docks'!C14,OfficerSkillsFull,11,FALSE) = VLOOKUP('All Docks'!E14,OfficerSkillsFull,11,FALSE), VLOOKUP('All Docks'!C14,OfficerSkillsFull,12,FALSE) = VLOOKUP('All Docks'!E14,OfficerSkillsFull,12,FALSE)),VLOOKUP('All Docks'!E14,OfficerSkillsFull,14,FALSE),IF(VLOOKUP('All Docks'!C14,OfficerSkillsFull,11,FALSE) = VLOOKUP('All Docks'!E14,OfficerSkillsFull,11,FALSE),VLOOKUP('All Docks'!E14,OfficerSkillsFull,13,FALSE),0)),0) + IFERROR(VLOOKUP('All Docks'!E14,OfficerSkillsFull,10,FALSE),0) + IFERROR(IF(AND(VLOOKUP('All Docks'!G14,OfficerSkillsFull,11,FALSE) = VLOOKUP('All Docks'!E14,OfficerSkillsFull,11,FALSE), OR(VLOOKUP('All Docks'!G14,OfficerSkillsFull,12,FALSE) = VLOOKUP('All Docks'!E14,OfficerSkillsFull,12,FALSE),AND(VLOOKUP('All Docks'!G14,OfficerSkillsFull,11,FALSE) = VLOOKUP('All Docks'!E14,OfficerSkillsFull,11,FALSE),VLOOKUP('All Docks'!G14,OfficerSkillsFull,12,FALSE) = IFERROR(VLOOKUP('All Docks'!C14,OfficerSkillsFull,12,FALSE),0)))),VLOOKUP('All Docks'!E14,OfficerSkillsFull,14,FALSE),IF(VLOOKUP('All Docks'!G14,OfficerSkillsFull,11,FALSE) = VLOOKUP('All Docks'!E14,OfficerSkillsFull,11,FALSE),VLOOKUP('All Docks'!E14,OfficerSkillsFull,13,FALSE),0)),0),0)</f>
        <v>0</v>
      </c>
      <c r="E17" s="69">
        <f>IF(IFERROR(VLOOKUP('All Docks'!E14,OfficerSkillsFull,32,FALSE),0) = "Y",IFERROR(IF(AND(VLOOKUP('All Docks'!C14,OfficerSkillsFull,11,FALSE) = VLOOKUP('All Docks'!E14,OfficerSkillsFull,11,FALSE), VLOOKUP('All Docks'!C14,OfficerSkillsFull,12,FALSE) = VLOOKUP('All Docks'!E14,OfficerSkillsFull,12,FALSE)),VLOOKUP('All Docks'!E14,OfficerSkillsFull,14,FALSE),IF(VLOOKUP('All Docks'!C14,OfficerSkillsFull,11,FALSE) = VLOOKUP('All Docks'!E14,OfficerSkillsFull,11,FALSE),VLOOKUP('All Docks'!E14,OfficerSkillsFull,13,FALSE),0)),0) + IFERROR(VLOOKUP('All Docks'!E14,OfficerSkillsFull,10,FALSE),0) + IFERROR(IF(AND(VLOOKUP('All Docks'!G14,OfficerSkillsFull,11,FALSE) = VLOOKUP('All Docks'!E14,OfficerSkillsFull,11,FALSE), OR(VLOOKUP('All Docks'!G14,OfficerSkillsFull,12,FALSE) = VLOOKUP('All Docks'!E14,OfficerSkillsFull,12,FALSE),AND(VLOOKUP('All Docks'!G14,OfficerSkillsFull,11,FALSE) = VLOOKUP('All Docks'!E14,OfficerSkillsFull,11,FALSE),VLOOKUP('All Docks'!G14,OfficerSkillsFull,12,FALSE) = IFERROR(VLOOKUP('All Docks'!C14,OfficerSkillsFull,12,FALSE),0)))),VLOOKUP('All Docks'!E14,OfficerSkillsFull,14,FALSE),IF(VLOOKUP('All Docks'!G14,OfficerSkillsFull,11,FALSE) = VLOOKUP('All Docks'!E14,OfficerSkillsFull,11,FALSE),VLOOKUP('All Docks'!E14,OfficerSkillsFull,13,FALSE),0)),0),0)</f>
        <v>0</v>
      </c>
      <c r="F17" s="69"/>
    </row>
    <row r="18" spans="1:6" x14ac:dyDescent="0.25">
      <c r="A18" s="101" t="s">
        <v>719</v>
      </c>
      <c r="B18" s="107" t="s">
        <v>130</v>
      </c>
      <c r="C18" s="107" t="s">
        <v>671</v>
      </c>
      <c r="D18" s="107" t="s">
        <v>130</v>
      </c>
      <c r="E18" s="107" t="s">
        <v>671</v>
      </c>
      <c r="F18" s="462"/>
    </row>
    <row r="19" spans="1:6" x14ac:dyDescent="0.25">
      <c r="A19" s="67" t="s">
        <v>672</v>
      </c>
      <c r="B19" s="69">
        <f>IFERROR(VLOOKUP('All Docks'!C23,OfficerSkillsFull,21,FALSE),0)+IFERROR(VLOOKUP('All Docks'!E23,OfficerSkillsFull,21,FALSE),0)+IFERROR(VLOOKUP('All Docks'!G23,OfficerSkillsFull,21,FALSE),0)</f>
        <v>0</v>
      </c>
      <c r="C19" s="69">
        <f>IFERROR(VLOOKUP('All Docks'!C23,OfficerSkillsFull,22,FALSE),0)+IFERROR(VLOOKUP('All Docks'!E23,OfficerSkillsFull,22,FALSE),0)+IFERROR(VLOOKUP('All Docks'!G23,OfficerSkillsFull,22,FALSE),0)</f>
        <v>0</v>
      </c>
      <c r="D19" s="69">
        <f>IF(IFERROR(VLOOKUP('All Docks'!E23,OfficerSkillsFull,27,FALSE),0) = "Y",IFERROR(IF(AND(VLOOKUP('All Docks'!C23,OfficerSkillsFull,11,FALSE) = VLOOKUP('All Docks'!E23,OfficerSkillsFull,11,FALSE), VLOOKUP('All Docks'!C23,OfficerSkillsFull,12,FALSE) = VLOOKUP('All Docks'!E23,OfficerSkillsFull,12,FALSE)),VLOOKUP('All Docks'!E23,OfficerSkillsFull,14,FALSE),IF(VLOOKUP('All Docks'!C23,OfficerSkillsFull,11,FALSE) = VLOOKUP('All Docks'!E23,OfficerSkillsFull,11,FALSE),VLOOKUP('All Docks'!E23,OfficerSkillsFull,13,FALSE),0)),0) + IFERROR(VLOOKUP('All Docks'!E23,OfficerSkillsFull,10,FALSE),0) + IFERROR(IF(AND(VLOOKUP('All Docks'!G23,OfficerSkillsFull,11,FALSE) = VLOOKUP('All Docks'!E23,OfficerSkillsFull,11,FALSE), OR(VLOOKUP('All Docks'!G23,OfficerSkillsFull,12,FALSE) = VLOOKUP('All Docks'!E23,OfficerSkillsFull,12,FALSE),AND(VLOOKUP('All Docks'!G23,OfficerSkillsFull,11,FALSE) = VLOOKUP('All Docks'!E23,OfficerSkillsFull,11,FALSE),VLOOKUP('All Docks'!G23,OfficerSkillsFull,12,FALSE) = IFERROR(VLOOKUP('All Docks'!C23,OfficerSkillsFull,12,FALSE),0)))),VLOOKUP('All Docks'!E23,OfficerSkillsFull,14,FALSE),IF(VLOOKUP('All Docks'!G23,OfficerSkillsFull,11,FALSE) = VLOOKUP('All Docks'!E23,OfficerSkillsFull,11,FALSE),VLOOKUP('All Docks'!E23,OfficerSkillsFull,13,FALSE),0)),0),0)</f>
        <v>0</v>
      </c>
      <c r="E19" s="69">
        <f>IF(IFERROR(VLOOKUP('All Docks'!E23,OfficerSkillsFull,28,FALSE),0) = "Y",IFERROR(IF(AND(VLOOKUP('All Docks'!C23,OfficerSkillsFull,11,FALSE) = VLOOKUP('All Docks'!E23,OfficerSkillsFull,11,FALSE), VLOOKUP('All Docks'!C23,OfficerSkillsFull,12,FALSE) = VLOOKUP('All Docks'!E23,OfficerSkillsFull,12,FALSE)),VLOOKUP('All Docks'!E23,OfficerSkillsFull,14,FALSE),IF(VLOOKUP('All Docks'!C23,OfficerSkillsFull,11,FALSE) = VLOOKUP('All Docks'!E23,OfficerSkillsFull,11,FALSE),VLOOKUP('All Docks'!E23,OfficerSkillsFull,13,FALSE),0)),0) + IFERROR(VLOOKUP('All Docks'!E23,OfficerSkillsFull,10,FALSE),0) + IFERROR(IF(AND(VLOOKUP('All Docks'!G23,OfficerSkillsFull,11,FALSE) = VLOOKUP('All Docks'!E23,OfficerSkillsFull,11,FALSE), OR(VLOOKUP('All Docks'!G23,OfficerSkillsFull,12,FALSE) = VLOOKUP('All Docks'!E23,OfficerSkillsFull,12,FALSE),AND(VLOOKUP('All Docks'!G23,OfficerSkillsFull,11,FALSE) = VLOOKUP('All Docks'!E23,OfficerSkillsFull,11,FALSE),VLOOKUP('All Docks'!G23,OfficerSkillsFull,12,FALSE) = IFERROR(VLOOKUP('All Docks'!C23,OfficerSkillsFull,12,FALSE),0)))),VLOOKUP('All Docks'!E23,OfficerSkillsFull,14,FALSE),IF(VLOOKUP('All Docks'!G23,OfficerSkillsFull,11,FALSE) = VLOOKUP('All Docks'!E23,OfficerSkillsFull,11,FALSE),VLOOKUP('All Docks'!E23,OfficerSkillsFull,13,FALSE),0)),0),0)</f>
        <v>0</v>
      </c>
      <c r="F19" s="69"/>
    </row>
    <row r="20" spans="1:6" x14ac:dyDescent="0.25">
      <c r="A20" s="67" t="s">
        <v>673</v>
      </c>
      <c r="B20" s="69">
        <f>IFERROR(VLOOKUP('All Docks'!C23,OfficerSkillsFull,23,FALSE),0)+IFERROR(VLOOKUP('All Docks'!E23,OfficerSkillsFull,23,FALSE),0)+IFERROR(VLOOKUP('All Docks'!G23,OfficerSkillsFull,23,FALSE),0)</f>
        <v>0</v>
      </c>
      <c r="C20" s="69">
        <f>IFERROR(VLOOKUP('All Docks'!C23,OfficerSkillsFull,24,FALSE),0)+IFERROR(VLOOKUP('All Docks'!E23,OfficerSkillsFull,24,FALSE),0)+IFERROR(VLOOKUP('All Docks'!G23,OfficerSkillsFull,24,FALSE),0)</f>
        <v>0</v>
      </c>
      <c r="D20" s="69">
        <f>IF(IFERROR(VLOOKUP('All Docks'!E23,OfficerSkillsFull,29,FALSE),0) = "Y",IFERROR(IF(AND(VLOOKUP('All Docks'!C23,OfficerSkillsFull,11,FALSE) = VLOOKUP('All Docks'!E23,OfficerSkillsFull,11,FALSE), VLOOKUP('All Docks'!C23,OfficerSkillsFull,12,FALSE) = VLOOKUP('All Docks'!E23,OfficerSkillsFull,12,FALSE)),VLOOKUP('All Docks'!E23,OfficerSkillsFull,14,FALSE),IF(VLOOKUP('All Docks'!C23,OfficerSkillsFull,11,FALSE) = VLOOKUP('All Docks'!E23,OfficerSkillsFull,11,FALSE),VLOOKUP('All Docks'!E23,OfficerSkillsFull,13,FALSE),0)),0) + IFERROR(VLOOKUP('All Docks'!E23,OfficerSkillsFull,10,FALSE),0) + IFERROR(IF(AND(VLOOKUP('All Docks'!G23,OfficerSkillsFull,11,FALSE) = VLOOKUP('All Docks'!E23,OfficerSkillsFull,11,FALSE), OR(VLOOKUP('All Docks'!G23,OfficerSkillsFull,12,FALSE) = VLOOKUP('All Docks'!E23,OfficerSkillsFull,12,FALSE),AND(VLOOKUP('All Docks'!G23,OfficerSkillsFull,11,FALSE) = VLOOKUP('All Docks'!E23,OfficerSkillsFull,11,FALSE),VLOOKUP('All Docks'!G23,OfficerSkillsFull,12,FALSE) = IFERROR(VLOOKUP('All Docks'!C23,OfficerSkillsFull,12,FALSE),0)))),VLOOKUP('All Docks'!E23,OfficerSkillsFull,14,FALSE),IF(VLOOKUP('All Docks'!G23,OfficerSkillsFull,11,FALSE) = VLOOKUP('All Docks'!E23,OfficerSkillsFull,11,FALSE),VLOOKUP('All Docks'!E23,OfficerSkillsFull,13,FALSE),0)),0),0)</f>
        <v>0</v>
      </c>
      <c r="E20" s="69">
        <f>IF(IFERROR(VLOOKUP('All Docks'!E23,OfficerSkillsFull,30,FALSE),0) = "Y",IFERROR(IF(AND(VLOOKUP('All Docks'!C23,OfficerSkillsFull,11,FALSE) = VLOOKUP('All Docks'!E23,OfficerSkillsFull,11,FALSE), VLOOKUP('All Docks'!C23,OfficerSkillsFull,12,FALSE) = VLOOKUP('All Docks'!E23,OfficerSkillsFull,12,FALSE)),VLOOKUP('All Docks'!E23,OfficerSkillsFull,14,FALSE),IF(VLOOKUP('All Docks'!C23,OfficerSkillsFull,11,FALSE) = VLOOKUP('All Docks'!E23,OfficerSkillsFull,11,FALSE),VLOOKUP('All Docks'!E23,OfficerSkillsFull,13,FALSE),0)),0) + IFERROR(VLOOKUP('All Docks'!E23,OfficerSkillsFull,10,FALSE),0) + IFERROR(IF(AND(VLOOKUP('All Docks'!G23,OfficerSkillsFull,11,FALSE) = VLOOKUP('All Docks'!E23,OfficerSkillsFull,11,FALSE), OR(VLOOKUP('All Docks'!G23,OfficerSkillsFull,12,FALSE) = VLOOKUP('All Docks'!E23,OfficerSkillsFull,12,FALSE),AND(VLOOKUP('All Docks'!G23,OfficerSkillsFull,11,FALSE) = VLOOKUP('All Docks'!E23,OfficerSkillsFull,11,FALSE),VLOOKUP('All Docks'!G23,OfficerSkillsFull,12,FALSE) = IFERROR(VLOOKUP('All Docks'!C23,OfficerSkillsFull,12,FALSE),0)))),VLOOKUP('All Docks'!E23,OfficerSkillsFull,14,FALSE),IF(VLOOKUP('All Docks'!G23,OfficerSkillsFull,11,FALSE) = VLOOKUP('All Docks'!E23,OfficerSkillsFull,11,FALSE),VLOOKUP('All Docks'!E23,OfficerSkillsFull,13,FALSE),0)),0),0)</f>
        <v>0</v>
      </c>
      <c r="F20" s="69"/>
    </row>
    <row r="21" spans="1:6" x14ac:dyDescent="0.25">
      <c r="A21" s="67" t="s">
        <v>674</v>
      </c>
      <c r="B21" s="69">
        <f>IFERROR(VLOOKUP('All Docks'!C23,OfficerSkillsFull,25,FALSE),0)+IFERROR(VLOOKUP('All Docks'!E23,OfficerSkillsFull,25,FALSE),0)+IFERROR(VLOOKUP('All Docks'!G23,OfficerSkillsFull,25,FALSE),0)</f>
        <v>0</v>
      </c>
      <c r="C21" s="69">
        <f>IFERROR(VLOOKUP('All Docks'!C23,OfficerSkillsFull,26,FALSE),0)+IFERROR(VLOOKUP('All Docks'!E23,OfficerSkillsFull,26,FALSE),0)+IFERROR(VLOOKUP('All Docks'!G23,OfficerSkillsFull,26,FALSE),0)</f>
        <v>0</v>
      </c>
      <c r="D21" s="69">
        <f>IF(IFERROR(VLOOKUP('All Docks'!E23,OfficerSkillsFull,31,FALSE),0) = "Y",IFERROR(IF(AND(VLOOKUP('All Docks'!C23,OfficerSkillsFull,11,FALSE) = VLOOKUP('All Docks'!E23,OfficerSkillsFull,11,FALSE), VLOOKUP('All Docks'!C23,OfficerSkillsFull,12,FALSE) = VLOOKUP('All Docks'!E23,OfficerSkillsFull,12,FALSE)),VLOOKUP('All Docks'!E23,OfficerSkillsFull,14,FALSE),IF(VLOOKUP('All Docks'!C23,OfficerSkillsFull,11,FALSE) = VLOOKUP('All Docks'!E23,OfficerSkillsFull,11,FALSE),VLOOKUP('All Docks'!E23,OfficerSkillsFull,13,FALSE),0)),0) + IFERROR(VLOOKUP('All Docks'!E23,OfficerSkillsFull,10,FALSE),0) + IFERROR(IF(AND(VLOOKUP('All Docks'!G23,OfficerSkillsFull,11,FALSE) = VLOOKUP('All Docks'!E23,OfficerSkillsFull,11,FALSE), OR(VLOOKUP('All Docks'!G23,OfficerSkillsFull,12,FALSE) = VLOOKUP('All Docks'!E23,OfficerSkillsFull,12,FALSE),AND(VLOOKUP('All Docks'!G23,OfficerSkillsFull,11,FALSE) = VLOOKUP('All Docks'!E23,OfficerSkillsFull,11,FALSE),VLOOKUP('All Docks'!G23,OfficerSkillsFull,12,FALSE) = IFERROR(VLOOKUP('All Docks'!C23,OfficerSkillsFull,12,FALSE),0)))),VLOOKUP('All Docks'!E23,OfficerSkillsFull,14,FALSE),IF(VLOOKUP('All Docks'!G23,OfficerSkillsFull,11,FALSE) = VLOOKUP('All Docks'!E23,OfficerSkillsFull,11,FALSE),VLOOKUP('All Docks'!E23,OfficerSkillsFull,13,FALSE),0)),0),0)</f>
        <v>0</v>
      </c>
      <c r="E21" s="69">
        <f>IF(IFERROR(VLOOKUP('All Docks'!E23,OfficerSkillsFull,32,FALSE),0) = "Y",IFERROR(IF(AND(VLOOKUP('All Docks'!C23,OfficerSkillsFull,11,FALSE) = VLOOKUP('All Docks'!E23,OfficerSkillsFull,11,FALSE), VLOOKUP('All Docks'!C23,OfficerSkillsFull,12,FALSE) = VLOOKUP('All Docks'!E23,OfficerSkillsFull,12,FALSE)),VLOOKUP('All Docks'!E23,OfficerSkillsFull,14,FALSE),IF(VLOOKUP('All Docks'!C23,OfficerSkillsFull,11,FALSE) = VLOOKUP('All Docks'!E23,OfficerSkillsFull,11,FALSE),VLOOKUP('All Docks'!E23,OfficerSkillsFull,13,FALSE),0)),0) + IFERROR(VLOOKUP('All Docks'!E23,OfficerSkillsFull,10,FALSE),0) + IFERROR(IF(AND(VLOOKUP('All Docks'!G23,OfficerSkillsFull,11,FALSE) = VLOOKUP('All Docks'!E23,OfficerSkillsFull,11,FALSE), OR(VLOOKUP('All Docks'!G23,OfficerSkillsFull,12,FALSE) = VLOOKUP('All Docks'!E23,OfficerSkillsFull,12,FALSE),AND(VLOOKUP('All Docks'!G23,OfficerSkillsFull,11,FALSE) = VLOOKUP('All Docks'!E23,OfficerSkillsFull,11,FALSE),VLOOKUP('All Docks'!G23,OfficerSkillsFull,12,FALSE) = IFERROR(VLOOKUP('All Docks'!C23,OfficerSkillsFull,12,FALSE),0)))),VLOOKUP('All Docks'!E23,OfficerSkillsFull,14,FALSE),IF(VLOOKUP('All Docks'!G23,OfficerSkillsFull,11,FALSE) = VLOOKUP('All Docks'!E23,OfficerSkillsFull,11,FALSE),VLOOKUP('All Docks'!E23,OfficerSkillsFull,13,FALSE),0)),0),0)</f>
        <v>0</v>
      </c>
      <c r="F21" s="69"/>
    </row>
    <row r="22" spans="1:6" x14ac:dyDescent="0.25">
      <c r="A22" s="101" t="s">
        <v>718</v>
      </c>
      <c r="B22" s="107" t="s">
        <v>130</v>
      </c>
      <c r="C22" s="107" t="s">
        <v>671</v>
      </c>
      <c r="D22" s="107" t="s">
        <v>130</v>
      </c>
      <c r="E22" s="107" t="s">
        <v>671</v>
      </c>
      <c r="F22" s="462"/>
    </row>
    <row r="23" spans="1:6" x14ac:dyDescent="0.25">
      <c r="A23" s="67" t="s">
        <v>672</v>
      </c>
      <c r="B23" s="69">
        <f>IFERROR(VLOOKUP('All Docks'!C32,OfficerSkillsFull,21,FALSE),0)+IFERROR(VLOOKUP('All Docks'!E32,OfficerSkillsFull,21,FALSE),0)+IFERROR(VLOOKUP('All Docks'!G32,OfficerSkillsFull,21,FALSE),0)</f>
        <v>0</v>
      </c>
      <c r="C23" s="69">
        <f>IFERROR(VLOOKUP('All Docks'!C32,OfficerSkillsFull,22,FALSE),0)+IFERROR(VLOOKUP('All Docks'!E32,OfficerSkillsFull,22,FALSE),0)+IFERROR(VLOOKUP('All Docks'!G32,OfficerSkillsFull,22,FALSE),0)</f>
        <v>0</v>
      </c>
      <c r="D23" s="69">
        <f>IF(IFERROR(VLOOKUP('All Docks'!E32,OfficerSkillsFull,27,FALSE),0) = "Y",IFERROR(IF(AND(VLOOKUP('All Docks'!C32,OfficerSkillsFull,11,FALSE) = VLOOKUP('All Docks'!E32,OfficerSkillsFull,11,FALSE), VLOOKUP('All Docks'!C32,OfficerSkillsFull,12,FALSE) = VLOOKUP('All Docks'!E32,OfficerSkillsFull,12,FALSE)),VLOOKUP('All Docks'!E32,OfficerSkillsFull,14,FALSE),IF(VLOOKUP('All Docks'!C32,OfficerSkillsFull,11,FALSE) = VLOOKUP('All Docks'!E32,OfficerSkillsFull,11,FALSE),VLOOKUP('All Docks'!E32,OfficerSkillsFull,13,FALSE),0)),0) + IFERROR(VLOOKUP('All Docks'!E32,OfficerSkillsFull,10),0) + IFERROR(IF(AND(VLOOKUP('All Docks'!G32,OfficerSkillsFull,11,FALSE) = VLOOKUP('All Docks'!E32,OfficerSkillsFull,11,FALSE), OR(VLOOKUP('All Docks'!G32,OfficerSkillsFull,12,FALSE) = VLOOKUP('All Docks'!E32,OfficerSkillsFull,12,FALSE),AND(VLOOKUP('All Docks'!G32,OfficerSkillsFull,11,FALSE) = VLOOKUP('All Docks'!E32,OfficerSkillsFull,11,FALSE),VLOOKUP('All Docks'!G32,OfficerSkillsFull,12,FALSE) = IFERROR(VLOOKUP('All Docks'!C32,OfficerSkillsFull,12,FALSE),0)))),VLOOKUP('All Docks'!E32,OfficerSkillsFull,14,FALSE),IF(VLOOKUP('All Docks'!G32,OfficerSkillsFull,11,FALSE) = VLOOKUP('All Docks'!E32,OfficerSkillsFull,11,FALSE),VLOOKUP('All Docks'!E32,OfficerSkillsFull,13,FALSE),0)),0),0)</f>
        <v>0</v>
      </c>
      <c r="E23" s="69">
        <f>IF(IFERROR(VLOOKUP('All Docks'!E32,OfficerSkillsFull,28,FALSE),0) = "Y",IFERROR(IF(AND(VLOOKUP('All Docks'!C32,OfficerSkillsFull,11,FALSE) = VLOOKUP('All Docks'!E32,OfficerSkillsFull,11,FALSE), VLOOKUP('All Docks'!C32,OfficerSkillsFull,12,FALSE) = VLOOKUP('All Docks'!E32,OfficerSkillsFull,12,FALSE)),VLOOKUP('All Docks'!E32,OfficerSkillsFull,14,FALSE),IF(VLOOKUP('All Docks'!C32,OfficerSkillsFull,11,FALSE) = VLOOKUP('All Docks'!E32,OfficerSkillsFull,11,FALSE),VLOOKUP('All Docks'!E32,OfficerSkillsFull,13,FALSE),0)),0) + IFERROR(VLOOKUP('All Docks'!E32,OfficerSkillsFull,10),0) + IFERROR(IF(AND(VLOOKUP('All Docks'!G32,OfficerSkillsFull,11,FALSE) = VLOOKUP('All Docks'!E32,OfficerSkillsFull,11,FALSE), OR(VLOOKUP('All Docks'!G32,OfficerSkillsFull,12,FALSE) = VLOOKUP('All Docks'!E32,OfficerSkillsFull,12,FALSE),AND(VLOOKUP('All Docks'!G32,OfficerSkillsFull,11,FALSE) = VLOOKUP('All Docks'!E32,OfficerSkillsFull,11,FALSE),VLOOKUP('All Docks'!G32,OfficerSkillsFull,12,FALSE) = IFERROR(VLOOKUP('All Docks'!C32,OfficerSkillsFull,12,FALSE),0)))),VLOOKUP('All Docks'!E32,OfficerSkillsFull,14,FALSE),IF(VLOOKUP('All Docks'!G32,OfficerSkillsFull,11,FALSE) = VLOOKUP('All Docks'!E32,OfficerSkillsFull,11,FALSE),VLOOKUP('All Docks'!E32,OfficerSkillsFull,13,FALSE),0)),0),0)</f>
        <v>0</v>
      </c>
      <c r="F23" s="69"/>
    </row>
    <row r="24" spans="1:6" x14ac:dyDescent="0.25">
      <c r="A24" s="67" t="s">
        <v>673</v>
      </c>
      <c r="B24" s="69">
        <f>IFERROR(VLOOKUP('All Docks'!C32,OfficerSkillsFull,23,FALSE),0)+IFERROR(VLOOKUP('All Docks'!E32,OfficerSkillsFull,23,FALSE),0)+IFERROR(VLOOKUP('All Docks'!G32,OfficerSkillsFull,23,FALSE),0)</f>
        <v>0</v>
      </c>
      <c r="C24" s="69">
        <f>IFERROR(VLOOKUP('All Docks'!C32,OfficerSkillsFull,24,FALSE),0)+IFERROR(VLOOKUP('All Docks'!E32,OfficerSkillsFull,24,FALSE),0)+IFERROR(VLOOKUP('All Docks'!G32,OfficerSkillsFull,24,FALSE),0)</f>
        <v>0</v>
      </c>
      <c r="D24" s="69">
        <f>IF(IFERROR(VLOOKUP('All Docks'!E32,OfficerSkillsFull,29,FALSE),0) = "Y",IFERROR(IF(AND(VLOOKUP('All Docks'!C32,OfficerSkillsFull,11,FALSE) = VLOOKUP('All Docks'!E32,OfficerSkillsFull,11,FALSE), VLOOKUP('All Docks'!C32,OfficerSkillsFull,12,FALSE) = VLOOKUP('All Docks'!E32,OfficerSkillsFull,12,FALSE)),VLOOKUP('All Docks'!E32,OfficerSkillsFull,14,FALSE),IF(VLOOKUP('All Docks'!C32,OfficerSkillsFull,11,FALSE) = VLOOKUP('All Docks'!E32,OfficerSkillsFull,11,FALSE),VLOOKUP('All Docks'!E32,OfficerSkillsFull,13,FALSE),0)),0) + IFERROR(VLOOKUP('All Docks'!E32,OfficerSkillsFull,10),0) + IFERROR(IF(AND(VLOOKUP('All Docks'!G32,OfficerSkillsFull,11,FALSE) = VLOOKUP('All Docks'!E32,OfficerSkillsFull,11,FALSE), OR(VLOOKUP('All Docks'!G32,OfficerSkillsFull,12,FALSE) = VLOOKUP('All Docks'!E32,OfficerSkillsFull,12,FALSE),AND(VLOOKUP('All Docks'!G32,OfficerSkillsFull,11,FALSE) = VLOOKUP('All Docks'!E32,OfficerSkillsFull,11,FALSE),VLOOKUP('All Docks'!G32,OfficerSkillsFull,12,FALSE) = IFERROR(VLOOKUP('All Docks'!C32,OfficerSkillsFull,12,FALSE),0)))),VLOOKUP('All Docks'!E32,OfficerSkillsFull,14,FALSE),IF(VLOOKUP('All Docks'!G32,OfficerSkillsFull,11,FALSE) = VLOOKUP('All Docks'!E32,OfficerSkillsFull,11,FALSE),VLOOKUP('All Docks'!E32,OfficerSkillsFull,13,FALSE),0)),0),0)</f>
        <v>0</v>
      </c>
      <c r="E24" s="69">
        <f>IF(IFERROR(VLOOKUP('All Docks'!E32,OfficerSkillsFull,30,FALSE),0) = "Y",IFERROR(IF(AND(VLOOKUP('All Docks'!C32,OfficerSkillsFull,11,FALSE) = VLOOKUP('All Docks'!E32,OfficerSkillsFull,11,FALSE), VLOOKUP('All Docks'!C32,OfficerSkillsFull,12,FALSE) = VLOOKUP('All Docks'!E32,OfficerSkillsFull,12,FALSE)),VLOOKUP('All Docks'!E32,OfficerSkillsFull,14,FALSE),IF(VLOOKUP('All Docks'!C32,OfficerSkillsFull,11,FALSE) = VLOOKUP('All Docks'!E32,OfficerSkillsFull,11,FALSE),VLOOKUP('All Docks'!E32,OfficerSkillsFull,13,FALSE),0)),0) + IFERROR(VLOOKUP('All Docks'!E32,OfficerSkillsFull,10),0) + IFERROR(IF(AND(VLOOKUP('All Docks'!G32,OfficerSkillsFull,11,FALSE) = VLOOKUP('All Docks'!E32,OfficerSkillsFull,11,FALSE), OR(VLOOKUP('All Docks'!G32,OfficerSkillsFull,12,FALSE) = VLOOKUP('All Docks'!E32,OfficerSkillsFull,12,FALSE),AND(VLOOKUP('All Docks'!G32,OfficerSkillsFull,11,FALSE) = VLOOKUP('All Docks'!E32,OfficerSkillsFull,11,FALSE),VLOOKUP('All Docks'!G32,OfficerSkillsFull,12,FALSE) = IFERROR(VLOOKUP('All Docks'!C32,OfficerSkillsFull,12,FALSE),0)))),VLOOKUP('All Docks'!E32,OfficerSkillsFull,14,FALSE),IF(VLOOKUP('All Docks'!G32,OfficerSkillsFull,11,FALSE) = VLOOKUP('All Docks'!E32,OfficerSkillsFull,11,FALSE),VLOOKUP('All Docks'!E32,OfficerSkillsFull,13,FALSE),0)),0),0)</f>
        <v>0</v>
      </c>
      <c r="F24" s="69"/>
    </row>
    <row r="25" spans="1:6" x14ac:dyDescent="0.25">
      <c r="A25" s="67" t="s">
        <v>674</v>
      </c>
      <c r="B25" s="69">
        <f>IFERROR(VLOOKUP('All Docks'!C32,OfficerSkillsFull,25,FALSE),0)+IFERROR(VLOOKUP('All Docks'!E32,OfficerSkillsFull,25,FALSE),0)+IFERROR(VLOOKUP('All Docks'!G32,OfficerSkillsFull,25,FALSE),0)</f>
        <v>0</v>
      </c>
      <c r="C25" s="69">
        <f>IFERROR(VLOOKUP('All Docks'!C32,OfficerSkillsFull,26,FALSE),0)+IFERROR(VLOOKUP('All Docks'!E32,OfficerSkillsFull,26,FALSE),0)+IFERROR(VLOOKUP('All Docks'!G32,OfficerSkillsFull,26,FALSE),0)</f>
        <v>0</v>
      </c>
      <c r="D25" s="69">
        <f>IF(IFERROR(VLOOKUP('All Docks'!E32,OfficerSkillsFull,31,FALSE),0) = "Y",IFERROR(IF(AND(VLOOKUP('All Docks'!C32,OfficerSkillsFull,11,FALSE) = VLOOKUP('All Docks'!E32,OfficerSkillsFull,11,FALSE), VLOOKUP('All Docks'!C32,OfficerSkillsFull,12,FALSE) = VLOOKUP('All Docks'!E32,OfficerSkillsFull,12,FALSE)),VLOOKUP('All Docks'!E32,OfficerSkillsFull,14,FALSE),IF(VLOOKUP('All Docks'!C32,OfficerSkillsFull,11,FALSE) = VLOOKUP('All Docks'!E32,OfficerSkillsFull,11,FALSE),VLOOKUP('All Docks'!E32,OfficerSkillsFull,13,FALSE),0)),0) + IFERROR(VLOOKUP('All Docks'!E32,OfficerSkillsFull,10),0) + IFERROR(IF(AND(VLOOKUP('All Docks'!G32,OfficerSkillsFull,11,FALSE) = VLOOKUP('All Docks'!E32,OfficerSkillsFull,11,FALSE), OR(VLOOKUP('All Docks'!G32,OfficerSkillsFull,12,FALSE) = VLOOKUP('All Docks'!E32,OfficerSkillsFull,12,FALSE),AND(VLOOKUP('All Docks'!G32,OfficerSkillsFull,11,FALSE) = VLOOKUP('All Docks'!E32,OfficerSkillsFull,11,FALSE),VLOOKUP('All Docks'!G32,OfficerSkillsFull,12,FALSE) = IFERROR(VLOOKUP('All Docks'!C32,OfficerSkillsFull,12,FALSE),0)))),VLOOKUP('All Docks'!E32,OfficerSkillsFull,14,FALSE),IF(VLOOKUP('All Docks'!G32,OfficerSkillsFull,11,FALSE) = VLOOKUP('All Docks'!E32,OfficerSkillsFull,11,FALSE),VLOOKUP('All Docks'!E32,OfficerSkillsFull,13,FALSE),0)),0),0)</f>
        <v>0</v>
      </c>
      <c r="E25" s="69">
        <f>IF(IFERROR(VLOOKUP('All Docks'!E32,OfficerSkillsFull,32,FALSE),0) = "Y",IFERROR(IF(AND(VLOOKUP('All Docks'!C32,OfficerSkillsFull,11,FALSE) = VLOOKUP('All Docks'!E32,OfficerSkillsFull,11,FALSE), VLOOKUP('All Docks'!C32,OfficerSkillsFull,12,FALSE) = VLOOKUP('All Docks'!E32,OfficerSkillsFull,12,FALSE)),VLOOKUP('All Docks'!E32,OfficerSkillsFull,14,FALSE),IF(VLOOKUP('All Docks'!C32,OfficerSkillsFull,11,FALSE) = VLOOKUP('All Docks'!E32,OfficerSkillsFull,11,FALSE),VLOOKUP('All Docks'!E32,OfficerSkillsFull,13,FALSE),0)),0) + IFERROR(VLOOKUP('All Docks'!E32,OfficerSkillsFull,10),0) + IFERROR(IF(AND(VLOOKUP('All Docks'!G32,OfficerSkillsFull,11,FALSE) = VLOOKUP('All Docks'!E32,OfficerSkillsFull,11,FALSE), OR(VLOOKUP('All Docks'!G32,OfficerSkillsFull,12,FALSE) = VLOOKUP('All Docks'!E32,OfficerSkillsFull,12,FALSE),AND(VLOOKUP('All Docks'!G32,OfficerSkillsFull,11,FALSE) = VLOOKUP('All Docks'!E32,OfficerSkillsFull,11,FALSE),VLOOKUP('All Docks'!G32,OfficerSkillsFull,12,FALSE) = IFERROR(VLOOKUP('All Docks'!C32,OfficerSkillsFull,12,FALSE),0)))),VLOOKUP('All Docks'!E32,OfficerSkillsFull,14,FALSE),IF(VLOOKUP('All Docks'!G32,OfficerSkillsFull,11,FALSE) = VLOOKUP('All Docks'!E32,OfficerSkillsFull,11,FALSE),VLOOKUP('All Docks'!E32,OfficerSkillsFull,13,FALSE),0)),0),0)</f>
        <v>0</v>
      </c>
      <c r="F25" s="69"/>
    </row>
    <row r="26" spans="1:6" x14ac:dyDescent="0.25">
      <c r="A26" s="101" t="s">
        <v>717</v>
      </c>
      <c r="B26" s="107" t="s">
        <v>130</v>
      </c>
      <c r="C26" s="107" t="s">
        <v>671</v>
      </c>
      <c r="D26" s="107" t="s">
        <v>130</v>
      </c>
      <c r="E26" s="107" t="s">
        <v>671</v>
      </c>
      <c r="F26" s="462"/>
    </row>
    <row r="27" spans="1:6" x14ac:dyDescent="0.25">
      <c r="A27" s="67" t="s">
        <v>672</v>
      </c>
      <c r="B27" s="69">
        <f>IFERROR(VLOOKUP('All Docks'!C41,OfficerSkillsFull,21,FALSE),0)+IFERROR(VLOOKUP('All Docks'!E41,OfficerSkillsFull,21,FALSE),0)+IFERROR(VLOOKUP('All Docks'!G41,OfficerSkillsFull,21,FALSE),0)</f>
        <v>0</v>
      </c>
      <c r="C27" s="69">
        <f>IFERROR(VLOOKUP('All Docks'!C41,OfficerSkillsFull,22,FALSE),0)+IFERROR(VLOOKUP('All Docks'!E41,OfficerSkillsFull,22,FALSE),0)+IFERROR(VLOOKUP('All Docks'!G41,OfficerSkillsFull,22,FALSE),0)</f>
        <v>0</v>
      </c>
      <c r="D27" s="69">
        <f>IF(IFERROR(VLOOKUP('All Docks'!E41,OfficerSkillsFull,27,FALSE),0) = "Y",IFERROR(IF(AND(VLOOKUP('All Docks'!C41,OfficerSkillsFull,11,FALSE) = VLOOKUP('All Docks'!E41,OfficerSkillsFull,11,FALSE), VLOOKUP('All Docks'!C41,OfficerSkillsFull,12,FALSE) = VLOOKUP('All Docks'!E41,OfficerSkillsFull,12,FALSE)),VLOOKUP('All Docks'!E41,OfficerSkillsFull,14,FALSE),IF(VLOOKUP('All Docks'!C41,OfficerSkillsFull,11,FALSE) = VLOOKUP('All Docks'!E41,OfficerSkillsFull,11,FALSE),VLOOKUP('All Docks'!E41,OfficerSkillsFull,13,FALSE),0)),0) + IFERROR(VLOOKUP('All Docks'!E41,OfficerSkillsFull,10),0) + IFERROR(IF(AND(VLOOKUP('All Docks'!G41,OfficerSkillsFull,11,FALSE) = VLOOKUP('All Docks'!E41,OfficerSkillsFull,11,FALSE), OR(VLOOKUP('All Docks'!G41,OfficerSkillsFull,12,FALSE) = VLOOKUP('All Docks'!E41,OfficerSkillsFull,12,FALSE),AND(VLOOKUP('All Docks'!G41,OfficerSkillsFull,11,FALSE) = VLOOKUP('All Docks'!E41,OfficerSkillsFull,11,FALSE),VLOOKUP('All Docks'!G41,OfficerSkillsFull,12,FALSE) = IFERROR(VLOOKUP('All Docks'!C41,OfficerSkillsFull,12,FALSE),0)))),VLOOKUP('All Docks'!E41,OfficerSkillsFull,14,FALSE),IF(VLOOKUP('All Docks'!G41,OfficerSkillsFull,11,FALSE) = VLOOKUP('All Docks'!E41,OfficerSkillsFull,11,FALSE),VLOOKUP('All Docks'!E41,OfficerSkillsFull,13,FALSE),0)),0),0)</f>
        <v>0</v>
      </c>
      <c r="E27" s="69">
        <f>IF(IFERROR(VLOOKUP('All Docks'!E41,OfficerSkillsFull,28,FALSE),0) = "Y",IFERROR(IF(AND(VLOOKUP('All Docks'!C41,OfficerSkillsFull,11,FALSE) = VLOOKUP('All Docks'!E41,OfficerSkillsFull,11,FALSE), VLOOKUP('All Docks'!C41,OfficerSkillsFull,12,FALSE) = VLOOKUP('All Docks'!E41,OfficerSkillsFull,12,FALSE)),VLOOKUP('All Docks'!E41,OfficerSkillsFull,14,FALSE),IF(VLOOKUP('All Docks'!C41,OfficerSkillsFull,11,FALSE) = VLOOKUP('All Docks'!E41,OfficerSkillsFull,11,FALSE),VLOOKUP('All Docks'!E41,OfficerSkillsFull,13,FALSE),0)),0) + IFERROR(VLOOKUP('All Docks'!E41,OfficerSkillsFull,10),0) + IFERROR(IF(AND(VLOOKUP('All Docks'!G41,OfficerSkillsFull,11,FALSE) = VLOOKUP('All Docks'!E41,OfficerSkillsFull,11,FALSE), OR(VLOOKUP('All Docks'!G41,OfficerSkillsFull,12,FALSE) = VLOOKUP('All Docks'!E41,OfficerSkillsFull,12,FALSE),AND(VLOOKUP('All Docks'!G41,OfficerSkillsFull,11,FALSE) = VLOOKUP('All Docks'!E41,OfficerSkillsFull,11,FALSE),VLOOKUP('All Docks'!G41,OfficerSkillsFull,12,FALSE) = IFERROR(VLOOKUP('All Docks'!C41,OfficerSkillsFull,12,FALSE),0)))),VLOOKUP('All Docks'!E41,OfficerSkillsFull,14,FALSE),IF(VLOOKUP('All Docks'!G41,OfficerSkillsFull,11,FALSE) = VLOOKUP('All Docks'!E41,OfficerSkillsFull,11,FALSE),VLOOKUP('All Docks'!E41,OfficerSkillsFull,13,FALSE),0)),0),0)</f>
        <v>0</v>
      </c>
      <c r="F27" s="69"/>
    </row>
    <row r="28" spans="1:6" x14ac:dyDescent="0.25">
      <c r="A28" s="67" t="s">
        <v>673</v>
      </c>
      <c r="B28" s="69">
        <f>IFERROR(VLOOKUP('All Docks'!C41,OfficerSkillsFull,23,FALSE),0)+IFERROR(VLOOKUP('All Docks'!E41,OfficerSkillsFull,23,FALSE),0)+IFERROR(VLOOKUP('All Docks'!G41,OfficerSkillsFull,23,FALSE),0)</f>
        <v>0</v>
      </c>
      <c r="C28" s="69">
        <f>IFERROR(VLOOKUP('All Docks'!C41,OfficerSkillsFull,24,FALSE),0)+IFERROR(VLOOKUP('All Docks'!E41,OfficerSkillsFull,24,FALSE),0)+IFERROR(VLOOKUP('All Docks'!G41,OfficerSkillsFull,24,FALSE),0)</f>
        <v>0</v>
      </c>
      <c r="D28" s="69">
        <f>IF(IFERROR(VLOOKUP('All Docks'!E41,OfficerSkillsFull,29,FALSE),0) = "Y",IFERROR(IF(AND(VLOOKUP('All Docks'!C41,OfficerSkillsFull,11,FALSE) = VLOOKUP('All Docks'!E41,OfficerSkillsFull,11,FALSE), VLOOKUP('All Docks'!C41,OfficerSkillsFull,12,FALSE) = VLOOKUP('All Docks'!E41,OfficerSkillsFull,12,FALSE)),VLOOKUP('All Docks'!E41,OfficerSkillsFull,14,FALSE),IF(VLOOKUP('All Docks'!C41,OfficerSkillsFull,11,FALSE) = VLOOKUP('All Docks'!E41,OfficerSkillsFull,11,FALSE),VLOOKUP('All Docks'!E41,OfficerSkillsFull,13,FALSE),0)),0) + IFERROR(VLOOKUP('All Docks'!E41,OfficerSkillsFull,10),0) + IFERROR(IF(AND(VLOOKUP('All Docks'!G41,OfficerSkillsFull,11,FALSE) = VLOOKUP('All Docks'!E41,OfficerSkillsFull,11,FALSE), OR(VLOOKUP('All Docks'!G41,OfficerSkillsFull,12,FALSE) = VLOOKUP('All Docks'!E41,OfficerSkillsFull,12,FALSE),AND(VLOOKUP('All Docks'!G41,OfficerSkillsFull,11,FALSE) = VLOOKUP('All Docks'!E41,OfficerSkillsFull,11,FALSE),VLOOKUP('All Docks'!G41,OfficerSkillsFull,12,FALSE) = IFERROR(VLOOKUP('All Docks'!C41,OfficerSkillsFull,12,FALSE),0)))),VLOOKUP('All Docks'!E41,OfficerSkillsFull,14,FALSE),IF(VLOOKUP('All Docks'!G41,OfficerSkillsFull,11,FALSE) = VLOOKUP('All Docks'!E41,OfficerSkillsFull,11,FALSE),VLOOKUP('All Docks'!E41,OfficerSkillsFull,13,FALSE),0)),0),0)</f>
        <v>0</v>
      </c>
      <c r="E28" s="69">
        <f>IF(IFERROR(VLOOKUP('All Docks'!E41,OfficerSkillsFull,30,FALSE),0) = "Y",IFERROR(IF(AND(VLOOKUP('All Docks'!C41,OfficerSkillsFull,11,FALSE) = VLOOKUP('All Docks'!E41,OfficerSkillsFull,11,FALSE), VLOOKUP('All Docks'!C41,OfficerSkillsFull,12,FALSE) = VLOOKUP('All Docks'!E41,OfficerSkillsFull,12,FALSE)),VLOOKUP('All Docks'!E41,OfficerSkillsFull,14,FALSE),IF(VLOOKUP('All Docks'!C41,OfficerSkillsFull,11,FALSE) = VLOOKUP('All Docks'!E41,OfficerSkillsFull,11,FALSE),VLOOKUP('All Docks'!E41,OfficerSkillsFull,13,FALSE),0)),0) + IFERROR(VLOOKUP('All Docks'!E41,OfficerSkillsFull,10),0) + IFERROR(IF(AND(VLOOKUP('All Docks'!G41,OfficerSkillsFull,11,FALSE) = VLOOKUP('All Docks'!E41,OfficerSkillsFull,11,FALSE), OR(VLOOKUP('All Docks'!G41,OfficerSkillsFull,12,FALSE) = VLOOKUP('All Docks'!E41,OfficerSkillsFull,12,FALSE),AND(VLOOKUP('All Docks'!G41,OfficerSkillsFull,11,FALSE) = VLOOKUP('All Docks'!E41,OfficerSkillsFull,11,FALSE),VLOOKUP('All Docks'!G41,OfficerSkillsFull,12,FALSE) = IFERROR(VLOOKUP('All Docks'!C41,OfficerSkillsFull,12,FALSE),0)))),VLOOKUP('All Docks'!E41,OfficerSkillsFull,14,FALSE),IF(VLOOKUP('All Docks'!G41,OfficerSkillsFull,11,FALSE) = VLOOKUP('All Docks'!E41,OfficerSkillsFull,11,FALSE),VLOOKUP('All Docks'!E41,OfficerSkillsFull,13,FALSE),0)),0),0)</f>
        <v>0</v>
      </c>
      <c r="F28" s="69"/>
    </row>
    <row r="29" spans="1:6" x14ac:dyDescent="0.25">
      <c r="A29" s="67" t="s">
        <v>674</v>
      </c>
      <c r="B29" s="69">
        <f>IFERROR(VLOOKUP('All Docks'!C41,OfficerSkillsFull,25,FALSE),0)+IFERROR(VLOOKUP('All Docks'!E41,OfficerSkillsFull,25,FALSE),0)+IFERROR(VLOOKUP('All Docks'!G41,OfficerSkillsFull,25,FALSE),0)</f>
        <v>0</v>
      </c>
      <c r="C29" s="69">
        <f>IFERROR(VLOOKUP('All Docks'!C41,OfficerSkillsFull,26,FALSE),0)+IFERROR(VLOOKUP('All Docks'!E41,OfficerSkillsFull,26,FALSE),0)+IFERROR(VLOOKUP('All Docks'!G41,OfficerSkillsFull,26,FALSE),0)</f>
        <v>0</v>
      </c>
      <c r="D29" s="69">
        <f>IF(IFERROR(VLOOKUP('All Docks'!E41,OfficerSkillsFull,31,FALSE),0) = "Y",IFERROR(IF(AND(VLOOKUP('All Docks'!C41,OfficerSkillsFull,11,FALSE) = VLOOKUP('All Docks'!E41,OfficerSkillsFull,11,FALSE), VLOOKUP('All Docks'!C41,OfficerSkillsFull,12,FALSE) = VLOOKUP('All Docks'!E41,OfficerSkillsFull,12,FALSE)),VLOOKUP('All Docks'!E41,OfficerSkillsFull,14,FALSE),IF(VLOOKUP('All Docks'!C41,OfficerSkillsFull,11,FALSE) = VLOOKUP('All Docks'!E41,OfficerSkillsFull,11,FALSE),VLOOKUP('All Docks'!E41,OfficerSkillsFull,13,FALSE),0)),0) + IFERROR(VLOOKUP('All Docks'!E41,OfficerSkillsFull,10),0) + IFERROR(IF(AND(VLOOKUP('All Docks'!G41,OfficerSkillsFull,11,FALSE) = VLOOKUP('All Docks'!E41,OfficerSkillsFull,11,FALSE), OR(VLOOKUP('All Docks'!G41,OfficerSkillsFull,12,FALSE) = VLOOKUP('All Docks'!E41,OfficerSkillsFull,12,FALSE),AND(VLOOKUP('All Docks'!G41,OfficerSkillsFull,11,FALSE) = VLOOKUP('All Docks'!E41,OfficerSkillsFull,11,FALSE),VLOOKUP('All Docks'!G41,OfficerSkillsFull,12,FALSE) = IFERROR(VLOOKUP('All Docks'!C41,OfficerSkillsFull,12,FALSE),0)))),VLOOKUP('All Docks'!E41,OfficerSkillsFull,14,FALSE),IF(VLOOKUP('All Docks'!G41,OfficerSkillsFull,11,FALSE) = VLOOKUP('All Docks'!E41,OfficerSkillsFull,11,FALSE),VLOOKUP('All Docks'!E41,OfficerSkillsFull,13,FALSE),0)),0),0)</f>
        <v>0</v>
      </c>
      <c r="E29" s="69">
        <f>IF(IFERROR(VLOOKUP('All Docks'!E41,OfficerSkillsFull,32,FALSE),0) = "Y",IFERROR(IF(AND(VLOOKUP('All Docks'!C41,OfficerSkillsFull,11,FALSE) = VLOOKUP('All Docks'!E41,OfficerSkillsFull,11,FALSE), VLOOKUP('All Docks'!C41,OfficerSkillsFull,12,FALSE) = VLOOKUP('All Docks'!E41,OfficerSkillsFull,12,FALSE)),VLOOKUP('All Docks'!E41,OfficerSkillsFull,14,FALSE),IF(VLOOKUP('All Docks'!C41,OfficerSkillsFull,11,FALSE) = VLOOKUP('All Docks'!E41,OfficerSkillsFull,11,FALSE),VLOOKUP('All Docks'!E41,OfficerSkillsFull,13,FALSE),0)),0) + IFERROR(VLOOKUP('All Docks'!E41,OfficerSkillsFull,10),0) + IFERROR(IF(AND(VLOOKUP('All Docks'!G41,OfficerSkillsFull,11,FALSE) = VLOOKUP('All Docks'!E41,OfficerSkillsFull,11,FALSE), OR(VLOOKUP('All Docks'!G41,OfficerSkillsFull,12,FALSE) = VLOOKUP('All Docks'!E41,OfficerSkillsFull,12,FALSE),AND(VLOOKUP('All Docks'!G41,OfficerSkillsFull,11,FALSE) = VLOOKUP('All Docks'!E41,OfficerSkillsFull,11,FALSE),VLOOKUP('All Docks'!G41,OfficerSkillsFull,12,FALSE) = IFERROR(VLOOKUP('All Docks'!C41,OfficerSkillsFull,12,FALSE),0)))),VLOOKUP('All Docks'!E41,OfficerSkillsFull,14,FALSE),IF(VLOOKUP('All Docks'!G41,OfficerSkillsFull,11,FALSE) = VLOOKUP('All Docks'!E41,OfficerSkillsFull,11,FALSE),VLOOKUP('All Docks'!E41,OfficerSkillsFull,13,FALSE),0)),0),0)</f>
        <v>0</v>
      </c>
      <c r="F29" s="69"/>
    </row>
    <row r="30" spans="1:6" x14ac:dyDescent="0.25">
      <c r="A30" s="101" t="s">
        <v>716</v>
      </c>
      <c r="B30" s="107" t="s">
        <v>130</v>
      </c>
      <c r="C30" s="107" t="s">
        <v>671</v>
      </c>
      <c r="D30" s="107" t="s">
        <v>130</v>
      </c>
      <c r="E30" s="107" t="s">
        <v>671</v>
      </c>
      <c r="F30" s="462"/>
    </row>
    <row r="31" spans="1:6" x14ac:dyDescent="0.25">
      <c r="A31" s="67" t="s">
        <v>672</v>
      </c>
      <c r="B31" s="69">
        <f>IFERROR(VLOOKUP('All Docks'!C50,OfficerSkillsFull,21,FALSE),0)+IFERROR(VLOOKUP('All Docks'!E50,OfficerSkillsFull,21,FALSE),0)+IFERROR(VLOOKUP('All Docks'!G50,OfficerSkillsFull,21,FALSE),0)</f>
        <v>0</v>
      </c>
      <c r="C31" s="69">
        <f>IFERROR(VLOOKUP('All Docks'!C50,OfficerSkillsFull,22,FALSE),0)+IFERROR(VLOOKUP('All Docks'!E50,OfficerSkillsFull,22,FALSE),0)+IFERROR(VLOOKUP('All Docks'!G50,OfficerSkillsFull,22,FALSE),0)</f>
        <v>0</v>
      </c>
      <c r="D31" s="69">
        <f>IF(IFERROR(VLOOKUP('All Docks'!E50,OfficerSkillsFull,27,FALSE),0) = "Y",IFERROR(IF(AND(VLOOKUP('All Docks'!C50,OfficerSkillsFull,11,FALSE) = VLOOKUP('All Docks'!E50,OfficerSkillsFull,11,FALSE), VLOOKUP('All Docks'!C50,OfficerSkillsFull,12,FALSE) = VLOOKUP('All Docks'!E50,OfficerSkillsFull,12,FALSE)),VLOOKUP('All Docks'!E50,OfficerSkillsFull,14,FALSE),IF(VLOOKUP('All Docks'!C50,OfficerSkillsFull,11,FALSE) = VLOOKUP('All Docks'!E50,OfficerSkillsFull,11,FALSE),VLOOKUP('All Docks'!E50,OfficerSkillsFull,13,FALSE),0)),0) + IFERROR(VLOOKUP('All Docks'!E50,OfficerSkillsFull,10),0) + IFERROR(IF(AND(VLOOKUP('All Docks'!G50,OfficerSkillsFull,11,FALSE) = VLOOKUP('All Docks'!E50,OfficerSkillsFull,11,FALSE), OR(VLOOKUP('All Docks'!G50,OfficerSkillsFull,12,FALSE) = VLOOKUP('All Docks'!E50,OfficerSkillsFull,12,FALSE),AND(VLOOKUP('All Docks'!G50,OfficerSkillsFull,11,FALSE) = VLOOKUP('All Docks'!E50,OfficerSkillsFull,11,FALSE),VLOOKUP('All Docks'!G50,OfficerSkillsFull,12,FALSE) = IFERROR(VLOOKUP('All Docks'!C50,OfficerSkillsFull,12,FALSE),0)))),VLOOKUP('All Docks'!E50,OfficerSkillsFull,14,FALSE),IF(VLOOKUP('All Docks'!G50,OfficerSkillsFull,11,FALSE) = VLOOKUP('All Docks'!E50,OfficerSkillsFull,11,FALSE),VLOOKUP('All Docks'!E50,OfficerSkillsFull,13,FALSE),0)),0),0)</f>
        <v>0</v>
      </c>
      <c r="E31" s="69">
        <f>IF(IFERROR(VLOOKUP('All Docks'!E50,OfficerSkillsFull,28,FALSE),0) = "Y",IFERROR(IF(AND(VLOOKUP('All Docks'!C50,OfficerSkillsFull,11,FALSE) = VLOOKUP('All Docks'!E50,OfficerSkillsFull,11,FALSE), VLOOKUP('All Docks'!C50,OfficerSkillsFull,12,FALSE) = VLOOKUP('All Docks'!E50,OfficerSkillsFull,12,FALSE)),VLOOKUP('All Docks'!E50,OfficerSkillsFull,14,FALSE),IF(VLOOKUP('All Docks'!C50,OfficerSkillsFull,11,FALSE) = VLOOKUP('All Docks'!E50,OfficerSkillsFull,11,FALSE),VLOOKUP('All Docks'!E50,OfficerSkillsFull,13,FALSE),0)),0) + IFERROR(VLOOKUP('All Docks'!E50,OfficerSkillsFull,10),0) + IFERROR(IF(AND(VLOOKUP('All Docks'!G50,OfficerSkillsFull,11,FALSE) = VLOOKUP('All Docks'!E50,OfficerSkillsFull,11,FALSE), OR(VLOOKUP('All Docks'!G50,OfficerSkillsFull,12,FALSE) = VLOOKUP('All Docks'!E50,OfficerSkillsFull,12,FALSE),AND(VLOOKUP('All Docks'!G50,OfficerSkillsFull,11,FALSE) = VLOOKUP('All Docks'!E50,OfficerSkillsFull,11,FALSE),VLOOKUP('All Docks'!G50,OfficerSkillsFull,12,FALSE) = IFERROR(VLOOKUP('All Docks'!C50,OfficerSkillsFull,12,FALSE),0)))),VLOOKUP('All Docks'!E50,OfficerSkillsFull,14,FALSE),IF(VLOOKUP('All Docks'!G50,OfficerSkillsFull,11,FALSE) = VLOOKUP('All Docks'!E50,OfficerSkillsFull,11,FALSE),VLOOKUP('All Docks'!E50,OfficerSkillsFull,13,FALSE),0)),0),0)</f>
        <v>0</v>
      </c>
      <c r="F31" s="69"/>
    </row>
    <row r="32" spans="1:6" x14ac:dyDescent="0.25">
      <c r="A32" s="67" t="s">
        <v>673</v>
      </c>
      <c r="B32" s="69">
        <f>IFERROR(VLOOKUP('All Docks'!C50,OfficerSkillsFull,23,FALSE),0)+IFERROR(VLOOKUP('All Docks'!E50,OfficerSkillsFull,23,FALSE),0)+IFERROR(VLOOKUP('All Docks'!G50,OfficerSkillsFull,23,FALSE),0)</f>
        <v>0</v>
      </c>
      <c r="C32" s="69">
        <f>IFERROR(VLOOKUP('All Docks'!C50,OfficerSkillsFull,24,FALSE),0)+IFERROR(VLOOKUP('All Docks'!E50,OfficerSkillsFull,24,FALSE),0)+IFERROR(VLOOKUP('All Docks'!G50,OfficerSkillsFull,24,FALSE),0)</f>
        <v>0</v>
      </c>
      <c r="D32" s="69">
        <f>IF(IFERROR(VLOOKUP('All Docks'!E50,OfficerSkillsFull,29,FALSE),0) = "Y",IFERROR(IF(AND(VLOOKUP('All Docks'!C50,OfficerSkillsFull,11,FALSE) = VLOOKUP('All Docks'!E50,OfficerSkillsFull,11,FALSE), VLOOKUP('All Docks'!C50,OfficerSkillsFull,12,FALSE) = VLOOKUP('All Docks'!E50,OfficerSkillsFull,12,FALSE)),VLOOKUP('All Docks'!E50,OfficerSkillsFull,14,FALSE),IF(VLOOKUP('All Docks'!C50,OfficerSkillsFull,11,FALSE) = VLOOKUP('All Docks'!E50,OfficerSkillsFull,11,FALSE),VLOOKUP('All Docks'!E50,OfficerSkillsFull,13,FALSE),0)),0) + IFERROR(VLOOKUP('All Docks'!E50,OfficerSkillsFull,10),0) + IFERROR(IF(AND(VLOOKUP('All Docks'!G50,OfficerSkillsFull,11,FALSE) = VLOOKUP('All Docks'!E50,OfficerSkillsFull,11,FALSE), OR(VLOOKUP('All Docks'!G50,OfficerSkillsFull,12,FALSE) = VLOOKUP('All Docks'!E50,OfficerSkillsFull,12,FALSE),AND(VLOOKUP('All Docks'!G50,OfficerSkillsFull,11,FALSE) = VLOOKUP('All Docks'!E50,OfficerSkillsFull,11,FALSE),VLOOKUP('All Docks'!G50,OfficerSkillsFull,12,FALSE) = IFERROR(VLOOKUP('All Docks'!C50,OfficerSkillsFull,12,FALSE),0)))),VLOOKUP('All Docks'!E50,OfficerSkillsFull,14,FALSE),IF(VLOOKUP('All Docks'!G50,OfficerSkillsFull,11,FALSE) = VLOOKUP('All Docks'!E50,OfficerSkillsFull,11,FALSE),VLOOKUP('All Docks'!E50,OfficerSkillsFull,13,FALSE),0)),0),0)</f>
        <v>0</v>
      </c>
      <c r="E32" s="69">
        <f>IF(IFERROR(VLOOKUP('All Docks'!E50,OfficerSkillsFull,30,FALSE),0) = "Y",IFERROR(IF(AND(VLOOKUP('All Docks'!C50,OfficerSkillsFull,11,FALSE) = VLOOKUP('All Docks'!E50,OfficerSkillsFull,11,FALSE), VLOOKUP('All Docks'!C50,OfficerSkillsFull,12,FALSE) = VLOOKUP('All Docks'!E50,OfficerSkillsFull,12,FALSE)),VLOOKUP('All Docks'!E50,OfficerSkillsFull,14,FALSE),IF(VLOOKUP('All Docks'!C50,OfficerSkillsFull,11,FALSE) = VLOOKUP('All Docks'!E50,OfficerSkillsFull,11,FALSE),VLOOKUP('All Docks'!E50,OfficerSkillsFull,13,FALSE),0)),0) + IFERROR(VLOOKUP('All Docks'!E50,OfficerSkillsFull,10),0) + IFERROR(IF(AND(VLOOKUP('All Docks'!G50,OfficerSkillsFull,11,FALSE) = VLOOKUP('All Docks'!E50,OfficerSkillsFull,11,FALSE), OR(VLOOKUP('All Docks'!G50,OfficerSkillsFull,12,FALSE) = VLOOKUP('All Docks'!E50,OfficerSkillsFull,12,FALSE),AND(VLOOKUP('All Docks'!G50,OfficerSkillsFull,11,FALSE) = VLOOKUP('All Docks'!E50,OfficerSkillsFull,11,FALSE),VLOOKUP('All Docks'!G50,OfficerSkillsFull,12,FALSE) = IFERROR(VLOOKUP('All Docks'!C50,OfficerSkillsFull,12,FALSE),0)))),VLOOKUP('All Docks'!E50,OfficerSkillsFull,14,FALSE),IF(VLOOKUP('All Docks'!G50,OfficerSkillsFull,11,FALSE) = VLOOKUP('All Docks'!E50,OfficerSkillsFull,11,FALSE),VLOOKUP('All Docks'!E50,OfficerSkillsFull,13,FALSE),0)),0),0)</f>
        <v>0</v>
      </c>
      <c r="F32" s="69"/>
    </row>
    <row r="33" spans="1:7" x14ac:dyDescent="0.25">
      <c r="A33" s="67" t="s">
        <v>674</v>
      </c>
      <c r="B33" s="69">
        <f>IFERROR(VLOOKUP('All Docks'!C50,OfficerSkillsFull,25,FALSE),0)+IFERROR(VLOOKUP('All Docks'!E50,OfficerSkillsFull,25,FALSE),0)+IFERROR(VLOOKUP('All Docks'!G50,OfficerSkillsFull,25,FALSE),0)</f>
        <v>0</v>
      </c>
      <c r="C33" s="69">
        <f>IFERROR(VLOOKUP('All Docks'!C50,OfficerSkillsFull,26,FALSE),0)+IFERROR(VLOOKUP('All Docks'!E50,OfficerSkillsFull,26,FALSE),0)+IFERROR(VLOOKUP('All Docks'!G50,OfficerSkillsFull,26,FALSE),0)</f>
        <v>0</v>
      </c>
      <c r="D33" s="69">
        <f>IF(IFERROR(VLOOKUP('All Docks'!E50,OfficerSkillsFull,31,FALSE),0) = "Y",IFERROR(IF(AND(VLOOKUP('All Docks'!C50,OfficerSkillsFull,11,FALSE) = VLOOKUP('All Docks'!E50,OfficerSkillsFull,11,FALSE), VLOOKUP('All Docks'!C50,OfficerSkillsFull,12,FALSE) = VLOOKUP('All Docks'!E50,OfficerSkillsFull,12,FALSE)),VLOOKUP('All Docks'!E50,OfficerSkillsFull,14,FALSE),IF(VLOOKUP('All Docks'!C50,OfficerSkillsFull,11,FALSE) = VLOOKUP('All Docks'!E50,OfficerSkillsFull,11,FALSE),VLOOKUP('All Docks'!E50,OfficerSkillsFull,13,FALSE),0)),0) + IFERROR(VLOOKUP('All Docks'!E50,OfficerSkillsFull,10),0) + IFERROR(IF(AND(VLOOKUP('All Docks'!G50,OfficerSkillsFull,11,FALSE) = VLOOKUP('All Docks'!E50,OfficerSkillsFull,11,FALSE), OR(VLOOKUP('All Docks'!G50,OfficerSkillsFull,12,FALSE) = VLOOKUP('All Docks'!E50,OfficerSkillsFull,12,FALSE),AND(VLOOKUP('All Docks'!G50,OfficerSkillsFull,11,FALSE) = VLOOKUP('All Docks'!E50,OfficerSkillsFull,11,FALSE),VLOOKUP('All Docks'!G50,OfficerSkillsFull,12,FALSE) = IFERROR(VLOOKUP('All Docks'!C50,OfficerSkillsFull,12,FALSE),0)))),VLOOKUP('All Docks'!E50,OfficerSkillsFull,14,FALSE),IF(VLOOKUP('All Docks'!G50,OfficerSkillsFull,11,FALSE) = VLOOKUP('All Docks'!E50,OfficerSkillsFull,11,FALSE),VLOOKUP('All Docks'!E50,OfficerSkillsFull,13,FALSE),0)),0),0)</f>
        <v>0</v>
      </c>
      <c r="E33" s="69">
        <f>IF(IFERROR(VLOOKUP('All Docks'!E50,OfficerSkillsFull,32,FALSE),0) = "Y",IFERROR(IF(AND(VLOOKUP('All Docks'!C50,OfficerSkillsFull,11,FALSE) = VLOOKUP('All Docks'!E50,OfficerSkillsFull,11,FALSE), VLOOKUP('All Docks'!C50,OfficerSkillsFull,12,FALSE) = VLOOKUP('All Docks'!E50,OfficerSkillsFull,12,FALSE)),VLOOKUP('All Docks'!E50,OfficerSkillsFull,14,FALSE),IF(VLOOKUP('All Docks'!C50,OfficerSkillsFull,11,FALSE) = VLOOKUP('All Docks'!E50,OfficerSkillsFull,11,FALSE),VLOOKUP('All Docks'!E50,OfficerSkillsFull,13,FALSE),0)),0) + IFERROR(VLOOKUP('All Docks'!E50,OfficerSkillsFull,10),0) + IFERROR(IF(AND(VLOOKUP('All Docks'!G50,OfficerSkillsFull,11,FALSE) = VLOOKUP('All Docks'!E50,OfficerSkillsFull,11,FALSE), OR(VLOOKUP('All Docks'!G50,OfficerSkillsFull,12,FALSE) = VLOOKUP('All Docks'!E50,OfficerSkillsFull,12,FALSE),AND(VLOOKUP('All Docks'!G50,OfficerSkillsFull,11,FALSE) = VLOOKUP('All Docks'!E50,OfficerSkillsFull,11,FALSE),VLOOKUP('All Docks'!G50,OfficerSkillsFull,12,FALSE) = IFERROR(VLOOKUP('All Docks'!C50,OfficerSkillsFull,12,FALSE),0)))),VLOOKUP('All Docks'!E50,OfficerSkillsFull,14,FALSE),IF(VLOOKUP('All Docks'!G50,OfficerSkillsFull,11,FALSE) = VLOOKUP('All Docks'!E50,OfficerSkillsFull,11,FALSE),VLOOKUP('All Docks'!E50,OfficerSkillsFull,13,FALSE),0)),0),0)</f>
        <v>0</v>
      </c>
      <c r="F33" s="69"/>
    </row>
    <row r="34" spans="1:7" x14ac:dyDescent="0.25">
      <c r="A34" s="101" t="s">
        <v>1972</v>
      </c>
      <c r="B34" s="107" t="s">
        <v>130</v>
      </c>
      <c r="C34" s="107" t="s">
        <v>671</v>
      </c>
      <c r="D34" s="107" t="s">
        <v>130</v>
      </c>
      <c r="E34" s="107" t="s">
        <v>671</v>
      </c>
      <c r="F34" s="69"/>
    </row>
    <row r="35" spans="1:7" x14ac:dyDescent="0.25">
      <c r="A35" s="67" t="s">
        <v>672</v>
      </c>
      <c r="B35" s="69">
        <f>IFERROR(VLOOKUP('All Docks'!C59,OfficerSkillsFull,21,FALSE),0)+IFERROR(VLOOKUP('All Docks'!E59,OfficerSkillsFull,21,FALSE),0)+IFERROR(VLOOKUP('All Docks'!G59,OfficerSkillsFull,21,FALSE),0)</f>
        <v>0</v>
      </c>
      <c r="C35" s="69">
        <f>IFERROR(VLOOKUP('All Docks'!C59,OfficerSkillsFull,22,FALSE),0)+IFERROR(VLOOKUP('All Docks'!E59,OfficerSkillsFull,22,FALSE),0)+IFERROR(VLOOKUP('All Docks'!G59,OfficerSkillsFull,22,FALSE),0)</f>
        <v>0</v>
      </c>
      <c r="D35" s="69">
        <f>IF(IFERROR(VLOOKUP('All Docks'!E59,OfficerSkillsFull,27,FALSE),0) = "Y",IFERROR(IF(AND(VLOOKUP('All Docks'!C59,OfficerSkillsFull,11,FALSE) = VLOOKUP('All Docks'!E59,OfficerSkillsFull,11,FALSE), VLOOKUP('All Docks'!C59,OfficerSkillsFull,12,FALSE) = VLOOKUP('All Docks'!E59,OfficerSkillsFull,12,FALSE)),VLOOKUP('All Docks'!E59,OfficerSkillsFull,14,FALSE),IF(VLOOKUP('All Docks'!C59,OfficerSkillsFull,11,FALSE) = VLOOKUP('All Docks'!E59,OfficerSkillsFull,11,FALSE),VLOOKUP('All Docks'!E59,OfficerSkillsFull,13,FALSE),0)),0) + IFERROR(VLOOKUP('All Docks'!E59,OfficerSkillsFull,10),0) + IFERROR(IF(AND(VLOOKUP('All Docks'!G59,OfficerSkillsFull,11,FALSE) = VLOOKUP('All Docks'!E59,OfficerSkillsFull,11,FALSE), OR(VLOOKUP('All Docks'!G59,OfficerSkillsFull,12,FALSE) = VLOOKUP('All Docks'!E59,OfficerSkillsFull,12,FALSE),AND(VLOOKUP('All Docks'!G59,OfficerSkillsFull,11,FALSE) = VLOOKUP('All Docks'!E59,OfficerSkillsFull,11,FALSE),VLOOKUP('All Docks'!G59,OfficerSkillsFull,12,FALSE) = IFERROR(VLOOKUP('All Docks'!C59,OfficerSkillsFull,12,FALSE),0)))),VLOOKUP('All Docks'!E59,OfficerSkillsFull,14,FALSE),IF(VLOOKUP('All Docks'!G59,OfficerSkillsFull,11,FALSE) = VLOOKUP('All Docks'!E59,OfficerSkillsFull,11,FALSE),VLOOKUP('All Docks'!E59,OfficerSkillsFull,13,FALSE),0)),0),0)</f>
        <v>0</v>
      </c>
      <c r="E35" s="69">
        <f>IF(IFERROR(VLOOKUP('All Docks'!E59,OfficerSkillsFull,28,FALSE),0) = "Y",IFERROR(IF(AND(VLOOKUP('All Docks'!C59,OfficerSkillsFull,11,FALSE) = VLOOKUP('All Docks'!E59,OfficerSkillsFull,11,FALSE), VLOOKUP('All Docks'!C59,OfficerSkillsFull,12,FALSE) = VLOOKUP('All Docks'!E59,OfficerSkillsFull,12,FALSE)),VLOOKUP('All Docks'!E59,OfficerSkillsFull,14,FALSE),IF(VLOOKUP('All Docks'!C59,OfficerSkillsFull,11,FALSE) = VLOOKUP('All Docks'!E59,OfficerSkillsFull,11,FALSE),VLOOKUP('All Docks'!E59,OfficerSkillsFull,13,FALSE),0)),0) + IFERROR(VLOOKUP('All Docks'!E59,OfficerSkillsFull,10),0) + IFERROR(IF(AND(VLOOKUP('All Docks'!G59,OfficerSkillsFull,11,FALSE) = VLOOKUP('All Docks'!E59,OfficerSkillsFull,11,FALSE), OR(VLOOKUP('All Docks'!G59,OfficerSkillsFull,12,FALSE) = VLOOKUP('All Docks'!E59,OfficerSkillsFull,12,FALSE),AND(VLOOKUP('All Docks'!G59,OfficerSkillsFull,11,FALSE) = VLOOKUP('All Docks'!E59,OfficerSkillsFull,11,FALSE),VLOOKUP('All Docks'!G59,OfficerSkillsFull,12,FALSE) = IFERROR(VLOOKUP('All Docks'!C59,OfficerSkillsFull,12,FALSE),0)))),VLOOKUP('All Docks'!E59,OfficerSkillsFull,14,FALSE),IF(VLOOKUP('All Docks'!G59,OfficerSkillsFull,11,FALSE) = VLOOKUP('All Docks'!E59,OfficerSkillsFull,11,FALSE),VLOOKUP('All Docks'!E59,OfficerSkillsFull,13,FALSE),0)),0),0)</f>
        <v>0</v>
      </c>
      <c r="F35" s="69"/>
    </row>
    <row r="36" spans="1:7" x14ac:dyDescent="0.25">
      <c r="A36" s="67" t="s">
        <v>673</v>
      </c>
      <c r="B36" s="69">
        <f>IFERROR(VLOOKUP('All Docks'!C59,OfficerSkillsFull,23,FALSE),0)+IFERROR(VLOOKUP('All Docks'!E59,OfficerSkillsFull,23,FALSE),0)+IFERROR(VLOOKUP('All Docks'!G59,OfficerSkillsFull,23,FALSE),0)</f>
        <v>0</v>
      </c>
      <c r="C36" s="69">
        <f>IFERROR(VLOOKUP('All Docks'!C59,OfficerSkillsFull,24,FALSE),0)+IFERROR(VLOOKUP('All Docks'!E59,OfficerSkillsFull,24,FALSE),0)+IFERROR(VLOOKUP('All Docks'!G59,OfficerSkillsFull,24,FALSE),0)</f>
        <v>0</v>
      </c>
      <c r="D36" s="69">
        <f>IF(IFERROR(VLOOKUP('All Docks'!E59,OfficerSkillsFull,29,FALSE),0) = "Y",IFERROR(IF(AND(VLOOKUP('All Docks'!C59,OfficerSkillsFull,11,FALSE) = VLOOKUP('All Docks'!E59,OfficerSkillsFull,11,FALSE), VLOOKUP('All Docks'!C59,OfficerSkillsFull,12,FALSE) = VLOOKUP('All Docks'!E59,OfficerSkillsFull,12,FALSE)),VLOOKUP('All Docks'!E59,OfficerSkillsFull,14,FALSE),IF(VLOOKUP('All Docks'!C59,OfficerSkillsFull,11,FALSE) = VLOOKUP('All Docks'!E59,OfficerSkillsFull,11,FALSE),VLOOKUP('All Docks'!E59,OfficerSkillsFull,13,FALSE),0)),0) + IFERROR(VLOOKUP('All Docks'!E59,OfficerSkillsFull,10),0) + IFERROR(IF(AND(VLOOKUP('All Docks'!G59,OfficerSkillsFull,11,FALSE) = VLOOKUP('All Docks'!E59,OfficerSkillsFull,11,FALSE), OR(VLOOKUP('All Docks'!G59,OfficerSkillsFull,12,FALSE) = VLOOKUP('All Docks'!E59,OfficerSkillsFull,12,FALSE),AND(VLOOKUP('All Docks'!G59,OfficerSkillsFull,11,FALSE) = VLOOKUP('All Docks'!E59,OfficerSkillsFull,11,FALSE),VLOOKUP('All Docks'!G59,OfficerSkillsFull,12,FALSE) = IFERROR(VLOOKUP('All Docks'!C59,OfficerSkillsFull,12,FALSE),0)))),VLOOKUP('All Docks'!E59,OfficerSkillsFull,14,FALSE),IF(VLOOKUP('All Docks'!G59,OfficerSkillsFull,11,FALSE) = VLOOKUP('All Docks'!E59,OfficerSkillsFull,11,FALSE),VLOOKUP('All Docks'!E59,OfficerSkillsFull,13,FALSE),0)),0),0)</f>
        <v>0</v>
      </c>
      <c r="E36" s="69">
        <f>IF(IFERROR(VLOOKUP('All Docks'!E59,OfficerSkillsFull,30,FALSE),0) = "Y",IFERROR(IF(AND(VLOOKUP('All Docks'!C59,OfficerSkillsFull,11,FALSE) = VLOOKUP('All Docks'!E59,OfficerSkillsFull,11,FALSE), VLOOKUP('All Docks'!C59,OfficerSkillsFull,12,FALSE) = VLOOKUP('All Docks'!E59,OfficerSkillsFull,12,FALSE)),VLOOKUP('All Docks'!E59,OfficerSkillsFull,14,FALSE),IF(VLOOKUP('All Docks'!C59,OfficerSkillsFull,11,FALSE) = VLOOKUP('All Docks'!E59,OfficerSkillsFull,11,FALSE),VLOOKUP('All Docks'!E59,OfficerSkillsFull,13,FALSE),0)),0) + IFERROR(VLOOKUP('All Docks'!E59,OfficerSkillsFull,10),0) + IFERROR(IF(AND(VLOOKUP('All Docks'!G59,OfficerSkillsFull,11,FALSE) = VLOOKUP('All Docks'!E59,OfficerSkillsFull,11,FALSE), OR(VLOOKUP('All Docks'!G59,OfficerSkillsFull,12,FALSE) = VLOOKUP('All Docks'!E59,OfficerSkillsFull,12,FALSE),AND(VLOOKUP('All Docks'!G59,OfficerSkillsFull,11,FALSE) = VLOOKUP('All Docks'!E59,OfficerSkillsFull,11,FALSE),VLOOKUP('All Docks'!G59,OfficerSkillsFull,12,FALSE) = IFERROR(VLOOKUP('All Docks'!C59,OfficerSkillsFull,12,FALSE),0)))),VLOOKUP('All Docks'!E59,OfficerSkillsFull,14,FALSE),IF(VLOOKUP('All Docks'!G59,OfficerSkillsFull,11,FALSE) = VLOOKUP('All Docks'!E59,OfficerSkillsFull,11,FALSE),VLOOKUP('All Docks'!E59,OfficerSkillsFull,13,FALSE),0)),0),0)</f>
        <v>0</v>
      </c>
      <c r="F36" s="69"/>
    </row>
    <row r="37" spans="1:7" x14ac:dyDescent="0.25">
      <c r="A37" s="67" t="s">
        <v>674</v>
      </c>
      <c r="B37" s="69">
        <f>IFERROR(VLOOKUP('All Docks'!C59,OfficerSkillsFull,25,FALSE),0)+IFERROR(VLOOKUP('All Docks'!E59,OfficerSkillsFull,25,FALSE),0)+IFERROR(VLOOKUP('All Docks'!G59,OfficerSkillsFull,25,FALSE),0)</f>
        <v>0</v>
      </c>
      <c r="C37" s="69">
        <f>IFERROR(VLOOKUP('All Docks'!C59,OfficerSkillsFull,26,FALSE),0)+IFERROR(VLOOKUP('All Docks'!E59,OfficerSkillsFull,26,FALSE),0)+IFERROR(VLOOKUP('All Docks'!G59,OfficerSkillsFull,26,FALSE),0)</f>
        <v>0</v>
      </c>
      <c r="D37" s="69">
        <f>IF(IFERROR(VLOOKUP('All Docks'!E59,OfficerSkillsFull,31,FALSE),0) = "Y",IFERROR(IF(AND(VLOOKUP('All Docks'!C59,OfficerSkillsFull,11,FALSE) = VLOOKUP('All Docks'!E59,OfficerSkillsFull,11,FALSE), VLOOKUP('All Docks'!C59,OfficerSkillsFull,12,FALSE) = VLOOKUP('All Docks'!E59,OfficerSkillsFull,12,FALSE)),VLOOKUP('All Docks'!E59,OfficerSkillsFull,14,FALSE),IF(VLOOKUP('All Docks'!C59,OfficerSkillsFull,11,FALSE) = VLOOKUP('All Docks'!E59,OfficerSkillsFull,11,FALSE),VLOOKUP('All Docks'!E59,OfficerSkillsFull,13,FALSE),0)),0) + IFERROR(VLOOKUP('All Docks'!E59,OfficerSkillsFull,10),0) + IFERROR(IF(AND(VLOOKUP('All Docks'!G59,OfficerSkillsFull,11,FALSE) = VLOOKUP('All Docks'!E59,OfficerSkillsFull,11,FALSE), OR(VLOOKUP('All Docks'!G59,OfficerSkillsFull,12,FALSE) = VLOOKUP('All Docks'!E59,OfficerSkillsFull,12,FALSE),AND(VLOOKUP('All Docks'!G59,OfficerSkillsFull,11,FALSE) = VLOOKUP('All Docks'!E59,OfficerSkillsFull,11,FALSE),VLOOKUP('All Docks'!G59,OfficerSkillsFull,12,FALSE) = IFERROR(VLOOKUP('All Docks'!C59,OfficerSkillsFull,12,FALSE),0)))),VLOOKUP('All Docks'!E59,OfficerSkillsFull,14,FALSE),IF(VLOOKUP('All Docks'!G59,OfficerSkillsFull,11,FALSE) = VLOOKUP('All Docks'!E59,OfficerSkillsFull,11,FALSE),VLOOKUP('All Docks'!E59,OfficerSkillsFull,13,FALSE),0)),0),0)</f>
        <v>0</v>
      </c>
      <c r="E37" s="69">
        <f>IF(IFERROR(VLOOKUP('All Docks'!E59,OfficerSkillsFull,32,FALSE),0) = "Y",IFERROR(IF(AND(VLOOKUP('All Docks'!C59,OfficerSkillsFull,11,FALSE) = VLOOKUP('All Docks'!E59,OfficerSkillsFull,11,FALSE), VLOOKUP('All Docks'!C59,OfficerSkillsFull,12,FALSE) = VLOOKUP('All Docks'!E59,OfficerSkillsFull,12,FALSE)),VLOOKUP('All Docks'!E59,OfficerSkillsFull,14,FALSE),IF(VLOOKUP('All Docks'!C59,OfficerSkillsFull,11,FALSE) = VLOOKUP('All Docks'!E59,OfficerSkillsFull,11,FALSE),VLOOKUP('All Docks'!E59,OfficerSkillsFull,13,FALSE),0)),0) + IFERROR(VLOOKUP('All Docks'!E59,OfficerSkillsFull,10),0) + IFERROR(IF(AND(VLOOKUP('All Docks'!G59,OfficerSkillsFull,11,FALSE) = VLOOKUP('All Docks'!E59,OfficerSkillsFull,11,FALSE), OR(VLOOKUP('All Docks'!G59,OfficerSkillsFull,12,FALSE) = VLOOKUP('All Docks'!E59,OfficerSkillsFull,12,FALSE),AND(VLOOKUP('All Docks'!G59,OfficerSkillsFull,11,FALSE) = VLOOKUP('All Docks'!E59,OfficerSkillsFull,11,FALSE),VLOOKUP('All Docks'!G59,OfficerSkillsFull,12,FALSE) = IFERROR(VLOOKUP('All Docks'!C59,OfficerSkillsFull,12,FALSE),0)))),VLOOKUP('All Docks'!E59,OfficerSkillsFull,14,FALSE),IF(VLOOKUP('All Docks'!G59,OfficerSkillsFull,11,FALSE) = VLOOKUP('All Docks'!E59,OfficerSkillsFull,11,FALSE),VLOOKUP('All Docks'!E59,OfficerSkillsFull,13,FALSE),0)),0),0)</f>
        <v>0</v>
      </c>
      <c r="F37" s="69"/>
    </row>
    <row r="38" spans="1:7" x14ac:dyDescent="0.25">
      <c r="A38" s="490" t="s">
        <v>678</v>
      </c>
      <c r="B38" s="726"/>
      <c r="C38" s="726"/>
      <c r="D38" s="726"/>
      <c r="E38" s="726"/>
      <c r="F38" s="726"/>
      <c r="G38" s="726"/>
    </row>
    <row r="39" spans="1:7" x14ac:dyDescent="0.25">
      <c r="A39" s="259">
        <f>IF(COUNTIF(Roster!L7:Q7,"*Wesley*")=1,1,0)</f>
        <v>0</v>
      </c>
      <c r="B39" s="267" t="s">
        <v>1970</v>
      </c>
      <c r="C39" s="260"/>
      <c r="D39" s="260"/>
      <c r="E39" s="260"/>
      <c r="F39" s="463"/>
      <c r="G39" s="260"/>
    </row>
    <row r="40" spans="1:7" x14ac:dyDescent="0.25">
      <c r="A40" s="479">
        <f>IF(COUNTIF(Roster!N7,"Origins Burnham")+COUNTIF(Roster!N7,"Origins Saru")+COUNTIF(Roster!N7,"Origins Stamets")=1,1,0)</f>
        <v>0</v>
      </c>
      <c r="B40" s="267" t="s">
        <v>1872</v>
      </c>
      <c r="C40" s="480"/>
      <c r="D40" s="480"/>
      <c r="E40" s="480"/>
      <c r="F40" s="480"/>
      <c r="G40" s="480"/>
    </row>
    <row r="41" spans="1:7" x14ac:dyDescent="0.25">
      <c r="A41" s="103">
        <f>IF(AND(SelectedShip="USS Enterprise",COUNTIF(Roster!L7:Q7,"*Spock*")=3),1,0)</f>
        <v>0</v>
      </c>
      <c r="B41" s="111" t="s">
        <v>724</v>
      </c>
    </row>
    <row r="42" spans="1:7" x14ac:dyDescent="0.25">
      <c r="A42" s="103">
        <f>IF(COUNTIF(Roster!L7:Q7,"*Kirk*")=3,1,0)</f>
        <v>0</v>
      </c>
      <c r="B42" s="111" t="s">
        <v>725</v>
      </c>
    </row>
    <row r="43" spans="1:7" x14ac:dyDescent="0.25">
      <c r="A43" s="103">
        <f>IF(AND(OR(SelectedShip="Kumari",SelectedShip="Bortas",SelectedShip = "Augur"),COUNTIF(Roster!L7:Q7,"*TOS Sulu*")&gt;0),1,0)</f>
        <v>0</v>
      </c>
      <c r="B43" s="111" t="s">
        <v>726</v>
      </c>
    </row>
    <row r="44" spans="1:7" x14ac:dyDescent="0.25">
      <c r="A44" s="378">
        <f>IF(AND(COUNTIF(Roster!L7:Q7,"*DATA*")&gt;0,COUNTIF(Roster!L7:Q7,"*TASHA*")&gt;0),1,0)</f>
        <v>0</v>
      </c>
      <c r="B44" s="111" t="s">
        <v>1628</v>
      </c>
    </row>
    <row r="45" spans="1:7" x14ac:dyDescent="0.25">
      <c r="A45" s="103">
        <f>IF(AND(SelectedShip="USS Enterprise",COUNTIF(Roster!L7:Q7,"=Spock")),1,0)</f>
        <v>0</v>
      </c>
      <c r="B45" s="111" t="s">
        <v>727</v>
      </c>
    </row>
    <row r="46" spans="1:7" x14ac:dyDescent="0.25">
      <c r="A46" s="101" t="s">
        <v>1971</v>
      </c>
    </row>
    <row r="47" spans="1:7" x14ac:dyDescent="0.25">
      <c r="A47" s="67">
        <v>41</v>
      </c>
      <c r="B47" s="74">
        <v>43</v>
      </c>
    </row>
    <row r="48" spans="1:7" x14ac:dyDescent="0.25">
      <c r="A48" s="67">
        <v>42</v>
      </c>
      <c r="B48" s="74">
        <v>46</v>
      </c>
    </row>
    <row r="49" spans="1:2" x14ac:dyDescent="0.25">
      <c r="A49" s="67">
        <v>43</v>
      </c>
      <c r="B49" s="74">
        <v>49</v>
      </c>
    </row>
    <row r="50" spans="1:2" x14ac:dyDescent="0.25">
      <c r="A50" s="67">
        <v>44</v>
      </c>
      <c r="B50" s="74">
        <v>52</v>
      </c>
    </row>
    <row r="51" spans="1:2" x14ac:dyDescent="0.25">
      <c r="A51" s="67">
        <v>45</v>
      </c>
      <c r="B51" s="74">
        <v>53</v>
      </c>
    </row>
    <row r="52" spans="1:2" x14ac:dyDescent="0.25">
      <c r="A52" s="67">
        <v>46</v>
      </c>
      <c r="B52" s="74">
        <v>58</v>
      </c>
    </row>
    <row r="53" spans="1:2" x14ac:dyDescent="0.25">
      <c r="A53" s="67">
        <v>47</v>
      </c>
      <c r="B53" s="74">
        <v>62</v>
      </c>
    </row>
    <row r="54" spans="1:2" x14ac:dyDescent="0.25">
      <c r="A54" s="67">
        <v>48</v>
      </c>
      <c r="B54" s="74">
        <v>66</v>
      </c>
    </row>
    <row r="55" spans="1:2" x14ac:dyDescent="0.25">
      <c r="A55" s="67">
        <v>49</v>
      </c>
      <c r="B55" s="74">
        <v>70</v>
      </c>
    </row>
    <row r="56" spans="1:2" x14ac:dyDescent="0.25">
      <c r="A56" s="67">
        <v>50</v>
      </c>
      <c r="B56" s="74">
        <v>75</v>
      </c>
    </row>
    <row r="57" spans="1:2" x14ac:dyDescent="0.25">
      <c r="A57" s="67">
        <v>51</v>
      </c>
      <c r="B57" s="74">
        <v>80</v>
      </c>
    </row>
    <row r="58" spans="1:2" x14ac:dyDescent="0.25">
      <c r="A58" s="67">
        <v>52</v>
      </c>
      <c r="B58" s="74">
        <v>85</v>
      </c>
    </row>
    <row r="59" spans="1:2" x14ac:dyDescent="0.25">
      <c r="A59" s="67">
        <v>53</v>
      </c>
      <c r="B59" s="74">
        <v>90</v>
      </c>
    </row>
    <row r="60" spans="1:2" x14ac:dyDescent="0.25">
      <c r="A60" s="67">
        <v>54</v>
      </c>
      <c r="B60" s="74">
        <v>95</v>
      </c>
    </row>
    <row r="61" spans="1:2" x14ac:dyDescent="0.25">
      <c r="A61" s="67">
        <v>55</v>
      </c>
      <c r="B61" s="74">
        <v>100</v>
      </c>
    </row>
    <row r="62" spans="1:2" x14ac:dyDescent="0.25">
      <c r="A62" s="67">
        <v>56</v>
      </c>
      <c r="B62" s="74">
        <v>105</v>
      </c>
    </row>
    <row r="63" spans="1:2" x14ac:dyDescent="0.25">
      <c r="A63" s="67">
        <v>57</v>
      </c>
      <c r="B63" s="74">
        <v>110</v>
      </c>
    </row>
    <row r="64" spans="1:2" x14ac:dyDescent="0.25">
      <c r="A64" s="67">
        <v>58</v>
      </c>
      <c r="B64" s="74">
        <v>115</v>
      </c>
    </row>
    <row r="65" spans="1:2" x14ac:dyDescent="0.25">
      <c r="A65" s="67">
        <v>59</v>
      </c>
      <c r="B65" s="74">
        <v>120</v>
      </c>
    </row>
    <row r="66" spans="1:2" x14ac:dyDescent="0.25">
      <c r="A66" s="67">
        <v>60</v>
      </c>
      <c r="B66" s="74">
        <v>125</v>
      </c>
    </row>
  </sheetData>
  <mergeCells count="3">
    <mergeCell ref="B5:C5"/>
    <mergeCell ref="D5:E5"/>
    <mergeCell ref="B38:G38"/>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9"/>
  <sheetViews>
    <sheetView topLeftCell="A2" workbookViewId="0">
      <selection activeCell="I2" sqref="I2:J159"/>
    </sheetView>
  </sheetViews>
  <sheetFormatPr defaultRowHeight="15" x14ac:dyDescent="0.25"/>
  <cols>
    <col min="1" max="1" width="17.42578125" style="101" bestFit="1" customWidth="1"/>
    <col min="2" max="2" width="17.42578125" style="67" customWidth="1"/>
    <col min="3" max="3" width="8.28515625" style="107" customWidth="1"/>
    <col min="4" max="4" width="8.28515625" style="102" customWidth="1"/>
    <col min="5" max="5" width="18.85546875" style="101" customWidth="1"/>
    <col min="6" max="6" width="18.85546875" style="67" customWidth="1"/>
    <col min="7" max="7" width="13.140625" style="101" bestFit="1" customWidth="1"/>
    <col min="8" max="8" width="13.140625" style="67" customWidth="1"/>
    <col min="9" max="9" width="14.140625" style="101" bestFit="1" customWidth="1"/>
    <col min="10" max="10" width="18" style="67" bestFit="1" customWidth="1"/>
    <col min="11" max="11" width="6.85546875" style="67" customWidth="1"/>
    <col min="12" max="12" width="4.5703125" style="67" customWidth="1"/>
    <col min="13" max="13" width="7.140625" style="67" customWidth="1"/>
    <col min="14" max="14" width="8" style="67" customWidth="1"/>
    <col min="15" max="15" width="5.7109375" style="67" customWidth="1"/>
    <col min="16" max="16" width="6.42578125" style="67" customWidth="1"/>
    <col min="17" max="17" width="10" style="67" bestFit="1" customWidth="1"/>
    <col min="18" max="18" width="12.5703125" style="67" bestFit="1" customWidth="1"/>
    <col min="19" max="19" width="12" style="67" bestFit="1" customWidth="1"/>
    <col min="20" max="20" width="10.42578125" style="67" bestFit="1" customWidth="1"/>
    <col min="21" max="21" width="12" style="67" bestFit="1" customWidth="1"/>
    <col min="22" max="22" width="11.85546875" style="67" bestFit="1" customWidth="1"/>
    <col min="23" max="23" width="5.5703125" style="67" customWidth="1"/>
    <col min="24" max="24" width="6.42578125" style="67" customWidth="1"/>
    <col min="25" max="25" width="10.28515625" style="67" bestFit="1" customWidth="1"/>
    <col min="26" max="26" width="5.5703125" style="67" customWidth="1"/>
    <col min="27" max="27" width="6.85546875" style="67" customWidth="1"/>
    <col min="28" max="28" width="7.28515625" style="67" customWidth="1"/>
    <col min="29" max="29" width="6.85546875" style="67" customWidth="1"/>
    <col min="30" max="30" width="7.28515625" style="67" customWidth="1"/>
    <col min="31" max="31" width="8" style="67" customWidth="1"/>
    <col min="32" max="32" width="7.5703125" style="67" customWidth="1"/>
    <col min="33" max="33" width="17.5703125" style="67" bestFit="1" customWidth="1"/>
    <col min="34" max="34" width="8.5703125" style="67" customWidth="1"/>
    <col min="35" max="35" width="5.5703125" style="67" customWidth="1"/>
    <col min="36" max="36" width="9.28515625" style="67" bestFit="1" customWidth="1"/>
    <col min="37" max="37" width="9.140625" style="67"/>
    <col min="38" max="38" width="5.85546875" style="67" customWidth="1"/>
    <col min="39" max="39" width="7.5703125" style="67" customWidth="1"/>
    <col min="40" max="40" width="7.140625" style="67" customWidth="1"/>
    <col min="41" max="41" width="8.42578125" style="67" customWidth="1"/>
    <col min="42" max="42" width="11.42578125" style="67" bestFit="1" customWidth="1"/>
    <col min="43" max="43" width="6.5703125" style="67" customWidth="1"/>
    <col min="44" max="44" width="9" style="67" customWidth="1"/>
    <col min="45" max="45" width="15.28515625" style="67" bestFit="1" customWidth="1"/>
    <col min="46" max="47" width="6.42578125" style="67" customWidth="1"/>
    <col min="48" max="48" width="8.140625" style="67" customWidth="1"/>
    <col min="49" max="49" width="7.85546875" style="67" customWidth="1"/>
    <col min="50" max="50" width="5.28515625" style="67" customWidth="1"/>
    <col min="51" max="51" width="4.42578125" style="67" customWidth="1"/>
    <col min="52" max="52" width="7.28515625" style="67" customWidth="1"/>
    <col min="53" max="53" width="8.28515625" style="67" customWidth="1"/>
    <col min="54" max="54" width="5.5703125" style="67" customWidth="1"/>
    <col min="55" max="55" width="5.42578125" style="67" customWidth="1"/>
    <col min="56" max="56" width="4.42578125" style="67" customWidth="1"/>
    <col min="57" max="57" width="4.7109375" style="67" customWidth="1"/>
    <col min="58" max="58" width="6.5703125" style="67" customWidth="1"/>
    <col min="59" max="59" width="5.140625" style="67" customWidth="1"/>
    <col min="60" max="60" width="4.7109375" style="67" customWidth="1"/>
    <col min="61" max="61" width="5.140625" style="67" customWidth="1"/>
    <col min="62" max="62" width="7" style="67" customWidth="1"/>
    <col min="63" max="63" width="6.28515625" style="67" customWidth="1"/>
    <col min="64" max="64" width="6.140625" style="67" customWidth="1"/>
    <col min="65" max="65" width="7.42578125" style="67" customWidth="1"/>
    <col min="66" max="66" width="4.85546875" style="67" customWidth="1"/>
    <col min="67" max="68" width="5.5703125" style="67" customWidth="1"/>
    <col min="69" max="69" width="8.85546875" style="67" customWidth="1"/>
    <col min="70" max="70" width="5.5703125" style="67" customWidth="1"/>
    <col min="71" max="71" width="7.42578125" style="67" customWidth="1"/>
    <col min="72" max="72" width="6.140625" style="67" customWidth="1"/>
    <col min="73" max="73" width="8.85546875" style="67" customWidth="1"/>
    <col min="74" max="74" width="16.7109375" style="67" bestFit="1" customWidth="1"/>
    <col min="75" max="75" width="6.28515625" style="67" customWidth="1"/>
    <col min="76" max="76" width="8.42578125" style="67" customWidth="1"/>
    <col min="77" max="77" width="8" style="67" customWidth="1"/>
    <col min="78" max="78" width="6.140625" style="67" customWidth="1"/>
    <col min="79" max="79" width="6.28515625" style="67" customWidth="1"/>
    <col min="80" max="80" width="5" style="67" customWidth="1"/>
    <col min="81" max="81" width="5.42578125" style="67" customWidth="1"/>
    <col min="82" max="82" width="15.85546875" style="67" bestFit="1" customWidth="1"/>
    <col min="83" max="83" width="11.5703125" style="67" bestFit="1" customWidth="1"/>
    <col min="84" max="84" width="15" style="67" bestFit="1" customWidth="1"/>
    <col min="85" max="85" width="5" style="67" customWidth="1"/>
    <col min="86" max="86" width="4.28515625" style="67" customWidth="1"/>
    <col min="87" max="87" width="12.42578125" style="67" bestFit="1" customWidth="1"/>
    <col min="88" max="88" width="4.85546875" style="67" customWidth="1"/>
    <col min="89" max="89" width="6.42578125" style="67" customWidth="1"/>
    <col min="90" max="90" width="5.42578125" style="67" customWidth="1"/>
    <col min="91" max="91" width="9" style="67" customWidth="1"/>
    <col min="92" max="92" width="6.140625" style="67" customWidth="1"/>
    <col min="93" max="93" width="4.85546875" style="67" customWidth="1"/>
    <col min="94" max="94" width="6.42578125" style="67" customWidth="1"/>
    <col min="95" max="95" width="6.140625" style="67" customWidth="1"/>
    <col min="96" max="96" width="8" style="67" customWidth="1"/>
    <col min="97" max="97" width="5.28515625" style="67" customWidth="1"/>
    <col min="98" max="99" width="6.140625" style="67" customWidth="1"/>
    <col min="100" max="100" width="4.85546875" style="67" customWidth="1"/>
    <col min="101" max="101" width="3.5703125" style="67" customWidth="1"/>
    <col min="102" max="102" width="4.7109375" style="67" customWidth="1"/>
    <col min="103" max="103" width="4.42578125" style="67" customWidth="1"/>
    <col min="104" max="104" width="6.5703125" style="67" customWidth="1"/>
    <col min="105" max="105" width="8.28515625" style="67" customWidth="1"/>
    <col min="106" max="106" width="10.85546875" style="67" bestFit="1" customWidth="1"/>
    <col min="107" max="107" width="16.140625" style="67" bestFit="1" customWidth="1"/>
    <col min="108" max="108" width="10" style="67" bestFit="1" customWidth="1"/>
    <col min="109" max="109" width="8.7109375" style="67" customWidth="1"/>
    <col min="110" max="110" width="7.140625" style="67" customWidth="1"/>
    <col min="111" max="111" width="5.42578125" style="67" customWidth="1"/>
    <col min="112" max="112" width="6.42578125" style="67" customWidth="1"/>
    <col min="113" max="113" width="7" style="67" customWidth="1"/>
    <col min="114" max="114" width="4" style="67" customWidth="1"/>
    <col min="115" max="115" width="5.5703125" style="67" customWidth="1"/>
    <col min="116" max="116" width="7" style="67" customWidth="1"/>
    <col min="117" max="117" width="5.28515625" style="67" customWidth="1"/>
    <col min="118" max="118" width="7.7109375" style="67" customWidth="1"/>
    <col min="119" max="119" width="8.28515625" style="67" customWidth="1"/>
    <col min="120" max="120" width="4.85546875" style="67" customWidth="1"/>
    <col min="121" max="121" width="5.85546875" style="67" customWidth="1"/>
    <col min="122" max="122" width="5.42578125" style="67" customWidth="1"/>
    <col min="123" max="123" width="11.28515625" style="67" bestFit="1" customWidth="1"/>
    <col min="124" max="16384" width="9.140625" style="67"/>
  </cols>
  <sheetData>
    <row r="1" spans="1:10" s="104" customFormat="1" ht="26.25" customHeight="1" x14ac:dyDescent="0.25">
      <c r="A1" s="106" t="s">
        <v>3</v>
      </c>
      <c r="B1" s="105" t="s">
        <v>723</v>
      </c>
      <c r="C1" s="106" t="s">
        <v>711</v>
      </c>
      <c r="D1" s="105" t="s">
        <v>712</v>
      </c>
      <c r="E1" s="106" t="s">
        <v>710</v>
      </c>
      <c r="F1" s="105" t="s">
        <v>709</v>
      </c>
      <c r="G1" s="106" t="s">
        <v>715</v>
      </c>
      <c r="H1" s="105" t="s">
        <v>713</v>
      </c>
      <c r="I1" s="106" t="s">
        <v>710</v>
      </c>
      <c r="J1" s="105" t="s">
        <v>714</v>
      </c>
    </row>
    <row r="2" spans="1:10" x14ac:dyDescent="0.25">
      <c r="A2" s="101" t="str">
        <f>Roster!C22</f>
        <v>0718</v>
      </c>
      <c r="B2" s="67" t="str">
        <f>'All Docks'!Z2</f>
        <v>0718</v>
      </c>
      <c r="C2" s="107">
        <f>COUNTIF(Roster!$I$7:$T$10,A2)</f>
        <v>0</v>
      </c>
      <c r="D2" s="102">
        <f>COUNTIF('All Docks'!$C$5:$V$59,B2)</f>
        <v>0</v>
      </c>
      <c r="E2" s="101" t="str">
        <f>IF(C2 = 0, A2,"")</f>
        <v>0718</v>
      </c>
      <c r="F2" s="67" t="str">
        <f>IF(D2 = 0, B2,"")</f>
        <v>0718</v>
      </c>
      <c r="G2" s="101" t="str">
        <f>IF(C2 &gt; 0, A2,"")</f>
        <v/>
      </c>
      <c r="H2" s="67" t="str">
        <f>IF(D2 &gt; 0, B2,"")</f>
        <v/>
      </c>
      <c r="I2" s="108" t="str">
        <f>IFERROR(INDEX($E$2:$E$159,_xlfn.AGGREGATE(15,6,(ROW($E$2:$E$159)-ROW($E$2)+1)/($E$2:$E$159&lt;&gt;""),ROWS($I$2:I2)))," ")</f>
        <v>0718</v>
      </c>
      <c r="J2" s="67" t="str">
        <f>IFERROR(INDEX($F$2:$F$159,_xlfn.AGGREGATE(15,6,(ROW($F$2:$F$159)-ROW($E$2)+1)/($F$2:$F$159&lt;&gt;""),ROWS($J$2:J2)))," ")</f>
        <v>0718</v>
      </c>
    </row>
    <row r="3" spans="1:10" x14ac:dyDescent="0.25">
      <c r="A3" s="101" t="str">
        <f>Roster!C23</f>
        <v>Ahvix</v>
      </c>
      <c r="B3" s="67" t="str">
        <f>'All Docks'!Z3</f>
        <v>Ahvix</v>
      </c>
      <c r="C3" s="580">
        <f>COUNTIF(Roster!$I$7:$T$10,A3)</f>
        <v>0</v>
      </c>
      <c r="D3" s="487">
        <f>COUNTIF('All Docks'!$C$5:$V$59,B3)</f>
        <v>0</v>
      </c>
      <c r="E3" s="101" t="str">
        <f t="shared" ref="E3:E66" si="0">IF(C3 = 0, A3,"")</f>
        <v>Ahvix</v>
      </c>
      <c r="F3" s="67" t="str">
        <f t="shared" ref="F3:F66" si="1">IF(D3 = 0, B3,"")</f>
        <v>Ahvix</v>
      </c>
      <c r="G3" s="101" t="str">
        <f t="shared" ref="G3:G66" si="2">IF(C3 &gt; 0, A3,"")</f>
        <v/>
      </c>
      <c r="H3" s="67" t="str">
        <f t="shared" ref="H3:H66" si="3">IF(D3 &gt; 0, B3,"")</f>
        <v/>
      </c>
      <c r="I3" s="108" t="str">
        <f>IFERROR(INDEX($E$2:$E$159,_xlfn.AGGREGATE(15,6,(ROW($E$2:$E$159)-ROW($E$2)+1)/($E$2:$E$159&lt;&gt;""),ROWS($I$2:I3)))," ")</f>
        <v>Ahvix</v>
      </c>
      <c r="J3" s="67" t="str">
        <f>IFERROR(INDEX($F$2:$F$159,_xlfn.AGGREGATE(15,6,(ROW($F$2:$F$159)-ROW($E$2)+1)/($F$2:$F$159&lt;&gt;""),ROWS($J$2:J3)))," ")</f>
        <v>Ahvix</v>
      </c>
    </row>
    <row r="4" spans="1:10" x14ac:dyDescent="0.25">
      <c r="A4" s="101" t="str">
        <f>Roster!C24</f>
        <v>Airiam</v>
      </c>
      <c r="B4" s="67" t="str">
        <f>'All Docks'!Z4</f>
        <v>Airiam</v>
      </c>
      <c r="C4" s="580">
        <f>COUNTIF(Roster!$I$7:$T$10,A4)</f>
        <v>0</v>
      </c>
      <c r="D4" s="487">
        <f>COUNTIF('All Docks'!$C$5:$V$59,B4)</f>
        <v>0</v>
      </c>
      <c r="E4" s="101" t="str">
        <f t="shared" si="0"/>
        <v>Airiam</v>
      </c>
      <c r="F4" s="67" t="str">
        <f t="shared" si="1"/>
        <v>Airiam</v>
      </c>
      <c r="G4" s="101" t="str">
        <f t="shared" si="2"/>
        <v/>
      </c>
      <c r="H4" s="67" t="str">
        <f t="shared" si="3"/>
        <v/>
      </c>
      <c r="I4" s="108" t="str">
        <f>IFERROR(INDEX($E$2:$E$159,_xlfn.AGGREGATE(15,6,(ROW($E$2:$E$159)-ROW($E$2)+1)/($E$2:$E$159&lt;&gt;""),ROWS($I$2:I4)))," ")</f>
        <v>Airiam</v>
      </c>
      <c r="J4" s="67" t="str">
        <f>IFERROR(INDEX($F$2:$F$159,_xlfn.AGGREGATE(15,6,(ROW($F$2:$F$159)-ROW($E$2)+1)/($F$2:$F$159&lt;&gt;""),ROWS($J$2:J4)))," ")</f>
        <v>Airiam</v>
      </c>
    </row>
    <row r="5" spans="1:10" x14ac:dyDescent="0.25">
      <c r="A5" s="101" t="str">
        <f>Roster!C25</f>
        <v>Arix</v>
      </c>
      <c r="B5" s="67" t="str">
        <f>'All Docks'!Z5</f>
        <v>Arix</v>
      </c>
      <c r="C5" s="580">
        <f>COUNTIF(Roster!$I$7:$T$10,A5)</f>
        <v>0</v>
      </c>
      <c r="D5" s="487">
        <f>COUNTIF('All Docks'!$C$5:$V$59,B5)</f>
        <v>0</v>
      </c>
      <c r="E5" s="101" t="str">
        <f t="shared" si="0"/>
        <v>Arix</v>
      </c>
      <c r="F5" s="67" t="str">
        <f t="shared" si="1"/>
        <v>Arix</v>
      </c>
      <c r="G5" s="101" t="str">
        <f t="shared" si="2"/>
        <v/>
      </c>
      <c r="H5" s="67" t="str">
        <f t="shared" si="3"/>
        <v/>
      </c>
      <c r="I5" s="108" t="str">
        <f>IFERROR(INDEX($E$2:$E$159,_xlfn.AGGREGATE(15,6,(ROW($E$2:$E$159)-ROW($E$2)+1)/($E$2:$E$159&lt;&gt;""),ROWS($I$2:I5)))," ")</f>
        <v>Arix</v>
      </c>
      <c r="J5" s="67" t="str">
        <f>IFERROR(INDEX($F$2:$F$159,_xlfn.AGGREGATE(15,6,(ROW($F$2:$F$159)-ROW($E$2)+1)/($F$2:$F$159&lt;&gt;""),ROWS($J$2:J5)))," ")</f>
        <v>Arix</v>
      </c>
    </row>
    <row r="6" spans="1:10" x14ac:dyDescent="0.25">
      <c r="A6" s="101" t="str">
        <f>Roster!C26</f>
        <v>Arkady</v>
      </c>
      <c r="B6" s="67" t="str">
        <f>'All Docks'!Z6</f>
        <v>Arkady</v>
      </c>
      <c r="C6" s="580">
        <f>COUNTIF(Roster!$I$7:$T$10,A6)</f>
        <v>0</v>
      </c>
      <c r="D6" s="487">
        <f>COUNTIF('All Docks'!$C$5:$V$59,B6)</f>
        <v>0</v>
      </c>
      <c r="E6" s="101" t="str">
        <f t="shared" si="0"/>
        <v>Arkady</v>
      </c>
      <c r="F6" s="67" t="str">
        <f t="shared" si="1"/>
        <v>Arkady</v>
      </c>
      <c r="G6" s="101" t="str">
        <f t="shared" si="2"/>
        <v/>
      </c>
      <c r="H6" s="67" t="str">
        <f t="shared" si="3"/>
        <v/>
      </c>
      <c r="I6" s="108" t="str">
        <f>IFERROR(INDEX($E$2:$E$159,_xlfn.AGGREGATE(15,6,(ROW($E$2:$E$159)-ROW($E$2)+1)/($E$2:$E$159&lt;&gt;""),ROWS($I$2:I6)))," ")</f>
        <v>Arkady</v>
      </c>
      <c r="J6" s="67" t="str">
        <f>IFERROR(INDEX($F$2:$F$159,_xlfn.AGGREGATE(15,6,(ROW($F$2:$F$159)-ROW($E$2)+1)/($F$2:$F$159&lt;&gt;""),ROWS($J$2:J6)))," ")</f>
        <v>Arkady</v>
      </c>
    </row>
    <row r="7" spans="1:10" x14ac:dyDescent="0.25">
      <c r="A7" s="101" t="str">
        <f>Roster!C27</f>
        <v>Arrock</v>
      </c>
      <c r="B7" s="67" t="str">
        <f>'All Docks'!Z7</f>
        <v>Arrock</v>
      </c>
      <c r="C7" s="580">
        <f>COUNTIF(Roster!$I$7:$T$10,A7)</f>
        <v>0</v>
      </c>
      <c r="D7" s="487">
        <f>COUNTIF('All Docks'!$C$5:$V$59,B7)</f>
        <v>0</v>
      </c>
      <c r="E7" s="101" t="str">
        <f t="shared" si="0"/>
        <v>Arrock</v>
      </c>
      <c r="F7" s="67" t="str">
        <f t="shared" si="1"/>
        <v>Arrock</v>
      </c>
      <c r="G7" s="101" t="str">
        <f t="shared" si="2"/>
        <v/>
      </c>
      <c r="H7" s="67" t="str">
        <f t="shared" si="3"/>
        <v/>
      </c>
      <c r="I7" s="108" t="str">
        <f>IFERROR(INDEX($E$2:$E$159,_xlfn.AGGREGATE(15,6,(ROW($E$2:$E$159)-ROW($E$2)+1)/($E$2:$E$159&lt;&gt;""),ROWS($I$2:I7)))," ")</f>
        <v>Arrock</v>
      </c>
      <c r="J7" s="67" t="str">
        <f>IFERROR(INDEX($F$2:$F$159,_xlfn.AGGREGATE(15,6,(ROW($F$2:$F$159)-ROW($E$2)+1)/($F$2:$F$159&lt;&gt;""),ROWS($J$2:J7)))," ")</f>
        <v>Arrock</v>
      </c>
    </row>
    <row r="8" spans="1:10" x14ac:dyDescent="0.25">
      <c r="A8" s="101" t="str">
        <f>Roster!C28</f>
        <v>Azetbur</v>
      </c>
      <c r="B8" s="67" t="str">
        <f>'All Docks'!Z8</f>
        <v>Azetbur</v>
      </c>
      <c r="C8" s="580">
        <f>COUNTIF(Roster!$I$7:$T$10,A8)</f>
        <v>0</v>
      </c>
      <c r="D8" s="487">
        <f>COUNTIF('All Docks'!$C$5:$V$59,B8)</f>
        <v>0</v>
      </c>
      <c r="E8" s="101" t="str">
        <f t="shared" si="0"/>
        <v>Azetbur</v>
      </c>
      <c r="F8" s="67" t="str">
        <f t="shared" si="1"/>
        <v>Azetbur</v>
      </c>
      <c r="G8" s="101" t="str">
        <f t="shared" si="2"/>
        <v/>
      </c>
      <c r="H8" s="67" t="str">
        <f t="shared" si="3"/>
        <v/>
      </c>
      <c r="I8" s="108" t="str">
        <f>IFERROR(INDEX($E$2:$E$159,_xlfn.AGGREGATE(15,6,(ROW($E$2:$E$159)-ROW($E$2)+1)/($E$2:$E$159&lt;&gt;""),ROWS($I$2:I8)))," ")</f>
        <v>Azetbur</v>
      </c>
      <c r="J8" s="67" t="str">
        <f>IFERROR(INDEX($F$2:$F$159,_xlfn.AGGREGATE(15,6,(ROW($F$2:$F$159)-ROW($E$2)+1)/($F$2:$F$159&lt;&gt;""),ROWS($J$2:J8)))," ")</f>
        <v>Azetbur</v>
      </c>
    </row>
    <row r="9" spans="1:10" x14ac:dyDescent="0.25">
      <c r="A9" s="101" t="str">
        <f>Roster!C29</f>
        <v>Badgey</v>
      </c>
      <c r="B9" s="67" t="str">
        <f>'All Docks'!Z9</f>
        <v>Badgey</v>
      </c>
      <c r="C9" s="580">
        <f>COUNTIF(Roster!$I$7:$T$10,A9)</f>
        <v>0</v>
      </c>
      <c r="D9" s="487">
        <f>COUNTIF('All Docks'!$C$5:$V$59,B9)</f>
        <v>0</v>
      </c>
      <c r="E9" s="101" t="str">
        <f t="shared" si="0"/>
        <v>Badgey</v>
      </c>
      <c r="F9" s="67" t="str">
        <f t="shared" si="1"/>
        <v>Badgey</v>
      </c>
      <c r="G9" s="101" t="str">
        <f t="shared" si="2"/>
        <v/>
      </c>
      <c r="H9" s="67" t="str">
        <f t="shared" si="3"/>
        <v/>
      </c>
      <c r="I9" s="108" t="str">
        <f>IFERROR(INDEX($E$2:$E$159,_xlfn.AGGREGATE(15,6,(ROW($E$2:$E$159)-ROW($E$2)+1)/($E$2:$E$159&lt;&gt;""),ROWS($I$2:I9)))," ")</f>
        <v>Badgey</v>
      </c>
      <c r="J9" s="67" t="str">
        <f>IFERROR(INDEX($F$2:$F$159,_xlfn.AGGREGATE(15,6,(ROW($F$2:$F$159)-ROW($E$2)+1)/($F$2:$F$159&lt;&gt;""),ROWS($J$2:J9)))," ")</f>
        <v>Badgey</v>
      </c>
    </row>
    <row r="10" spans="1:10" x14ac:dyDescent="0.25">
      <c r="A10" s="101" t="str">
        <f>Roster!C30</f>
        <v>Ba'el</v>
      </c>
      <c r="B10" s="67" t="str">
        <f>'All Docks'!Z10</f>
        <v>Ba'el</v>
      </c>
      <c r="C10" s="580">
        <f>COUNTIF(Roster!$I$7:$T$10,A10)</f>
        <v>0</v>
      </c>
      <c r="D10" s="487">
        <f>COUNTIF('All Docks'!$C$5:$V$59,B10)</f>
        <v>0</v>
      </c>
      <c r="E10" s="101" t="str">
        <f t="shared" si="0"/>
        <v>Ba'el</v>
      </c>
      <c r="F10" s="67" t="str">
        <f t="shared" si="1"/>
        <v>Ba'el</v>
      </c>
      <c r="G10" s="101" t="str">
        <f t="shared" si="2"/>
        <v/>
      </c>
      <c r="H10" s="67" t="str">
        <f t="shared" si="3"/>
        <v/>
      </c>
      <c r="I10" s="108" t="str">
        <f>IFERROR(INDEX($E$2:$E$159,_xlfn.AGGREGATE(15,6,(ROW($E$2:$E$159)-ROW($E$2)+1)/($E$2:$E$159&lt;&gt;""),ROWS($I$2:I10)))," ")</f>
        <v>Ba'el</v>
      </c>
      <c r="J10" s="67" t="str">
        <f>IFERROR(INDEX($F$2:$F$159,_xlfn.AGGREGATE(15,6,(ROW($F$2:$F$159)-ROW($E$2)+1)/($F$2:$F$159&lt;&gt;""),ROWS($J$2:J10)))," ")</f>
        <v>Ba'el</v>
      </c>
    </row>
    <row r="11" spans="1:10" x14ac:dyDescent="0.25">
      <c r="A11" s="101" t="str">
        <f>Roster!C31</f>
        <v>Barot</v>
      </c>
      <c r="B11" s="67" t="str">
        <f>'All Docks'!Z11</f>
        <v>Barot</v>
      </c>
      <c r="C11" s="580">
        <f>COUNTIF(Roster!$I$7:$T$10,A11)</f>
        <v>0</v>
      </c>
      <c r="D11" s="487">
        <f>COUNTIF('All Docks'!$C$5:$V$59,B11)</f>
        <v>0</v>
      </c>
      <c r="E11" s="101" t="str">
        <f t="shared" si="0"/>
        <v>Barot</v>
      </c>
      <c r="F11" s="67" t="str">
        <f t="shared" si="1"/>
        <v>Barot</v>
      </c>
      <c r="G11" s="101" t="str">
        <f t="shared" si="2"/>
        <v/>
      </c>
      <c r="H11" s="67" t="str">
        <f t="shared" si="3"/>
        <v/>
      </c>
      <c r="I11" s="108" t="str">
        <f>IFERROR(INDEX($E$2:$E$159,_xlfn.AGGREGATE(15,6,(ROW($E$2:$E$159)-ROW($E$2)+1)/($E$2:$E$159&lt;&gt;""),ROWS($I$2:I11)))," ")</f>
        <v>Barot</v>
      </c>
      <c r="J11" s="67" t="str">
        <f>IFERROR(INDEX($F$2:$F$159,_xlfn.AGGREGATE(15,6,(ROW($F$2:$F$159)-ROW($E$2)+1)/($F$2:$F$159&lt;&gt;""),ROWS($J$2:J11)))," ")</f>
        <v>Barot</v>
      </c>
    </row>
    <row r="12" spans="1:10" x14ac:dyDescent="0.25">
      <c r="A12" s="101" t="str">
        <f>Roster!C32</f>
        <v>Beckett Mariner</v>
      </c>
      <c r="B12" s="67" t="str">
        <f>'All Docks'!Z12</f>
        <v>Beckett Mariner</v>
      </c>
      <c r="C12" s="580">
        <f>COUNTIF(Roster!$I$7:$T$10,A12)</f>
        <v>0</v>
      </c>
      <c r="D12" s="487">
        <f>COUNTIF('All Docks'!$C$5:$V$59,B12)</f>
        <v>0</v>
      </c>
      <c r="E12" s="101" t="str">
        <f t="shared" si="0"/>
        <v>Beckett Mariner</v>
      </c>
      <c r="F12" s="67" t="str">
        <f t="shared" si="1"/>
        <v>Beckett Mariner</v>
      </c>
      <c r="G12" s="101" t="str">
        <f t="shared" si="2"/>
        <v/>
      </c>
      <c r="H12" s="67" t="str">
        <f t="shared" si="3"/>
        <v/>
      </c>
      <c r="I12" s="108" t="str">
        <f>IFERROR(INDEX($E$2:$E$159,_xlfn.AGGREGATE(15,6,(ROW($E$2:$E$159)-ROW($E$2)+1)/($E$2:$E$159&lt;&gt;""),ROWS($I$2:I12)))," ")</f>
        <v>Beckett Mariner</v>
      </c>
      <c r="J12" s="67" t="str">
        <f>IFERROR(INDEX($F$2:$F$159,_xlfn.AGGREGATE(15,6,(ROW($F$2:$F$159)-ROW($E$2)+1)/($F$2:$F$159&lt;&gt;""),ROWS($J$2:J12)))," ")</f>
        <v>Beckett Mariner</v>
      </c>
    </row>
    <row r="13" spans="1:10" x14ac:dyDescent="0.25">
      <c r="A13" s="101" t="str">
        <f>Roster!C33</f>
        <v>B'Etor</v>
      </c>
      <c r="B13" s="67" t="str">
        <f>'All Docks'!Z13</f>
        <v>B'Etor</v>
      </c>
      <c r="C13" s="580">
        <f>COUNTIF(Roster!$I$7:$T$10,A13)</f>
        <v>0</v>
      </c>
      <c r="D13" s="487">
        <f>COUNTIF('All Docks'!$C$5:$V$59,B13)</f>
        <v>0</v>
      </c>
      <c r="E13" s="101" t="str">
        <f t="shared" si="0"/>
        <v>B'Etor</v>
      </c>
      <c r="F13" s="67" t="str">
        <f t="shared" si="1"/>
        <v>B'Etor</v>
      </c>
      <c r="G13" s="101" t="str">
        <f t="shared" si="2"/>
        <v/>
      </c>
      <c r="H13" s="67" t="str">
        <f t="shared" si="3"/>
        <v/>
      </c>
      <c r="I13" s="108" t="str">
        <f>IFERROR(INDEX($E$2:$E$159,_xlfn.AGGREGATE(15,6,(ROW($E$2:$E$159)-ROW($E$2)+1)/($E$2:$E$159&lt;&gt;""),ROWS($I$2:I13)))," ")</f>
        <v>B'Etor</v>
      </c>
      <c r="J13" s="67" t="str">
        <f>IFERROR(INDEX($F$2:$F$159,_xlfn.AGGREGATE(15,6,(ROW($F$2:$F$159)-ROW($E$2)+1)/($F$2:$F$159&lt;&gt;""),ROWS($J$2:J13)))," ")</f>
        <v>B'Etor</v>
      </c>
    </row>
    <row r="14" spans="1:10" x14ac:dyDescent="0.25">
      <c r="A14" s="101" t="str">
        <f>Roster!C34</f>
        <v>Beverly Crusher</v>
      </c>
      <c r="B14" s="67" t="str">
        <f>'All Docks'!Z14</f>
        <v>Beverly Crusher</v>
      </c>
      <c r="C14" s="580">
        <f>COUNTIF(Roster!$I$7:$T$10,A14)</f>
        <v>0</v>
      </c>
      <c r="D14" s="487">
        <f>COUNTIF('All Docks'!$C$5:$V$59,B14)</f>
        <v>0</v>
      </c>
      <c r="E14" s="101" t="str">
        <f t="shared" si="0"/>
        <v>Beverly Crusher</v>
      </c>
      <c r="F14" s="67" t="str">
        <f t="shared" si="1"/>
        <v>Beverly Crusher</v>
      </c>
      <c r="G14" s="101" t="str">
        <f t="shared" si="2"/>
        <v/>
      </c>
      <c r="H14" s="67" t="str">
        <f t="shared" si="3"/>
        <v/>
      </c>
      <c r="I14" s="108" t="str">
        <f>IFERROR(INDEX($E$2:$E$159,_xlfn.AGGREGATE(15,6,(ROW($E$2:$E$159)-ROW($E$2)+1)/($E$2:$E$159&lt;&gt;""),ROWS($I$2:I14)))," ")</f>
        <v>Beverly Crusher</v>
      </c>
      <c r="J14" s="67" t="str">
        <f>IFERROR(INDEX($F$2:$F$159,_xlfn.AGGREGATE(15,6,(ROW($F$2:$F$159)-ROW($E$2)+1)/($F$2:$F$159&lt;&gt;""),ROWS($J$2:J14)))," ")</f>
        <v>Beverly Crusher</v>
      </c>
    </row>
    <row r="15" spans="1:10" x14ac:dyDescent="0.25">
      <c r="A15" s="101" t="str">
        <f>Roster!C35</f>
        <v>Bones</v>
      </c>
      <c r="B15" s="67" t="str">
        <f>'All Docks'!Z15</f>
        <v>Bones</v>
      </c>
      <c r="C15" s="580">
        <f>COUNTIF(Roster!$I$7:$T$10,A15)</f>
        <v>0</v>
      </c>
      <c r="D15" s="487">
        <f>COUNTIF('All Docks'!$C$5:$V$59,B15)</f>
        <v>0</v>
      </c>
      <c r="E15" s="101" t="str">
        <f t="shared" si="0"/>
        <v>Bones</v>
      </c>
      <c r="F15" s="67" t="str">
        <f t="shared" si="1"/>
        <v>Bones</v>
      </c>
      <c r="G15" s="101" t="str">
        <f t="shared" si="2"/>
        <v/>
      </c>
      <c r="H15" s="67" t="str">
        <f t="shared" si="3"/>
        <v/>
      </c>
      <c r="I15" s="108" t="str">
        <f>IFERROR(INDEX($E$2:$E$159,_xlfn.AGGREGATE(15,6,(ROW($E$2:$E$159)-ROW($E$2)+1)/($E$2:$E$159&lt;&gt;""),ROWS($I$2:I15)))," ")</f>
        <v>Bones</v>
      </c>
      <c r="J15" s="67" t="str">
        <f>IFERROR(INDEX($F$2:$F$159,_xlfn.AGGREGATE(15,6,(ROW($F$2:$F$159)-ROW($E$2)+1)/($F$2:$F$159&lt;&gt;""),ROWS($J$2:J15)))," ")</f>
        <v>Bones</v>
      </c>
    </row>
    <row r="16" spans="1:10" x14ac:dyDescent="0.25">
      <c r="A16" s="101" t="str">
        <f>Roster!C36</f>
        <v>Brad Boimler</v>
      </c>
      <c r="B16" s="67" t="str">
        <f>'All Docks'!Z16</f>
        <v>Brad Boimler</v>
      </c>
      <c r="C16" s="580">
        <f>COUNTIF(Roster!$I$7:$T$10,A16)</f>
        <v>0</v>
      </c>
      <c r="D16" s="487">
        <f>COUNTIF('All Docks'!$C$5:$V$59,B16)</f>
        <v>0</v>
      </c>
      <c r="E16" s="101" t="str">
        <f t="shared" si="0"/>
        <v>Brad Boimler</v>
      </c>
      <c r="F16" s="67" t="str">
        <f t="shared" si="1"/>
        <v>Brad Boimler</v>
      </c>
      <c r="G16" s="101" t="str">
        <f t="shared" si="2"/>
        <v/>
      </c>
      <c r="H16" s="67" t="str">
        <f t="shared" si="3"/>
        <v/>
      </c>
      <c r="I16" s="108" t="str">
        <f>IFERROR(INDEX($E$2:$E$159,_xlfn.AGGREGATE(15,6,(ROW($E$2:$E$159)-ROW($E$2)+1)/($E$2:$E$159&lt;&gt;""),ROWS($I$2:I16)))," ")</f>
        <v>Brad Boimler</v>
      </c>
      <c r="J16" s="67" t="str">
        <f>IFERROR(INDEX($F$2:$F$159,_xlfn.AGGREGATE(15,6,(ROW($F$2:$F$159)-ROW($E$2)+1)/($F$2:$F$159&lt;&gt;""),ROWS($J$2:J16)))," ")</f>
        <v>Brad Boimler</v>
      </c>
    </row>
    <row r="17" spans="1:10" x14ac:dyDescent="0.25">
      <c r="A17" s="101" t="str">
        <f>Roster!C37</f>
        <v>Cadet Kirk</v>
      </c>
      <c r="B17" s="67" t="str">
        <f>'All Docks'!Z17</f>
        <v>Cadet Kirk</v>
      </c>
      <c r="C17" s="580">
        <f>COUNTIF(Roster!$I$7:$T$10,A17)</f>
        <v>0</v>
      </c>
      <c r="D17" s="487">
        <f>COUNTIF('All Docks'!$C$5:$V$59,B17)</f>
        <v>0</v>
      </c>
      <c r="E17" s="101" t="str">
        <f t="shared" si="0"/>
        <v>Cadet Kirk</v>
      </c>
      <c r="F17" s="67" t="str">
        <f t="shared" si="1"/>
        <v>Cadet Kirk</v>
      </c>
      <c r="G17" s="101" t="str">
        <f t="shared" si="2"/>
        <v/>
      </c>
      <c r="H17" s="67" t="str">
        <f t="shared" si="3"/>
        <v/>
      </c>
      <c r="I17" s="108" t="str">
        <f>IFERROR(INDEX($E$2:$E$159,_xlfn.AGGREGATE(15,6,(ROW($E$2:$E$159)-ROW($E$2)+1)/($E$2:$E$159&lt;&gt;""),ROWS($I$2:I17)))," ")</f>
        <v>Cadet Kirk</v>
      </c>
      <c r="J17" s="67" t="str">
        <f>IFERROR(INDEX($F$2:$F$159,_xlfn.AGGREGATE(15,6,(ROW($F$2:$F$159)-ROW($E$2)+1)/($F$2:$F$159&lt;&gt;""),ROWS($J$2:J17)))," ")</f>
        <v>Cadet Kirk</v>
      </c>
    </row>
    <row r="18" spans="1:10" x14ac:dyDescent="0.25">
      <c r="A18" s="101" t="str">
        <f>Roster!C38</f>
        <v>Cadet McCoy</v>
      </c>
      <c r="B18" s="67" t="str">
        <f>'All Docks'!Z18</f>
        <v>Cadet McCoy</v>
      </c>
      <c r="C18" s="580">
        <f>COUNTIF(Roster!$I$7:$T$10,A18)</f>
        <v>0</v>
      </c>
      <c r="D18" s="487">
        <f>COUNTIF('All Docks'!$C$5:$V$59,B18)</f>
        <v>0</v>
      </c>
      <c r="E18" s="101" t="str">
        <f t="shared" si="0"/>
        <v>Cadet McCoy</v>
      </c>
      <c r="F18" s="67" t="str">
        <f t="shared" si="1"/>
        <v>Cadet McCoy</v>
      </c>
      <c r="G18" s="101" t="str">
        <f t="shared" si="2"/>
        <v/>
      </c>
      <c r="H18" s="67" t="str">
        <f t="shared" si="3"/>
        <v/>
      </c>
      <c r="I18" s="108" t="str">
        <f>IFERROR(INDEX($E$2:$E$159,_xlfn.AGGREGATE(15,6,(ROW($E$2:$E$159)-ROW($E$2)+1)/($E$2:$E$159&lt;&gt;""),ROWS($I$2:I18)))," ")</f>
        <v>Cadet McCoy</v>
      </c>
      <c r="J18" s="67" t="str">
        <f>IFERROR(INDEX($F$2:$F$159,_xlfn.AGGREGATE(15,6,(ROW($F$2:$F$159)-ROW($E$2)+1)/($F$2:$F$159&lt;&gt;""),ROWS($J$2:J18)))," ")</f>
        <v>Cadet McCoy</v>
      </c>
    </row>
    <row r="19" spans="1:10" x14ac:dyDescent="0.25">
      <c r="A19" s="101" t="str">
        <f>Roster!C39</f>
        <v>Cadet Scotty</v>
      </c>
      <c r="B19" s="67" t="str">
        <f>'All Docks'!Z19</f>
        <v>Cadet Scotty</v>
      </c>
      <c r="C19" s="580">
        <f>COUNTIF(Roster!$I$7:$T$10,A19)</f>
        <v>0</v>
      </c>
      <c r="D19" s="487">
        <f>COUNTIF('All Docks'!$C$5:$V$59,B19)</f>
        <v>0</v>
      </c>
      <c r="E19" s="101" t="str">
        <f t="shared" si="0"/>
        <v>Cadet Scotty</v>
      </c>
      <c r="F19" s="67" t="str">
        <f t="shared" si="1"/>
        <v>Cadet Scotty</v>
      </c>
      <c r="G19" s="101" t="str">
        <f t="shared" si="2"/>
        <v/>
      </c>
      <c r="H19" s="67" t="str">
        <f t="shared" si="3"/>
        <v/>
      </c>
      <c r="I19" s="108" t="str">
        <f>IFERROR(INDEX($E$2:$E$159,_xlfn.AGGREGATE(15,6,(ROW($E$2:$E$159)-ROW($E$2)+1)/($E$2:$E$159&lt;&gt;""),ROWS($I$2:I19)))," ")</f>
        <v>Cadet Scotty</v>
      </c>
      <c r="J19" s="67" t="str">
        <f>IFERROR(INDEX($F$2:$F$159,_xlfn.AGGREGATE(15,6,(ROW($F$2:$F$159)-ROW($E$2)+1)/($F$2:$F$159&lt;&gt;""),ROWS($J$2:J19)))," ")</f>
        <v>Cadet Scotty</v>
      </c>
    </row>
    <row r="20" spans="1:10" x14ac:dyDescent="0.25">
      <c r="A20" s="101" t="str">
        <f>Roster!C40</f>
        <v>Cadet Sulu</v>
      </c>
      <c r="B20" s="67" t="str">
        <f>'All Docks'!Z20</f>
        <v>Cadet Sulu</v>
      </c>
      <c r="C20" s="580">
        <f>COUNTIF(Roster!$I$7:$T$10,A20)</f>
        <v>0</v>
      </c>
      <c r="D20" s="487">
        <f>COUNTIF('All Docks'!$C$5:$V$59,B20)</f>
        <v>0</v>
      </c>
      <c r="E20" s="101" t="str">
        <f t="shared" si="0"/>
        <v>Cadet Sulu</v>
      </c>
      <c r="F20" s="67" t="str">
        <f t="shared" si="1"/>
        <v>Cadet Sulu</v>
      </c>
      <c r="G20" s="101" t="str">
        <f t="shared" si="2"/>
        <v/>
      </c>
      <c r="H20" s="67" t="str">
        <f t="shared" si="3"/>
        <v/>
      </c>
      <c r="I20" s="108" t="str">
        <f>IFERROR(INDEX($E$2:$E$159,_xlfn.AGGREGATE(15,6,(ROW($E$2:$E$159)-ROW($E$2)+1)/($E$2:$E$159&lt;&gt;""),ROWS($I$2:I20)))," ")</f>
        <v>Cadet Sulu</v>
      </c>
      <c r="J20" s="67" t="str">
        <f>IFERROR(INDEX($F$2:$F$159,_xlfn.AGGREGATE(15,6,(ROW($F$2:$F$159)-ROW($E$2)+1)/($F$2:$F$159&lt;&gt;""),ROWS($J$2:J20)))," ")</f>
        <v>Cadet Sulu</v>
      </c>
    </row>
    <row r="21" spans="1:10" x14ac:dyDescent="0.25">
      <c r="A21" s="101" t="str">
        <f>Roster!C41</f>
        <v>Cadet Uhura</v>
      </c>
      <c r="B21" s="67" t="str">
        <f>'All Docks'!Z21</f>
        <v>Cadet Uhura</v>
      </c>
      <c r="C21" s="580">
        <f>COUNTIF(Roster!$I$7:$T$10,A21)</f>
        <v>0</v>
      </c>
      <c r="D21" s="487">
        <f>COUNTIF('All Docks'!$C$5:$V$59,B21)</f>
        <v>0</v>
      </c>
      <c r="E21" s="101" t="str">
        <f t="shared" si="0"/>
        <v>Cadet Uhura</v>
      </c>
      <c r="F21" s="67" t="str">
        <f t="shared" si="1"/>
        <v>Cadet Uhura</v>
      </c>
      <c r="G21" s="101" t="str">
        <f t="shared" si="2"/>
        <v/>
      </c>
      <c r="H21" s="67" t="str">
        <f t="shared" si="3"/>
        <v/>
      </c>
      <c r="I21" s="108" t="str">
        <f>IFERROR(INDEX($E$2:$E$159,_xlfn.AGGREGATE(15,6,(ROW($E$2:$E$159)-ROW($E$2)+1)/($E$2:$E$159&lt;&gt;""),ROWS($I$2:I21)))," ")</f>
        <v>Cadet Uhura</v>
      </c>
      <c r="J21" s="67" t="str">
        <f>IFERROR(INDEX($F$2:$F$159,_xlfn.AGGREGATE(15,6,(ROW($F$2:$F$159)-ROW($E$2)+1)/($F$2:$F$159&lt;&gt;""),ROWS($J$2:J21)))," ")</f>
        <v>Cadet Uhura</v>
      </c>
    </row>
    <row r="22" spans="1:10" x14ac:dyDescent="0.25">
      <c r="A22" s="101" t="str">
        <f>Roster!C42</f>
        <v>Captain Tilly</v>
      </c>
      <c r="B22" s="67" t="str">
        <f>'All Docks'!Z22</f>
        <v>Captain Tilly</v>
      </c>
      <c r="C22" s="580">
        <f>COUNTIF(Roster!$I$7:$T$10,A22)</f>
        <v>0</v>
      </c>
      <c r="D22" s="487">
        <f>COUNTIF('All Docks'!$C$5:$V$59,B22)</f>
        <v>0</v>
      </c>
      <c r="E22" s="101" t="str">
        <f t="shared" si="0"/>
        <v>Captain Tilly</v>
      </c>
      <c r="F22" s="67" t="str">
        <f t="shared" si="1"/>
        <v>Captain Tilly</v>
      </c>
      <c r="G22" s="101" t="str">
        <f t="shared" si="2"/>
        <v/>
      </c>
      <c r="H22" s="67" t="str">
        <f t="shared" si="3"/>
        <v/>
      </c>
      <c r="I22" s="108" t="str">
        <f>IFERROR(INDEX($E$2:$E$159,_xlfn.AGGREGATE(15,6,(ROW($E$2:$E$159)-ROW($E$2)+1)/($E$2:$E$159&lt;&gt;""),ROWS($I$2:I22)))," ")</f>
        <v>Captain Tilly</v>
      </c>
      <c r="J22" s="67" t="str">
        <f>IFERROR(INDEX($F$2:$F$159,_xlfn.AGGREGATE(15,6,(ROW($F$2:$F$159)-ROW($E$2)+1)/($F$2:$F$159&lt;&gt;""),ROWS($J$2:J22)))," ")</f>
        <v>Captain Tilly</v>
      </c>
    </row>
    <row r="23" spans="1:10" x14ac:dyDescent="0.25">
      <c r="A23" s="101" t="str">
        <f>Roster!C43</f>
        <v>Carol</v>
      </c>
      <c r="B23" s="67" t="str">
        <f>'All Docks'!Z23</f>
        <v>Carol</v>
      </c>
      <c r="C23" s="580">
        <f>COUNTIF(Roster!$I$7:$T$10,A23)</f>
        <v>0</v>
      </c>
      <c r="D23" s="487">
        <f>COUNTIF('All Docks'!$C$5:$V$59,B23)</f>
        <v>0</v>
      </c>
      <c r="E23" s="101" t="str">
        <f t="shared" si="0"/>
        <v>Carol</v>
      </c>
      <c r="F23" s="67" t="str">
        <f t="shared" si="1"/>
        <v>Carol</v>
      </c>
      <c r="G23" s="101" t="str">
        <f t="shared" si="2"/>
        <v/>
      </c>
      <c r="H23" s="67" t="str">
        <f t="shared" si="3"/>
        <v/>
      </c>
      <c r="I23" s="108" t="str">
        <f>IFERROR(INDEX($E$2:$E$159,_xlfn.AGGREGATE(15,6,(ROW($E$2:$E$159)-ROW($E$2)+1)/($E$2:$E$159&lt;&gt;""),ROWS($I$2:I23)))," ")</f>
        <v>Carol</v>
      </c>
      <c r="J23" s="67" t="str">
        <f>IFERROR(INDEX($F$2:$F$159,_xlfn.AGGREGATE(15,6,(ROW($F$2:$F$159)-ROW($E$2)+1)/($F$2:$F$159&lt;&gt;""),ROWS($J$2:J23)))," ")</f>
        <v>Carol</v>
      </c>
    </row>
    <row r="24" spans="1:10" x14ac:dyDescent="0.25">
      <c r="A24" s="101" t="str">
        <f>Roster!C44</f>
        <v>Cath</v>
      </c>
      <c r="B24" s="67" t="str">
        <f>'All Docks'!Z24</f>
        <v>Cath</v>
      </c>
      <c r="C24" s="580">
        <f>COUNTIF(Roster!$I$7:$T$10,A24)</f>
        <v>0</v>
      </c>
      <c r="D24" s="487">
        <f>COUNTIF('All Docks'!$C$5:$V$59,B24)</f>
        <v>0</v>
      </c>
      <c r="E24" s="101" t="str">
        <f t="shared" si="0"/>
        <v>Cath</v>
      </c>
      <c r="F24" s="67" t="str">
        <f t="shared" si="1"/>
        <v>Cath</v>
      </c>
      <c r="G24" s="101" t="str">
        <f t="shared" si="2"/>
        <v/>
      </c>
      <c r="H24" s="67" t="str">
        <f t="shared" si="3"/>
        <v/>
      </c>
      <c r="I24" s="108" t="str">
        <f>IFERROR(INDEX($E$2:$E$159,_xlfn.AGGREGATE(15,6,(ROW($E$2:$E$159)-ROW($E$2)+1)/($E$2:$E$159&lt;&gt;""),ROWS($I$2:I24)))," ")</f>
        <v>Cath</v>
      </c>
      <c r="J24" s="67" t="str">
        <f>IFERROR(INDEX($F$2:$F$159,_xlfn.AGGREGATE(15,6,(ROW($F$2:$F$159)-ROW($E$2)+1)/($F$2:$F$159&lt;&gt;""),ROWS($J$2:J24)))," ")</f>
        <v>Cath</v>
      </c>
    </row>
    <row r="25" spans="1:10" x14ac:dyDescent="0.25">
      <c r="A25" s="101" t="str">
        <f>Roster!C45</f>
        <v>Chang</v>
      </c>
      <c r="B25" s="67" t="str">
        <f>'All Docks'!Z25</f>
        <v>Chang</v>
      </c>
      <c r="C25" s="580">
        <f>COUNTIF(Roster!$I$7:$T$10,A25)</f>
        <v>0</v>
      </c>
      <c r="D25" s="487">
        <f>COUNTIF('All Docks'!$C$5:$V$59,B25)</f>
        <v>0</v>
      </c>
      <c r="E25" s="101" t="str">
        <f t="shared" si="0"/>
        <v>Chang</v>
      </c>
      <c r="F25" s="67" t="str">
        <f t="shared" si="1"/>
        <v>Chang</v>
      </c>
      <c r="G25" s="101" t="str">
        <f t="shared" si="2"/>
        <v/>
      </c>
      <c r="H25" s="67" t="str">
        <f t="shared" si="3"/>
        <v/>
      </c>
      <c r="I25" s="108" t="str">
        <f>IFERROR(INDEX($E$2:$E$159,_xlfn.AGGREGATE(15,6,(ROW($E$2:$E$159)-ROW($E$2)+1)/($E$2:$E$159&lt;&gt;""),ROWS($I$2:I25)))," ")</f>
        <v>Chang</v>
      </c>
      <c r="J25" s="67" t="str">
        <f>IFERROR(INDEX($F$2:$F$159,_xlfn.AGGREGATE(15,6,(ROW($F$2:$F$159)-ROW($E$2)+1)/($F$2:$F$159&lt;&gt;""),ROWS($J$2:J25)))," ")</f>
        <v>Chang</v>
      </c>
    </row>
    <row r="26" spans="1:10" x14ac:dyDescent="0.25">
      <c r="A26" s="101" t="str">
        <f>Roster!C46</f>
        <v>Charvanek</v>
      </c>
      <c r="B26" s="67" t="str">
        <f>'All Docks'!Z26</f>
        <v>Charvanek</v>
      </c>
      <c r="C26" s="580">
        <f>COUNTIF(Roster!$I$7:$T$10,A26)</f>
        <v>0</v>
      </c>
      <c r="D26" s="487">
        <f>COUNTIF('All Docks'!$C$5:$V$59,B26)</f>
        <v>0</v>
      </c>
      <c r="E26" s="101" t="str">
        <f t="shared" si="0"/>
        <v>Charvanek</v>
      </c>
      <c r="F26" s="67" t="str">
        <f t="shared" si="1"/>
        <v>Charvanek</v>
      </c>
      <c r="G26" s="101" t="str">
        <f t="shared" si="2"/>
        <v/>
      </c>
      <c r="H26" s="67" t="str">
        <f t="shared" si="3"/>
        <v/>
      </c>
      <c r="I26" s="108" t="str">
        <f>IFERROR(INDEX($E$2:$E$159,_xlfn.AGGREGATE(15,6,(ROW($E$2:$E$159)-ROW($E$2)+1)/($E$2:$E$159&lt;&gt;""),ROWS($I$2:I26)))," ")</f>
        <v>Charvanek</v>
      </c>
      <c r="J26" s="67" t="str">
        <f>IFERROR(INDEX($F$2:$F$159,_xlfn.AGGREGATE(15,6,(ROW($F$2:$F$159)-ROW($E$2)+1)/($F$2:$F$159&lt;&gt;""),ROWS($J$2:J26)))," ")</f>
        <v>Charvanek</v>
      </c>
    </row>
    <row r="27" spans="1:10" x14ac:dyDescent="0.25">
      <c r="A27" s="101" t="str">
        <f>Roster!C47</f>
        <v>Chen</v>
      </c>
      <c r="B27" s="67" t="str">
        <f>'All Docks'!Z27</f>
        <v>Chen</v>
      </c>
      <c r="C27" s="580">
        <f>COUNTIF(Roster!$I$7:$T$10,A27)</f>
        <v>0</v>
      </c>
      <c r="D27" s="487">
        <f>COUNTIF('All Docks'!$C$5:$V$59,B27)</f>
        <v>0</v>
      </c>
      <c r="E27" s="101" t="str">
        <f t="shared" si="0"/>
        <v>Chen</v>
      </c>
      <c r="F27" s="67" t="str">
        <f t="shared" si="1"/>
        <v>Chen</v>
      </c>
      <c r="G27" s="101" t="str">
        <f t="shared" si="2"/>
        <v/>
      </c>
      <c r="H27" s="67" t="str">
        <f t="shared" si="3"/>
        <v/>
      </c>
      <c r="I27" s="108" t="str">
        <f>IFERROR(INDEX($E$2:$E$159,_xlfn.AGGREGATE(15,6,(ROW($E$2:$E$159)-ROW($E$2)+1)/($E$2:$E$159&lt;&gt;""),ROWS($I$2:I27)))," ")</f>
        <v>Chen</v>
      </c>
      <c r="J27" s="67" t="str">
        <f>IFERROR(INDEX($F$2:$F$159,_xlfn.AGGREGATE(15,6,(ROW($F$2:$F$159)-ROW($E$2)+1)/($F$2:$F$159&lt;&gt;""),ROWS($J$2:J27)))," ")</f>
        <v>Chen</v>
      </c>
    </row>
    <row r="28" spans="1:10" x14ac:dyDescent="0.25">
      <c r="A28" s="101" t="str">
        <f>Roster!C48</f>
        <v>Culber</v>
      </c>
      <c r="B28" s="67" t="str">
        <f>'All Docks'!Z28</f>
        <v>Culber</v>
      </c>
      <c r="C28" s="580">
        <f>COUNTIF(Roster!$I$7:$T$10,A28)</f>
        <v>0</v>
      </c>
      <c r="D28" s="487">
        <f>COUNTIF('All Docks'!$C$5:$V$59,B28)</f>
        <v>0</v>
      </c>
      <c r="E28" s="101" t="str">
        <f t="shared" si="0"/>
        <v>Culber</v>
      </c>
      <c r="F28" s="67" t="str">
        <f t="shared" si="1"/>
        <v>Culber</v>
      </c>
      <c r="G28" s="101" t="str">
        <f t="shared" si="2"/>
        <v/>
      </c>
      <c r="H28" s="67" t="str">
        <f t="shared" si="3"/>
        <v/>
      </c>
      <c r="I28" s="108" t="str">
        <f>IFERROR(INDEX($E$2:$E$159,_xlfn.AGGREGATE(15,6,(ROW($E$2:$E$159)-ROW($E$2)+1)/($E$2:$E$159&lt;&gt;""),ROWS($I$2:I28)))," ")</f>
        <v>Culber</v>
      </c>
      <c r="J28" s="67" t="str">
        <f>IFERROR(INDEX($F$2:$F$159,_xlfn.AGGREGATE(15,6,(ROW($F$2:$F$159)-ROW($E$2)+1)/($F$2:$F$159&lt;&gt;""),ROWS($J$2:J28)))," ")</f>
        <v>Culber</v>
      </c>
    </row>
    <row r="29" spans="1:10" x14ac:dyDescent="0.25">
      <c r="A29" s="101" t="str">
        <f>Roster!C49</f>
        <v>Darwin</v>
      </c>
      <c r="B29" s="67" t="str">
        <f>'All Docks'!Z29</f>
        <v>Darwin</v>
      </c>
      <c r="C29" s="580">
        <f>COUNTIF(Roster!$I$7:$T$10,A29)</f>
        <v>0</v>
      </c>
      <c r="D29" s="487">
        <f>COUNTIF('All Docks'!$C$5:$V$59,B29)</f>
        <v>0</v>
      </c>
      <c r="E29" s="101" t="str">
        <f t="shared" si="0"/>
        <v>Darwin</v>
      </c>
      <c r="F29" s="67" t="str">
        <f t="shared" si="1"/>
        <v>Darwin</v>
      </c>
      <c r="G29" s="101" t="str">
        <f t="shared" si="2"/>
        <v/>
      </c>
      <c r="H29" s="67" t="str">
        <f t="shared" si="3"/>
        <v/>
      </c>
      <c r="I29" s="108" t="str">
        <f>IFERROR(INDEX($E$2:$E$159,_xlfn.AGGREGATE(15,6,(ROW($E$2:$E$159)-ROW($E$2)+1)/($E$2:$E$159&lt;&gt;""),ROWS($I$2:I29)))," ")</f>
        <v>Darwin</v>
      </c>
      <c r="J29" s="67" t="str">
        <f>IFERROR(INDEX($F$2:$F$159,_xlfn.AGGREGATE(15,6,(ROW($F$2:$F$159)-ROW($E$2)+1)/($F$2:$F$159&lt;&gt;""),ROWS($J$2:J29)))," ")</f>
        <v>Darwin</v>
      </c>
    </row>
    <row r="30" spans="1:10" x14ac:dyDescent="0.25">
      <c r="A30" s="101" t="str">
        <f>Roster!C50</f>
        <v>Data</v>
      </c>
      <c r="B30" s="67" t="str">
        <f>'All Docks'!Z30</f>
        <v>Data</v>
      </c>
      <c r="C30" s="580">
        <f>COUNTIF(Roster!$I$7:$T$10,A30)</f>
        <v>0</v>
      </c>
      <c r="D30" s="487">
        <f>COUNTIF('All Docks'!$C$5:$V$59,B30)</f>
        <v>0</v>
      </c>
      <c r="E30" s="101" t="str">
        <f t="shared" si="0"/>
        <v>Data</v>
      </c>
      <c r="F30" s="67" t="str">
        <f t="shared" si="1"/>
        <v>Data</v>
      </c>
      <c r="G30" s="101" t="str">
        <f t="shared" si="2"/>
        <v/>
      </c>
      <c r="H30" s="67" t="str">
        <f t="shared" si="3"/>
        <v/>
      </c>
      <c r="I30" s="108" t="str">
        <f>IFERROR(INDEX($E$2:$E$159,_xlfn.AGGREGATE(15,6,(ROW($E$2:$E$159)-ROW($E$2)+1)/($E$2:$E$159&lt;&gt;""),ROWS($I$2:I30)))," ")</f>
        <v>Data</v>
      </c>
      <c r="J30" s="67" t="str">
        <f>IFERROR(INDEX($F$2:$F$159,_xlfn.AGGREGATE(15,6,(ROW($F$2:$F$159)-ROW($E$2)+1)/($F$2:$F$159&lt;&gt;""),ROWS($J$2:J30)))," ")</f>
        <v>Data</v>
      </c>
    </row>
    <row r="31" spans="1:10" x14ac:dyDescent="0.25">
      <c r="A31" s="101" t="str">
        <f>Roster!C51</f>
        <v>Deanna Troi</v>
      </c>
      <c r="B31" s="67" t="str">
        <f>'All Docks'!Z31</f>
        <v>Deanna Troi</v>
      </c>
      <c r="C31" s="580">
        <f>COUNTIF(Roster!$I$7:$T$10,A31)</f>
        <v>0</v>
      </c>
      <c r="D31" s="487">
        <f>COUNTIF('All Docks'!$C$5:$V$59,B31)</f>
        <v>0</v>
      </c>
      <c r="E31" s="101" t="str">
        <f t="shared" si="0"/>
        <v>Deanna Troi</v>
      </c>
      <c r="F31" s="67" t="str">
        <f t="shared" si="1"/>
        <v>Deanna Troi</v>
      </c>
      <c r="G31" s="101" t="str">
        <f t="shared" si="2"/>
        <v/>
      </c>
      <c r="H31" s="67" t="str">
        <f t="shared" si="3"/>
        <v/>
      </c>
      <c r="I31" s="108" t="str">
        <f>IFERROR(INDEX($E$2:$E$159,_xlfn.AGGREGATE(15,6,(ROW($E$2:$E$159)-ROW($E$2)+1)/($E$2:$E$159&lt;&gt;""),ROWS($I$2:I31)))," ")</f>
        <v>Deanna Troi</v>
      </c>
      <c r="J31" s="67" t="str">
        <f>IFERROR(INDEX($F$2:$F$159,_xlfn.AGGREGATE(15,6,(ROW($F$2:$F$159)-ROW($E$2)+1)/($F$2:$F$159&lt;&gt;""),ROWS($J$2:J31)))," ")</f>
        <v>Deanna Troi</v>
      </c>
    </row>
    <row r="32" spans="1:10" x14ac:dyDescent="0.25">
      <c r="A32" s="101" t="str">
        <f>Roster!C52</f>
        <v>Decius</v>
      </c>
      <c r="B32" s="67" t="str">
        <f>'All Docks'!Z32</f>
        <v>Decius</v>
      </c>
      <c r="C32" s="580">
        <f>COUNTIF(Roster!$I$7:$T$10,A32)</f>
        <v>0</v>
      </c>
      <c r="D32" s="487">
        <f>COUNTIF('All Docks'!$C$5:$V$59,B32)</f>
        <v>0</v>
      </c>
      <c r="E32" s="101" t="str">
        <f t="shared" si="0"/>
        <v>Decius</v>
      </c>
      <c r="F32" s="67" t="str">
        <f t="shared" si="1"/>
        <v>Decius</v>
      </c>
      <c r="G32" s="101" t="str">
        <f t="shared" si="2"/>
        <v/>
      </c>
      <c r="H32" s="67" t="str">
        <f t="shared" si="3"/>
        <v/>
      </c>
      <c r="I32" s="108" t="str">
        <f>IFERROR(INDEX($E$2:$E$159,_xlfn.AGGREGATE(15,6,(ROW($E$2:$E$159)-ROW($E$2)+1)/($E$2:$E$159&lt;&gt;""),ROWS($I$2:I32)))," ")</f>
        <v>Decius</v>
      </c>
      <c r="J32" s="67" t="str">
        <f>IFERROR(INDEX($F$2:$F$159,_xlfn.AGGREGATE(15,6,(ROW($F$2:$F$159)-ROW($E$2)+1)/($F$2:$F$159&lt;&gt;""),ROWS($J$2:J32)))," ")</f>
        <v>Decius</v>
      </c>
    </row>
    <row r="33" spans="1:10" x14ac:dyDescent="0.25">
      <c r="A33" s="101" t="str">
        <f>Roster!C53</f>
        <v>D'Jaoki</v>
      </c>
      <c r="B33" s="67" t="str">
        <f>'All Docks'!Z33</f>
        <v>D'Jaoki</v>
      </c>
      <c r="C33" s="580">
        <f>COUNTIF(Roster!$I$7:$T$10,A33)</f>
        <v>0</v>
      </c>
      <c r="D33" s="487">
        <f>COUNTIF('All Docks'!$C$5:$V$59,B33)</f>
        <v>0</v>
      </c>
      <c r="E33" s="101" t="str">
        <f t="shared" si="0"/>
        <v>D'Jaoki</v>
      </c>
      <c r="F33" s="67" t="str">
        <f t="shared" si="1"/>
        <v>D'Jaoki</v>
      </c>
      <c r="G33" s="101" t="str">
        <f t="shared" si="2"/>
        <v/>
      </c>
      <c r="H33" s="67" t="str">
        <f t="shared" si="3"/>
        <v/>
      </c>
      <c r="I33" s="108" t="str">
        <f>IFERROR(INDEX($E$2:$E$159,_xlfn.AGGREGATE(15,6,(ROW($E$2:$E$159)-ROW($E$2)+1)/($E$2:$E$159&lt;&gt;""),ROWS($I$2:I33)))," ")</f>
        <v>D'Jaoki</v>
      </c>
      <c r="J33" s="67" t="str">
        <f>IFERROR(INDEX($F$2:$F$159,_xlfn.AGGREGATE(15,6,(ROW($F$2:$F$159)-ROW($E$2)+1)/($F$2:$F$159&lt;&gt;""),ROWS($J$2:J33)))," ")</f>
        <v>D'Jaoki</v>
      </c>
    </row>
    <row r="34" spans="1:10" x14ac:dyDescent="0.25">
      <c r="A34" s="101" t="str">
        <f>Roster!C54</f>
        <v>Domitia</v>
      </c>
      <c r="B34" s="67" t="str">
        <f>'All Docks'!Z34</f>
        <v>Domitia</v>
      </c>
      <c r="C34" s="580">
        <f>COUNTIF(Roster!$I$7:$T$10,A34)</f>
        <v>0</v>
      </c>
      <c r="D34" s="487">
        <f>COUNTIF('All Docks'!$C$5:$V$59,B34)</f>
        <v>0</v>
      </c>
      <c r="E34" s="101" t="str">
        <f t="shared" si="0"/>
        <v>Domitia</v>
      </c>
      <c r="F34" s="67" t="str">
        <f t="shared" si="1"/>
        <v>Domitia</v>
      </c>
      <c r="G34" s="101" t="str">
        <f t="shared" si="2"/>
        <v/>
      </c>
      <c r="H34" s="67" t="str">
        <f t="shared" si="3"/>
        <v/>
      </c>
      <c r="I34" s="108" t="str">
        <f>IFERROR(INDEX($E$2:$E$159,_xlfn.AGGREGATE(15,6,(ROW($E$2:$E$159)-ROW($E$2)+1)/($E$2:$E$159&lt;&gt;""),ROWS($I$2:I34)))," ")</f>
        <v>Domitia</v>
      </c>
      <c r="J34" s="67" t="str">
        <f>IFERROR(INDEX($F$2:$F$159,_xlfn.AGGREGATE(15,6,(ROW($F$2:$F$159)-ROW($E$2)+1)/($F$2:$F$159&lt;&gt;""),ROWS($J$2:J34)))," ")</f>
        <v>Domitia</v>
      </c>
    </row>
    <row r="35" spans="1:10" x14ac:dyDescent="0.25">
      <c r="A35" s="101" t="str">
        <f>Roster!C55</f>
        <v>Dupont</v>
      </c>
      <c r="B35" s="67" t="str">
        <f>'All Docks'!Z35</f>
        <v>Dupont</v>
      </c>
      <c r="C35" s="580">
        <f>COUNTIF(Roster!$I$7:$T$10,A35)</f>
        <v>0</v>
      </c>
      <c r="D35" s="487">
        <f>COUNTIF('All Docks'!$C$5:$V$59,B35)</f>
        <v>0</v>
      </c>
      <c r="E35" s="101" t="str">
        <f t="shared" si="0"/>
        <v>Dupont</v>
      </c>
      <c r="F35" s="67" t="str">
        <f t="shared" si="1"/>
        <v>Dupont</v>
      </c>
      <c r="G35" s="101" t="str">
        <f t="shared" si="2"/>
        <v/>
      </c>
      <c r="H35" s="67" t="str">
        <f t="shared" si="3"/>
        <v/>
      </c>
      <c r="I35" s="108" t="str">
        <f>IFERROR(INDEX($E$2:$E$159,_xlfn.AGGREGATE(15,6,(ROW($E$2:$E$159)-ROW($E$2)+1)/($E$2:$E$159&lt;&gt;""),ROWS($I$2:I35)))," ")</f>
        <v>Dupont</v>
      </c>
      <c r="J35" s="67" t="str">
        <f>IFERROR(INDEX($F$2:$F$159,_xlfn.AGGREGATE(15,6,(ROW($F$2:$F$159)-ROW($E$2)+1)/($F$2:$F$159&lt;&gt;""),ROWS($J$2:J35)))," ")</f>
        <v>Dupont</v>
      </c>
    </row>
    <row r="36" spans="1:10" x14ac:dyDescent="0.25">
      <c r="A36" s="101" t="str">
        <f>Roster!C56</f>
        <v>Eight Of Eleven</v>
      </c>
      <c r="B36" s="67" t="str">
        <f>'All Docks'!Z36</f>
        <v>Eight Of Eleven</v>
      </c>
      <c r="C36" s="580">
        <f>COUNTIF(Roster!$I$7:$T$10,A36)</f>
        <v>0</v>
      </c>
      <c r="D36" s="487">
        <f>COUNTIF('All Docks'!$C$5:$V$59,B36)</f>
        <v>0</v>
      </c>
      <c r="E36" s="101" t="str">
        <f t="shared" si="0"/>
        <v>Eight Of Eleven</v>
      </c>
      <c r="F36" s="67" t="str">
        <f t="shared" si="1"/>
        <v>Eight Of Eleven</v>
      </c>
      <c r="G36" s="101" t="str">
        <f t="shared" si="2"/>
        <v/>
      </c>
      <c r="H36" s="67" t="str">
        <f t="shared" si="3"/>
        <v/>
      </c>
      <c r="I36" s="108" t="str">
        <f>IFERROR(INDEX($E$2:$E$159,_xlfn.AGGREGATE(15,6,(ROW($E$2:$E$159)-ROW($E$2)+1)/($E$2:$E$159&lt;&gt;""),ROWS($I$2:I36)))," ")</f>
        <v>Eight Of Eleven</v>
      </c>
      <c r="J36" s="67" t="str">
        <f>IFERROR(INDEX($F$2:$F$159,_xlfn.AGGREGATE(15,6,(ROW($F$2:$F$159)-ROW($E$2)+1)/($F$2:$F$159&lt;&gt;""),ROWS($J$2:J36)))," ")</f>
        <v>Eight Of Eleven</v>
      </c>
    </row>
    <row r="37" spans="1:10" x14ac:dyDescent="0.25">
      <c r="A37" s="101" t="str">
        <f>Roster!C57</f>
        <v>Eleven Of Eleven</v>
      </c>
      <c r="B37" s="67" t="str">
        <f>'All Docks'!Z37</f>
        <v>Eleven Of Eleven</v>
      </c>
      <c r="C37" s="580">
        <f>COUNTIF(Roster!$I$7:$T$10,A37)</f>
        <v>0</v>
      </c>
      <c r="D37" s="487">
        <f>COUNTIF('All Docks'!$C$5:$V$59,B37)</f>
        <v>0</v>
      </c>
      <c r="E37" s="101" t="str">
        <f t="shared" si="0"/>
        <v>Eleven Of Eleven</v>
      </c>
      <c r="F37" s="67" t="str">
        <f t="shared" si="1"/>
        <v>Eleven Of Eleven</v>
      </c>
      <c r="G37" s="101" t="str">
        <f t="shared" si="2"/>
        <v/>
      </c>
      <c r="H37" s="67" t="str">
        <f t="shared" si="3"/>
        <v/>
      </c>
      <c r="I37" s="108" t="str">
        <f>IFERROR(INDEX($E$2:$E$159,_xlfn.AGGREGATE(15,6,(ROW($E$2:$E$159)-ROW($E$2)+1)/($E$2:$E$159&lt;&gt;""),ROWS($I$2:I37)))," ")</f>
        <v>Eleven Of Eleven</v>
      </c>
      <c r="J37" s="67" t="str">
        <f>IFERROR(INDEX($F$2:$F$159,_xlfn.AGGREGATE(15,6,(ROW($F$2:$F$159)-ROW($E$2)+1)/($F$2:$F$159&lt;&gt;""),ROWS($J$2:J37)))," ")</f>
        <v>Eleven Of Eleven</v>
      </c>
    </row>
    <row r="38" spans="1:10" x14ac:dyDescent="0.25">
      <c r="A38" s="101" t="str">
        <f>Roster!C58</f>
        <v>Emperor Georgiou</v>
      </c>
      <c r="B38" s="67" t="str">
        <f>'All Docks'!Z38</f>
        <v>Emperor Georgiou</v>
      </c>
      <c r="C38" s="580">
        <f>COUNTIF(Roster!$I$7:$T$10,A38)</f>
        <v>0</v>
      </c>
      <c r="D38" s="487">
        <f>COUNTIF('All Docks'!$C$5:$V$59,B38)</f>
        <v>0</v>
      </c>
      <c r="E38" s="101" t="str">
        <f t="shared" si="0"/>
        <v>Emperor Georgiou</v>
      </c>
      <c r="F38" s="67" t="str">
        <f t="shared" si="1"/>
        <v>Emperor Georgiou</v>
      </c>
      <c r="G38" s="101" t="str">
        <f t="shared" si="2"/>
        <v/>
      </c>
      <c r="H38" s="67" t="str">
        <f t="shared" si="3"/>
        <v/>
      </c>
      <c r="I38" s="108" t="str">
        <f>IFERROR(INDEX($E$2:$E$159,_xlfn.AGGREGATE(15,6,(ROW($E$2:$E$159)-ROW($E$2)+1)/($E$2:$E$159&lt;&gt;""),ROWS($I$2:I38)))," ")</f>
        <v>Emperor Georgiou</v>
      </c>
      <c r="J38" s="67" t="str">
        <f>IFERROR(INDEX($F$2:$F$159,_xlfn.AGGREGATE(15,6,(ROW($F$2:$F$159)-ROW($E$2)+1)/($F$2:$F$159&lt;&gt;""),ROWS($J$2:J38)))," ")</f>
        <v>Emperor Georgiou</v>
      </c>
    </row>
    <row r="39" spans="1:10" x14ac:dyDescent="0.25">
      <c r="A39" s="101" t="str">
        <f>Roster!C59</f>
        <v>Eurydice</v>
      </c>
      <c r="B39" s="67" t="str">
        <f>'All Docks'!Z39</f>
        <v>Eurydice</v>
      </c>
      <c r="C39" s="580">
        <f>COUNTIF(Roster!$I$7:$T$10,A39)</f>
        <v>0</v>
      </c>
      <c r="D39" s="487">
        <f>COUNTIF('All Docks'!$C$5:$V$59,B39)</f>
        <v>0</v>
      </c>
      <c r="E39" s="101" t="str">
        <f t="shared" si="0"/>
        <v>Eurydice</v>
      </c>
      <c r="F39" s="67" t="str">
        <f t="shared" si="1"/>
        <v>Eurydice</v>
      </c>
      <c r="G39" s="101" t="str">
        <f t="shared" si="2"/>
        <v/>
      </c>
      <c r="H39" s="67" t="str">
        <f t="shared" si="3"/>
        <v/>
      </c>
      <c r="I39" s="108" t="str">
        <f>IFERROR(INDEX($E$2:$E$159,_xlfn.AGGREGATE(15,6,(ROW($E$2:$E$159)-ROW($E$2)+1)/($E$2:$E$159&lt;&gt;""),ROWS($I$2:I39)))," ")</f>
        <v>Eurydice</v>
      </c>
      <c r="J39" s="67" t="str">
        <f>IFERROR(INDEX($F$2:$F$159,_xlfn.AGGREGATE(15,6,(ROW($F$2:$F$159)-ROW($E$2)+1)/($F$2:$F$159&lt;&gt;""),ROWS($J$2:J39)))," ")</f>
        <v>Eurydice</v>
      </c>
    </row>
    <row r="40" spans="1:10" x14ac:dyDescent="0.25">
      <c r="A40" s="101" t="str">
        <f>Roster!C60</f>
        <v>Fess</v>
      </c>
      <c r="B40" s="67" t="str">
        <f>'All Docks'!Z40</f>
        <v>Fess</v>
      </c>
      <c r="C40" s="580">
        <f>COUNTIF(Roster!$I$7:$T$10,A40)</f>
        <v>0</v>
      </c>
      <c r="D40" s="487">
        <f>COUNTIF('All Docks'!$C$5:$V$59,B40)</f>
        <v>0</v>
      </c>
      <c r="E40" s="101" t="str">
        <f t="shared" si="0"/>
        <v>Fess</v>
      </c>
      <c r="F40" s="67" t="str">
        <f t="shared" si="1"/>
        <v>Fess</v>
      </c>
      <c r="G40" s="101" t="str">
        <f t="shared" si="2"/>
        <v/>
      </c>
      <c r="H40" s="67" t="str">
        <f t="shared" si="3"/>
        <v/>
      </c>
      <c r="I40" s="108" t="str">
        <f>IFERROR(INDEX($E$2:$E$159,_xlfn.AGGREGATE(15,6,(ROW($E$2:$E$159)-ROW($E$2)+1)/($E$2:$E$159&lt;&gt;""),ROWS($I$2:I40)))," ")</f>
        <v>Fess</v>
      </c>
      <c r="J40" s="67" t="str">
        <f>IFERROR(INDEX($F$2:$F$159,_xlfn.AGGREGATE(15,6,(ROW($F$2:$F$159)-ROW($E$2)+1)/($F$2:$F$159&lt;&gt;""),ROWS($J$2:J40)))," ")</f>
        <v>Fess</v>
      </c>
    </row>
    <row r="41" spans="1:10" x14ac:dyDescent="0.25">
      <c r="A41" s="101" t="str">
        <f>Roster!C61</f>
        <v>Five Of Eleven</v>
      </c>
      <c r="B41" s="67" t="str">
        <f>'All Docks'!Z41</f>
        <v>Five Of Eleven</v>
      </c>
      <c r="C41" s="580">
        <f>COUNTIF(Roster!$I$7:$T$10,A41)</f>
        <v>0</v>
      </c>
      <c r="D41" s="487">
        <f>COUNTIF('All Docks'!$C$5:$V$59,B41)</f>
        <v>0</v>
      </c>
      <c r="E41" s="101" t="str">
        <f t="shared" si="0"/>
        <v>Five Of Eleven</v>
      </c>
      <c r="F41" s="67" t="str">
        <f t="shared" si="1"/>
        <v>Five Of Eleven</v>
      </c>
      <c r="G41" s="101" t="str">
        <f t="shared" si="2"/>
        <v/>
      </c>
      <c r="H41" s="67" t="str">
        <f t="shared" si="3"/>
        <v/>
      </c>
      <c r="I41" s="108" t="str">
        <f>IFERROR(INDEX($E$2:$E$159,_xlfn.AGGREGATE(15,6,(ROW($E$2:$E$159)-ROW($E$2)+1)/($E$2:$E$159&lt;&gt;""),ROWS($I$2:I41)))," ")</f>
        <v>Five Of Eleven</v>
      </c>
      <c r="J41" s="67" t="str">
        <f>IFERROR(INDEX($F$2:$F$159,_xlfn.AGGREGATE(15,6,(ROW($F$2:$F$159)-ROW($E$2)+1)/($F$2:$F$159&lt;&gt;""),ROWS($J$2:J41)))," ")</f>
        <v>Five Of Eleven</v>
      </c>
    </row>
    <row r="42" spans="1:10" x14ac:dyDescent="0.25">
      <c r="A42" s="101" t="str">
        <f>Roster!C62</f>
        <v>Four Of Eleven</v>
      </c>
      <c r="B42" s="67" t="str">
        <f>'All Docks'!Z42</f>
        <v>Four Of Eleven</v>
      </c>
      <c r="C42" s="580">
        <f>COUNTIF(Roster!$I$7:$T$10,A42)</f>
        <v>0</v>
      </c>
      <c r="D42" s="487">
        <f>COUNTIF('All Docks'!$C$5:$V$59,B42)</f>
        <v>0</v>
      </c>
      <c r="E42" s="101" t="str">
        <f t="shared" si="0"/>
        <v>Four Of Eleven</v>
      </c>
      <c r="F42" s="67" t="str">
        <f t="shared" si="1"/>
        <v>Four Of Eleven</v>
      </c>
      <c r="G42" s="101" t="str">
        <f t="shared" si="2"/>
        <v/>
      </c>
      <c r="H42" s="67" t="str">
        <f t="shared" si="3"/>
        <v/>
      </c>
      <c r="I42" s="108" t="str">
        <f>IFERROR(INDEX($E$2:$E$159,_xlfn.AGGREGATE(15,6,(ROW($E$2:$E$159)-ROW($E$2)+1)/($E$2:$E$159&lt;&gt;""),ROWS($I$2:I42)))," ")</f>
        <v>Four Of Eleven</v>
      </c>
      <c r="J42" s="67" t="str">
        <f>IFERROR(INDEX($F$2:$F$159,_xlfn.AGGREGATE(15,6,(ROW($F$2:$F$159)-ROW($E$2)+1)/($F$2:$F$159&lt;&gt;""),ROWS($J$2:J42)))," ")</f>
        <v>Four Of Eleven</v>
      </c>
    </row>
    <row r="43" spans="1:10" x14ac:dyDescent="0.25">
      <c r="A43" s="101" t="str">
        <f>Roster!C63</f>
        <v>Gaila</v>
      </c>
      <c r="B43" s="67" t="str">
        <f>'All Docks'!Z43</f>
        <v>Gaila</v>
      </c>
      <c r="C43" s="580">
        <f>COUNTIF(Roster!$I$7:$T$10,A43)</f>
        <v>0</v>
      </c>
      <c r="D43" s="487">
        <f>COUNTIF('All Docks'!$C$5:$V$59,B43)</f>
        <v>0</v>
      </c>
      <c r="E43" s="101" t="str">
        <f t="shared" si="0"/>
        <v>Gaila</v>
      </c>
      <c r="F43" s="67" t="str">
        <f t="shared" si="1"/>
        <v>Gaila</v>
      </c>
      <c r="G43" s="101" t="str">
        <f t="shared" si="2"/>
        <v/>
      </c>
      <c r="H43" s="67" t="str">
        <f t="shared" si="3"/>
        <v/>
      </c>
      <c r="I43" s="108" t="str">
        <f>IFERROR(INDEX($E$2:$E$159,_xlfn.AGGREGATE(15,6,(ROW($E$2:$E$159)-ROW($E$2)+1)/($E$2:$E$159&lt;&gt;""),ROWS($I$2:I43)))," ")</f>
        <v>Gaila</v>
      </c>
      <c r="J43" s="67" t="str">
        <f>IFERROR(INDEX($F$2:$F$159,_xlfn.AGGREGATE(15,6,(ROW($F$2:$F$159)-ROW($E$2)+1)/($F$2:$F$159&lt;&gt;""),ROWS($J$2:J43)))," ")</f>
        <v>Gaila</v>
      </c>
    </row>
    <row r="44" spans="1:10" x14ac:dyDescent="0.25">
      <c r="A44" s="101" t="str">
        <f>Roster!C64</f>
        <v>Geordi La Forge</v>
      </c>
      <c r="B44" s="67" t="str">
        <f>'All Docks'!Z44</f>
        <v>Geordi La Forge</v>
      </c>
      <c r="C44" s="580">
        <f>COUNTIF(Roster!$I$7:$T$10,A44)</f>
        <v>0</v>
      </c>
      <c r="D44" s="487">
        <f>COUNTIF('All Docks'!$C$5:$V$59,B44)</f>
        <v>0</v>
      </c>
      <c r="E44" s="101" t="str">
        <f t="shared" si="0"/>
        <v>Geordi La Forge</v>
      </c>
      <c r="F44" s="67" t="str">
        <f t="shared" si="1"/>
        <v>Geordi La Forge</v>
      </c>
      <c r="G44" s="101" t="str">
        <f t="shared" si="2"/>
        <v/>
      </c>
      <c r="H44" s="67" t="str">
        <f t="shared" si="3"/>
        <v/>
      </c>
      <c r="I44" s="108" t="str">
        <f>IFERROR(INDEX($E$2:$E$159,_xlfn.AGGREGATE(15,6,(ROW($E$2:$E$159)-ROW($E$2)+1)/($E$2:$E$159&lt;&gt;""),ROWS($I$2:I44)))," ")</f>
        <v>Geordi La Forge</v>
      </c>
      <c r="J44" s="67" t="str">
        <f>IFERROR(INDEX($F$2:$F$159,_xlfn.AGGREGATE(15,6,(ROW($F$2:$F$159)-ROW($E$2)+1)/($F$2:$F$159&lt;&gt;""),ROWS($J$2:J44)))," ")</f>
        <v>Geordi La Forge</v>
      </c>
    </row>
    <row r="45" spans="1:10" x14ac:dyDescent="0.25">
      <c r="A45" s="101" t="str">
        <f>Roster!C65</f>
        <v>Georgiou</v>
      </c>
      <c r="B45" s="67" t="str">
        <f>'All Docks'!Z45</f>
        <v>Georgiou</v>
      </c>
      <c r="C45" s="580">
        <f>COUNTIF(Roster!$I$7:$T$10,A45)</f>
        <v>0</v>
      </c>
      <c r="D45" s="487">
        <f>COUNTIF('All Docks'!$C$5:$V$59,B45)</f>
        <v>0</v>
      </c>
      <c r="E45" s="101" t="str">
        <f t="shared" si="0"/>
        <v>Georgiou</v>
      </c>
      <c r="F45" s="67" t="str">
        <f t="shared" si="1"/>
        <v>Georgiou</v>
      </c>
      <c r="G45" s="101" t="str">
        <f t="shared" si="2"/>
        <v/>
      </c>
      <c r="H45" s="67" t="str">
        <f t="shared" si="3"/>
        <v/>
      </c>
      <c r="I45" s="108" t="str">
        <f>IFERROR(INDEX($E$2:$E$159,_xlfn.AGGREGATE(15,6,(ROW($E$2:$E$159)-ROW($E$2)+1)/($E$2:$E$159&lt;&gt;""),ROWS($I$2:I45)))," ")</f>
        <v>Georgiou</v>
      </c>
      <c r="J45" s="67" t="str">
        <f>IFERROR(INDEX($F$2:$F$159,_xlfn.AGGREGATE(15,6,(ROW($F$2:$F$159)-ROW($E$2)+1)/($F$2:$F$159&lt;&gt;""),ROWS($J$2:J45)))," ")</f>
        <v>Georgiou</v>
      </c>
    </row>
    <row r="46" spans="1:10" x14ac:dyDescent="0.25">
      <c r="A46" s="101" t="str">
        <f>Roster!C66</f>
        <v>Ghrush</v>
      </c>
      <c r="B46" s="67" t="str">
        <f>'All Docks'!Z46</f>
        <v>Ghrush</v>
      </c>
      <c r="C46" s="580">
        <f>COUNTIF(Roster!$I$7:$T$10,A46)</f>
        <v>0</v>
      </c>
      <c r="D46" s="487">
        <f>COUNTIF('All Docks'!$C$5:$V$59,B46)</f>
        <v>0</v>
      </c>
      <c r="E46" s="101" t="str">
        <f t="shared" si="0"/>
        <v>Ghrush</v>
      </c>
      <c r="F46" s="67" t="str">
        <f t="shared" si="1"/>
        <v>Ghrush</v>
      </c>
      <c r="G46" s="101" t="str">
        <f t="shared" si="2"/>
        <v/>
      </c>
      <c r="H46" s="67" t="str">
        <f t="shared" si="3"/>
        <v/>
      </c>
      <c r="I46" s="108" t="str">
        <f>IFERROR(INDEX($E$2:$E$159,_xlfn.AGGREGATE(15,6,(ROW($E$2:$E$159)-ROW($E$2)+1)/($E$2:$E$159&lt;&gt;""),ROWS($I$2:I46)))," ")</f>
        <v>Ghrush</v>
      </c>
      <c r="J46" s="67" t="str">
        <f>IFERROR(INDEX($F$2:$F$159,_xlfn.AGGREGATE(15,6,(ROW($F$2:$F$159)-ROW($E$2)+1)/($F$2:$F$159&lt;&gt;""),ROWS($J$2:J46)))," ")</f>
        <v>Ghrush</v>
      </c>
    </row>
    <row r="47" spans="1:10" x14ac:dyDescent="0.25">
      <c r="A47" s="101" t="str">
        <f>Roster!C67</f>
        <v>Gonzales</v>
      </c>
      <c r="B47" s="67" t="str">
        <f>'All Docks'!Z47</f>
        <v>Gonzales</v>
      </c>
      <c r="C47" s="580">
        <f>COUNTIF(Roster!$I$7:$T$10,A47)</f>
        <v>0</v>
      </c>
      <c r="D47" s="487">
        <f>COUNTIF('All Docks'!$C$5:$V$59,B47)</f>
        <v>0</v>
      </c>
      <c r="E47" s="101" t="str">
        <f t="shared" si="0"/>
        <v>Gonzales</v>
      </c>
      <c r="F47" s="67" t="str">
        <f t="shared" si="1"/>
        <v>Gonzales</v>
      </c>
      <c r="G47" s="101" t="str">
        <f t="shared" si="2"/>
        <v/>
      </c>
      <c r="H47" s="67" t="str">
        <f t="shared" si="3"/>
        <v/>
      </c>
      <c r="I47" s="108" t="str">
        <f>IFERROR(INDEX($E$2:$E$159,_xlfn.AGGREGATE(15,6,(ROW($E$2:$E$159)-ROW($E$2)+1)/($E$2:$E$159&lt;&gt;""),ROWS($I$2:I47)))," ")</f>
        <v>Gonzales</v>
      </c>
      <c r="J47" s="67" t="str">
        <f>IFERROR(INDEX($F$2:$F$159,_xlfn.AGGREGATE(15,6,(ROW($F$2:$F$159)-ROW($E$2)+1)/($F$2:$F$159&lt;&gt;""),ROWS($J$2:J47)))," ")</f>
        <v>Gonzales</v>
      </c>
    </row>
    <row r="48" spans="1:10" x14ac:dyDescent="0.25">
      <c r="A48" s="101" t="str">
        <f>Roster!C68</f>
        <v>Goon</v>
      </c>
      <c r="B48" s="67" t="str">
        <f>'All Docks'!Z48</f>
        <v>Goon</v>
      </c>
      <c r="C48" s="580">
        <f>COUNTIF(Roster!$I$7:$T$10,A48)</f>
        <v>0</v>
      </c>
      <c r="D48" s="487">
        <f>COUNTIF('All Docks'!$C$5:$V$59,B48)</f>
        <v>0</v>
      </c>
      <c r="E48" s="101" t="str">
        <f t="shared" si="0"/>
        <v>Goon</v>
      </c>
      <c r="F48" s="67" t="str">
        <f t="shared" si="1"/>
        <v>Goon</v>
      </c>
      <c r="G48" s="101" t="str">
        <f t="shared" si="2"/>
        <v/>
      </c>
      <c r="H48" s="67" t="str">
        <f t="shared" si="3"/>
        <v/>
      </c>
      <c r="I48" s="108" t="str">
        <f>IFERROR(INDEX($E$2:$E$159,_xlfn.AGGREGATE(15,6,(ROW($E$2:$E$159)-ROW($E$2)+1)/($E$2:$E$159&lt;&gt;""),ROWS($I$2:I48)))," ")</f>
        <v>Goon</v>
      </c>
      <c r="J48" s="67" t="str">
        <f>IFERROR(INDEX($F$2:$F$159,_xlfn.AGGREGATE(15,6,(ROW($F$2:$F$159)-ROW($E$2)+1)/($F$2:$F$159&lt;&gt;""),ROWS($J$2:J48)))," ")</f>
        <v>Goon</v>
      </c>
    </row>
    <row r="49" spans="1:10" x14ac:dyDescent="0.25">
      <c r="A49" s="101" t="str">
        <f>Roster!C69</f>
        <v>Gorkon</v>
      </c>
      <c r="B49" s="67" t="str">
        <f>'All Docks'!Z49</f>
        <v>Gorkon</v>
      </c>
      <c r="C49" s="580">
        <f>COUNTIF(Roster!$I$7:$T$10,A49)</f>
        <v>0</v>
      </c>
      <c r="D49" s="487">
        <f>COUNTIF('All Docks'!$C$5:$V$59,B49)</f>
        <v>0</v>
      </c>
      <c r="E49" s="101" t="str">
        <f t="shared" si="0"/>
        <v>Gorkon</v>
      </c>
      <c r="F49" s="67" t="str">
        <f t="shared" si="1"/>
        <v>Gorkon</v>
      </c>
      <c r="G49" s="101" t="str">
        <f t="shared" si="2"/>
        <v/>
      </c>
      <c r="H49" s="67" t="str">
        <f t="shared" si="3"/>
        <v/>
      </c>
      <c r="I49" s="108" t="str">
        <f>IFERROR(INDEX($E$2:$E$159,_xlfn.AGGREGATE(15,6,(ROW($E$2:$E$159)-ROW($E$2)+1)/($E$2:$E$159&lt;&gt;""),ROWS($I$2:I49)))," ")</f>
        <v>Gorkon</v>
      </c>
      <c r="J49" s="67" t="str">
        <f>IFERROR(INDEX($F$2:$F$159,_xlfn.AGGREGATE(15,6,(ROW($F$2:$F$159)-ROW($E$2)+1)/($F$2:$F$159&lt;&gt;""),ROWS($J$2:J49)))," ")</f>
        <v>Gorkon</v>
      </c>
    </row>
    <row r="50" spans="1:10" x14ac:dyDescent="0.25">
      <c r="A50" s="101" t="str">
        <f>Roster!C70</f>
        <v>Gowron</v>
      </c>
      <c r="B50" s="67" t="str">
        <f>'All Docks'!Z50</f>
        <v>Gowron</v>
      </c>
      <c r="C50" s="580">
        <f>COUNTIF(Roster!$I$7:$T$10,A50)</f>
        <v>0</v>
      </c>
      <c r="D50" s="487">
        <f>COUNTIF('All Docks'!$C$5:$V$59,B50)</f>
        <v>0</v>
      </c>
      <c r="E50" s="101" t="str">
        <f t="shared" si="0"/>
        <v>Gowron</v>
      </c>
      <c r="F50" s="67" t="str">
        <f t="shared" si="1"/>
        <v>Gowron</v>
      </c>
      <c r="G50" s="101" t="str">
        <f t="shared" si="2"/>
        <v/>
      </c>
      <c r="H50" s="67" t="str">
        <f t="shared" si="3"/>
        <v/>
      </c>
      <c r="I50" s="108" t="str">
        <f>IFERROR(INDEX($E$2:$E$159,_xlfn.AGGREGATE(15,6,(ROW($E$2:$E$159)-ROW($E$2)+1)/($E$2:$E$159&lt;&gt;""),ROWS($I$2:I50)))," ")</f>
        <v>Gowron</v>
      </c>
      <c r="J50" s="67" t="str">
        <f>IFERROR(INDEX($F$2:$F$159,_xlfn.AGGREGATE(15,6,(ROW($F$2:$F$159)-ROW($E$2)+1)/($F$2:$F$159&lt;&gt;""),ROWS($J$2:J50)))," ")</f>
        <v>Gowron</v>
      </c>
    </row>
    <row r="51" spans="1:10" x14ac:dyDescent="0.25">
      <c r="A51" s="101" t="str">
        <f>Roster!C71</f>
        <v>Hadley</v>
      </c>
      <c r="B51" s="67" t="str">
        <f>'All Docks'!Z51</f>
        <v>Hadley</v>
      </c>
      <c r="C51" s="580">
        <f>COUNTIF(Roster!$I$7:$T$10,A51)</f>
        <v>0</v>
      </c>
      <c r="D51" s="487">
        <f>COUNTIF('All Docks'!$C$5:$V$59,B51)</f>
        <v>0</v>
      </c>
      <c r="E51" s="101" t="str">
        <f t="shared" si="0"/>
        <v>Hadley</v>
      </c>
      <c r="F51" s="67" t="str">
        <f t="shared" si="1"/>
        <v>Hadley</v>
      </c>
      <c r="G51" s="101" t="str">
        <f t="shared" si="2"/>
        <v/>
      </c>
      <c r="H51" s="67" t="str">
        <f t="shared" si="3"/>
        <v/>
      </c>
      <c r="I51" s="108" t="str">
        <f>IFERROR(INDEX($E$2:$E$159,_xlfn.AGGREGATE(15,6,(ROW($E$2:$E$159)-ROW($E$2)+1)/($E$2:$E$159&lt;&gt;""),ROWS($I$2:I51)))," ")</f>
        <v>Hadley</v>
      </c>
      <c r="J51" s="67" t="str">
        <f>IFERROR(INDEX($F$2:$F$159,_xlfn.AGGREGATE(15,6,(ROW($F$2:$F$159)-ROW($E$2)+1)/($F$2:$F$159&lt;&gt;""),ROWS($J$2:J51)))," ")</f>
        <v>Hadley</v>
      </c>
    </row>
    <row r="52" spans="1:10" x14ac:dyDescent="0.25">
      <c r="A52" s="101" t="str">
        <f>Roster!C72</f>
        <v>Harrison</v>
      </c>
      <c r="B52" s="67" t="str">
        <f>'All Docks'!Z52</f>
        <v>Harrison</v>
      </c>
      <c r="C52" s="580">
        <f>COUNTIF(Roster!$I$7:$T$10,A52)</f>
        <v>0</v>
      </c>
      <c r="D52" s="487">
        <f>COUNTIF('All Docks'!$C$5:$V$59,B52)</f>
        <v>0</v>
      </c>
      <c r="E52" s="101" t="str">
        <f t="shared" si="0"/>
        <v>Harrison</v>
      </c>
      <c r="F52" s="67" t="str">
        <f t="shared" si="1"/>
        <v>Harrison</v>
      </c>
      <c r="G52" s="101" t="str">
        <f t="shared" si="2"/>
        <v/>
      </c>
      <c r="H52" s="67" t="str">
        <f t="shared" si="3"/>
        <v/>
      </c>
      <c r="I52" s="108" t="str">
        <f>IFERROR(INDEX($E$2:$E$159,_xlfn.AGGREGATE(15,6,(ROW($E$2:$E$159)-ROW($E$2)+1)/($E$2:$E$159&lt;&gt;""),ROWS($I$2:I52)))," ")</f>
        <v>Harrison</v>
      </c>
      <c r="J52" s="67" t="str">
        <f>IFERROR(INDEX($F$2:$F$159,_xlfn.AGGREGATE(15,6,(ROW($F$2:$F$159)-ROW($E$2)+1)/($F$2:$F$159&lt;&gt;""),ROWS($J$2:J52)))," ")</f>
        <v>Harrison</v>
      </c>
    </row>
    <row r="53" spans="1:10" x14ac:dyDescent="0.25">
      <c r="A53" s="101" t="str">
        <f>Roster!C73</f>
        <v>Harry Mudd</v>
      </c>
      <c r="B53" s="67" t="str">
        <f>'All Docks'!Z53</f>
        <v>Harry Mudd</v>
      </c>
      <c r="C53" s="580">
        <f>COUNTIF(Roster!$I$7:$T$10,A53)</f>
        <v>0</v>
      </c>
      <c r="D53" s="487">
        <f>COUNTIF('All Docks'!$C$5:$V$59,B53)</f>
        <v>0</v>
      </c>
      <c r="E53" s="101" t="str">
        <f t="shared" si="0"/>
        <v>Harry Mudd</v>
      </c>
      <c r="F53" s="67" t="str">
        <f t="shared" si="1"/>
        <v>Harry Mudd</v>
      </c>
      <c r="G53" s="101" t="str">
        <f t="shared" si="2"/>
        <v/>
      </c>
      <c r="H53" s="67" t="str">
        <f t="shared" si="3"/>
        <v/>
      </c>
      <c r="I53" s="108" t="str">
        <f>IFERROR(INDEX($E$2:$E$159,_xlfn.AGGREGATE(15,6,(ROW($E$2:$E$159)-ROW($E$2)+1)/($E$2:$E$159&lt;&gt;""),ROWS($I$2:I53)))," ")</f>
        <v>Harry Mudd</v>
      </c>
      <c r="J53" s="67" t="str">
        <f>IFERROR(INDEX($F$2:$F$159,_xlfn.AGGREGATE(15,6,(ROW($F$2:$F$159)-ROW($E$2)+1)/($F$2:$F$159&lt;&gt;""),ROWS($J$2:J53)))," ")</f>
        <v>Harry Mudd</v>
      </c>
    </row>
    <row r="54" spans="1:10" x14ac:dyDescent="0.25">
      <c r="A54" s="101" t="str">
        <f>Roster!C74</f>
        <v>Helvia</v>
      </c>
      <c r="B54" s="67" t="str">
        <f>'All Docks'!Z54</f>
        <v>Helvia</v>
      </c>
      <c r="C54" s="580">
        <f>COUNTIF(Roster!$I$7:$T$10,A54)</f>
        <v>0</v>
      </c>
      <c r="D54" s="487">
        <f>COUNTIF('All Docks'!$C$5:$V$59,B54)</f>
        <v>0</v>
      </c>
      <c r="E54" s="101" t="str">
        <f t="shared" si="0"/>
        <v>Helvia</v>
      </c>
      <c r="F54" s="67" t="str">
        <f t="shared" si="1"/>
        <v>Helvia</v>
      </c>
      <c r="G54" s="101" t="str">
        <f t="shared" si="2"/>
        <v/>
      </c>
      <c r="H54" s="67" t="str">
        <f t="shared" si="3"/>
        <v/>
      </c>
      <c r="I54" s="108" t="str">
        <f>IFERROR(INDEX($E$2:$E$159,_xlfn.AGGREGATE(15,6,(ROW($E$2:$E$159)-ROW($E$2)+1)/($E$2:$E$159&lt;&gt;""),ROWS($I$2:I54)))," ")</f>
        <v>Helvia</v>
      </c>
      <c r="J54" s="67" t="str">
        <f>IFERROR(INDEX($F$2:$F$159,_xlfn.AGGREGATE(15,6,(ROW($F$2:$F$159)-ROW($E$2)+1)/($F$2:$F$159&lt;&gt;""),ROWS($J$2:J54)))," ")</f>
        <v>Helvia</v>
      </c>
    </row>
    <row r="55" spans="1:10" x14ac:dyDescent="0.25">
      <c r="A55" s="101" t="str">
        <f>Roster!C75</f>
        <v>Hendorff</v>
      </c>
      <c r="B55" s="67" t="str">
        <f>'All Docks'!Z55</f>
        <v>Hendorff</v>
      </c>
      <c r="C55" s="580">
        <f>COUNTIF(Roster!$I$7:$T$10,A55)</f>
        <v>0</v>
      </c>
      <c r="D55" s="487">
        <f>COUNTIF('All Docks'!$C$5:$V$59,B55)</f>
        <v>0</v>
      </c>
      <c r="E55" s="101" t="str">
        <f t="shared" si="0"/>
        <v>Hendorff</v>
      </c>
      <c r="F55" s="67" t="str">
        <f t="shared" si="1"/>
        <v>Hendorff</v>
      </c>
      <c r="G55" s="101" t="str">
        <f t="shared" si="2"/>
        <v/>
      </c>
      <c r="H55" s="67" t="str">
        <f t="shared" si="3"/>
        <v/>
      </c>
      <c r="I55" s="108" t="str">
        <f>IFERROR(INDEX($E$2:$E$159,_xlfn.AGGREGATE(15,6,(ROW($E$2:$E$159)-ROW($E$2)+1)/($E$2:$E$159&lt;&gt;""),ROWS($I$2:I55)))," ")</f>
        <v>Hendorff</v>
      </c>
      <c r="J55" s="67" t="str">
        <f>IFERROR(INDEX($F$2:$F$159,_xlfn.AGGREGATE(15,6,(ROW($F$2:$F$159)-ROW($E$2)+1)/($F$2:$F$159&lt;&gt;""),ROWS($J$2:J55)))," ")</f>
        <v>Hendorff</v>
      </c>
    </row>
    <row r="56" spans="1:10" x14ac:dyDescent="0.25">
      <c r="A56" s="101" t="str">
        <f>Roster!C76</f>
        <v>Honorguard Worf</v>
      </c>
      <c r="B56" s="67" t="str">
        <f>'All Docks'!Z56</f>
        <v>Honorguard Worf</v>
      </c>
      <c r="C56" s="580">
        <f>COUNTIF(Roster!$I$7:$T$10,A56)</f>
        <v>0</v>
      </c>
      <c r="D56" s="487">
        <f>COUNTIF('All Docks'!$C$5:$V$59,B56)</f>
        <v>0</v>
      </c>
      <c r="E56" s="101" t="str">
        <f t="shared" si="0"/>
        <v>Honorguard Worf</v>
      </c>
      <c r="F56" s="67" t="str">
        <f t="shared" si="1"/>
        <v>Honorguard Worf</v>
      </c>
      <c r="G56" s="101" t="str">
        <f t="shared" si="2"/>
        <v/>
      </c>
      <c r="H56" s="67" t="str">
        <f t="shared" si="3"/>
        <v/>
      </c>
      <c r="I56" s="108" t="str">
        <f>IFERROR(INDEX($E$2:$E$159,_xlfn.AGGREGATE(15,6,(ROW($E$2:$E$159)-ROW($E$2)+1)/($E$2:$E$159&lt;&gt;""),ROWS($I$2:I56)))," ")</f>
        <v>Honorguard Worf</v>
      </c>
      <c r="J56" s="67" t="str">
        <f>IFERROR(INDEX($F$2:$F$159,_xlfn.AGGREGATE(15,6,(ROW($F$2:$F$159)-ROW($E$2)+1)/($F$2:$F$159&lt;&gt;""),ROWS($J$2:J56)))," ")</f>
        <v>Honorguard Worf</v>
      </c>
    </row>
    <row r="57" spans="1:10" x14ac:dyDescent="0.25">
      <c r="A57" s="101" t="str">
        <f>Roster!C77</f>
        <v>Instructor Spock</v>
      </c>
      <c r="B57" s="67" t="str">
        <f>'All Docks'!Z57</f>
        <v>Instructor Spock</v>
      </c>
      <c r="C57" s="580">
        <f>COUNTIF(Roster!$I$7:$T$10,A57)</f>
        <v>0</v>
      </c>
      <c r="D57" s="487">
        <f>COUNTIF('All Docks'!$C$5:$V$59,B57)</f>
        <v>0</v>
      </c>
      <c r="E57" s="101" t="str">
        <f t="shared" si="0"/>
        <v>Instructor Spock</v>
      </c>
      <c r="F57" s="67" t="str">
        <f t="shared" si="1"/>
        <v>Instructor Spock</v>
      </c>
      <c r="G57" s="101" t="str">
        <f t="shared" si="2"/>
        <v/>
      </c>
      <c r="H57" s="67" t="str">
        <f t="shared" si="3"/>
        <v/>
      </c>
      <c r="I57" s="108" t="str">
        <f>IFERROR(INDEX($E$2:$E$159,_xlfn.AGGREGATE(15,6,(ROW($E$2:$E$159)-ROW($E$2)+1)/($E$2:$E$159&lt;&gt;""),ROWS($I$2:I57)))," ")</f>
        <v>Instructor Spock</v>
      </c>
      <c r="J57" s="67" t="str">
        <f>IFERROR(INDEX($F$2:$F$159,_xlfn.AGGREGATE(15,6,(ROW($F$2:$F$159)-ROW($E$2)+1)/($F$2:$F$159&lt;&gt;""),ROWS($J$2:J57)))," ")</f>
        <v>Instructor Spock</v>
      </c>
    </row>
    <row r="58" spans="1:10" x14ac:dyDescent="0.25">
      <c r="A58" s="101" t="str">
        <f>Roster!C78</f>
        <v>Javaid</v>
      </c>
      <c r="B58" s="67" t="str">
        <f>'All Docks'!Z58</f>
        <v>Javaid</v>
      </c>
      <c r="C58" s="580">
        <f>COUNTIF(Roster!$I$7:$T$10,A58)</f>
        <v>0</v>
      </c>
      <c r="D58" s="487">
        <f>COUNTIF('All Docks'!$C$5:$V$59,B58)</f>
        <v>0</v>
      </c>
      <c r="E58" s="101" t="str">
        <f t="shared" si="0"/>
        <v>Javaid</v>
      </c>
      <c r="F58" s="67" t="str">
        <f t="shared" si="1"/>
        <v>Javaid</v>
      </c>
      <c r="G58" s="101" t="str">
        <f t="shared" si="2"/>
        <v/>
      </c>
      <c r="H58" s="67" t="str">
        <f t="shared" si="3"/>
        <v/>
      </c>
      <c r="I58" s="108" t="str">
        <f>IFERROR(INDEX($E$2:$E$159,_xlfn.AGGREGATE(15,6,(ROW($E$2:$E$159)-ROW($E$2)+1)/($E$2:$E$159&lt;&gt;""),ROWS($I$2:I58)))," ")</f>
        <v>Javaid</v>
      </c>
      <c r="J58" s="67" t="str">
        <f>IFERROR(INDEX($F$2:$F$159,_xlfn.AGGREGATE(15,6,(ROW($F$2:$F$159)-ROW($E$2)+1)/($F$2:$F$159&lt;&gt;""),ROWS($J$2:J58)))," ")</f>
        <v>Javaid</v>
      </c>
    </row>
    <row r="59" spans="1:10" x14ac:dyDescent="0.25">
      <c r="A59" s="101" t="str">
        <f>Roster!C79</f>
        <v>Jaylah</v>
      </c>
      <c r="B59" s="67" t="str">
        <f>'All Docks'!Z59</f>
        <v>Jaylah</v>
      </c>
      <c r="C59" s="580">
        <f>COUNTIF(Roster!$I$7:$T$10,A59)</f>
        <v>0</v>
      </c>
      <c r="D59" s="487">
        <f>COUNTIF('All Docks'!$C$5:$V$59,B59)</f>
        <v>0</v>
      </c>
      <c r="E59" s="101" t="str">
        <f t="shared" si="0"/>
        <v>Jaylah</v>
      </c>
      <c r="F59" s="67" t="str">
        <f t="shared" si="1"/>
        <v>Jaylah</v>
      </c>
      <c r="G59" s="101" t="str">
        <f t="shared" si="2"/>
        <v/>
      </c>
      <c r="H59" s="67" t="str">
        <f t="shared" si="3"/>
        <v/>
      </c>
      <c r="I59" s="108" t="str">
        <f>IFERROR(INDEX($E$2:$E$159,_xlfn.AGGREGATE(15,6,(ROW($E$2:$E$159)-ROW($E$2)+1)/($E$2:$E$159&lt;&gt;""),ROWS($I$2:I59)))," ")</f>
        <v>Jaylah</v>
      </c>
      <c r="J59" s="67" t="str">
        <f>IFERROR(INDEX($F$2:$F$159,_xlfn.AGGREGATE(15,6,(ROW($F$2:$F$159)-ROW($E$2)+1)/($F$2:$F$159&lt;&gt;""),ROWS($J$2:J59)))," ")</f>
        <v>Jaylah</v>
      </c>
    </row>
    <row r="60" spans="1:10" x14ac:dyDescent="0.25">
      <c r="A60" s="101" t="str">
        <f>Roster!C80</f>
        <v>Jean-Luc Picard</v>
      </c>
      <c r="B60" s="67" t="str">
        <f>'All Docks'!Z60</f>
        <v>Jean-Luc Picard</v>
      </c>
      <c r="C60" s="580">
        <f>COUNTIF(Roster!$I$7:$T$10,A60)</f>
        <v>0</v>
      </c>
      <c r="D60" s="487">
        <f>COUNTIF('All Docks'!$C$5:$V$59,B60)</f>
        <v>0</v>
      </c>
      <c r="E60" s="101" t="str">
        <f t="shared" si="0"/>
        <v>Jean-Luc Picard</v>
      </c>
      <c r="F60" s="67" t="str">
        <f t="shared" si="1"/>
        <v>Jean-Luc Picard</v>
      </c>
      <c r="G60" s="101" t="str">
        <f t="shared" si="2"/>
        <v/>
      </c>
      <c r="H60" s="67" t="str">
        <f t="shared" si="3"/>
        <v/>
      </c>
      <c r="I60" s="108" t="str">
        <f>IFERROR(INDEX($E$2:$E$159,_xlfn.AGGREGATE(15,6,(ROW($E$2:$E$159)-ROW($E$2)+1)/($E$2:$E$159&lt;&gt;""),ROWS($I$2:I60)))," ")</f>
        <v>Jean-Luc Picard</v>
      </c>
      <c r="J60" s="67" t="str">
        <f>IFERROR(INDEX($F$2:$F$159,_xlfn.AGGREGATE(15,6,(ROW($F$2:$F$159)-ROW($E$2)+1)/($F$2:$F$159&lt;&gt;""),ROWS($J$2:J60)))," ")</f>
        <v>Jean-Luc Picard</v>
      </c>
    </row>
    <row r="61" spans="1:10" x14ac:dyDescent="0.25">
      <c r="A61" s="101" t="str">
        <f>Roster!C81</f>
        <v>Joachim</v>
      </c>
      <c r="B61" s="67" t="str">
        <f>'All Docks'!Z61</f>
        <v>Joachim</v>
      </c>
      <c r="C61" s="580">
        <f>COUNTIF(Roster!$I$7:$T$10,A61)</f>
        <v>0</v>
      </c>
      <c r="D61" s="487">
        <f>COUNTIF('All Docks'!$C$5:$V$59,B61)</f>
        <v>0</v>
      </c>
      <c r="E61" s="101" t="str">
        <f t="shared" si="0"/>
        <v>Joachim</v>
      </c>
      <c r="F61" s="67" t="str">
        <f t="shared" si="1"/>
        <v>Joachim</v>
      </c>
      <c r="G61" s="101" t="str">
        <f t="shared" si="2"/>
        <v/>
      </c>
      <c r="H61" s="67" t="str">
        <f t="shared" si="3"/>
        <v/>
      </c>
      <c r="I61" s="108" t="str">
        <f>IFERROR(INDEX($E$2:$E$159,_xlfn.AGGREGATE(15,6,(ROW($E$2:$E$159)-ROW($E$2)+1)/($E$2:$E$159&lt;&gt;""),ROWS($I$2:I61)))," ")</f>
        <v>Joachim</v>
      </c>
      <c r="J61" s="67" t="str">
        <f>IFERROR(INDEX($F$2:$F$159,_xlfn.AGGREGATE(15,6,(ROW($F$2:$F$159)-ROW($E$2)+1)/($F$2:$F$159&lt;&gt;""),ROWS($J$2:J61)))," ")</f>
        <v>Joachim</v>
      </c>
    </row>
    <row r="62" spans="1:10" x14ac:dyDescent="0.25">
      <c r="A62" s="101" t="str">
        <f>Roster!C82</f>
        <v>Joaquin</v>
      </c>
      <c r="B62" s="67" t="str">
        <f>'All Docks'!Z62</f>
        <v>Joaquin</v>
      </c>
      <c r="C62" s="580">
        <f>COUNTIF(Roster!$I$7:$T$10,A62)</f>
        <v>0</v>
      </c>
      <c r="D62" s="487">
        <f>COUNTIF('All Docks'!$C$5:$V$59,B62)</f>
        <v>0</v>
      </c>
      <c r="E62" s="101" t="str">
        <f t="shared" si="0"/>
        <v>Joaquin</v>
      </c>
      <c r="F62" s="67" t="str">
        <f t="shared" si="1"/>
        <v>Joaquin</v>
      </c>
      <c r="G62" s="101" t="str">
        <f t="shared" si="2"/>
        <v/>
      </c>
      <c r="H62" s="67" t="str">
        <f t="shared" si="3"/>
        <v/>
      </c>
      <c r="I62" s="108" t="str">
        <f>IFERROR(INDEX($E$2:$E$159,_xlfn.AGGREGATE(15,6,(ROW($E$2:$E$159)-ROW($E$2)+1)/($E$2:$E$159&lt;&gt;""),ROWS($I$2:I62)))," ")</f>
        <v>Joaquin</v>
      </c>
      <c r="J62" s="67" t="str">
        <f>IFERROR(INDEX($F$2:$F$159,_xlfn.AGGREGATE(15,6,(ROW($F$2:$F$159)-ROW($E$2)+1)/($F$2:$F$159&lt;&gt;""),ROWS($J$2:J62)))," ")</f>
        <v>Joaquin</v>
      </c>
    </row>
    <row r="63" spans="1:10" x14ac:dyDescent="0.25">
      <c r="A63" s="101" t="str">
        <f>Roster!C83</f>
        <v>Kang</v>
      </c>
      <c r="B63" s="67" t="str">
        <f>'All Docks'!Z63</f>
        <v>Kang</v>
      </c>
      <c r="C63" s="580">
        <f>COUNTIF(Roster!$I$7:$T$10,A63)</f>
        <v>0</v>
      </c>
      <c r="D63" s="487">
        <f>COUNTIF('All Docks'!$C$5:$V$59,B63)</f>
        <v>0</v>
      </c>
      <c r="E63" s="101" t="str">
        <f t="shared" si="0"/>
        <v>Kang</v>
      </c>
      <c r="F63" s="67" t="str">
        <f t="shared" si="1"/>
        <v>Kang</v>
      </c>
      <c r="G63" s="101" t="str">
        <f t="shared" si="2"/>
        <v/>
      </c>
      <c r="H63" s="67" t="str">
        <f t="shared" si="3"/>
        <v/>
      </c>
      <c r="I63" s="108" t="str">
        <f>IFERROR(INDEX($E$2:$E$159,_xlfn.AGGREGATE(15,6,(ROW($E$2:$E$159)-ROW($E$2)+1)/($E$2:$E$159&lt;&gt;""),ROWS($I$2:I63)))," ")</f>
        <v>Kang</v>
      </c>
      <c r="J63" s="67" t="str">
        <f>IFERROR(INDEX($F$2:$F$159,_xlfn.AGGREGATE(15,6,(ROW($F$2:$F$159)-ROW($E$2)+1)/($F$2:$F$159&lt;&gt;""),ROWS($J$2:J63)))," ")</f>
        <v>Kang</v>
      </c>
    </row>
    <row r="64" spans="1:10" x14ac:dyDescent="0.25">
      <c r="A64" s="101" t="str">
        <f>Roster!C84</f>
        <v>Kati</v>
      </c>
      <c r="B64" s="67" t="str">
        <f>'All Docks'!Z64</f>
        <v>Kati</v>
      </c>
      <c r="C64" s="580">
        <f>COUNTIF(Roster!$I$7:$T$10,A64)</f>
        <v>0</v>
      </c>
      <c r="D64" s="487">
        <f>COUNTIF('All Docks'!$C$5:$V$59,B64)</f>
        <v>0</v>
      </c>
      <c r="E64" s="101" t="str">
        <f t="shared" si="0"/>
        <v>Kati</v>
      </c>
      <c r="F64" s="67" t="str">
        <f t="shared" si="1"/>
        <v>Kati</v>
      </c>
      <c r="G64" s="101" t="str">
        <f t="shared" si="2"/>
        <v/>
      </c>
      <c r="H64" s="67" t="str">
        <f t="shared" si="3"/>
        <v/>
      </c>
      <c r="I64" s="108" t="str">
        <f>IFERROR(INDEX($E$2:$E$159,_xlfn.AGGREGATE(15,6,(ROW($E$2:$E$159)-ROW($E$2)+1)/($E$2:$E$159&lt;&gt;""),ROWS($I$2:I64)))," ")</f>
        <v>Kati</v>
      </c>
      <c r="J64" s="67" t="str">
        <f>IFERROR(INDEX($F$2:$F$159,_xlfn.AGGREGATE(15,6,(ROW($F$2:$F$159)-ROW($E$2)+1)/($F$2:$F$159&lt;&gt;""),ROWS($J$2:J64)))," ")</f>
        <v>Kati</v>
      </c>
    </row>
    <row r="65" spans="1:10" x14ac:dyDescent="0.25">
      <c r="A65" s="101" t="str">
        <f>Roster!C85</f>
        <v>K'Bisch</v>
      </c>
      <c r="B65" s="67" t="str">
        <f>'All Docks'!Z65</f>
        <v>K'Bisch</v>
      </c>
      <c r="C65" s="580">
        <f>COUNTIF(Roster!$I$7:$T$10,A65)</f>
        <v>0</v>
      </c>
      <c r="D65" s="487">
        <f>COUNTIF('All Docks'!$C$5:$V$59,B65)</f>
        <v>0</v>
      </c>
      <c r="E65" s="101" t="str">
        <f t="shared" si="0"/>
        <v>K'Bisch</v>
      </c>
      <c r="F65" s="67" t="str">
        <f t="shared" si="1"/>
        <v>K'Bisch</v>
      </c>
      <c r="G65" s="101" t="str">
        <f t="shared" si="2"/>
        <v/>
      </c>
      <c r="H65" s="67" t="str">
        <f t="shared" si="3"/>
        <v/>
      </c>
      <c r="I65" s="108" t="str">
        <f>IFERROR(INDEX($E$2:$E$159,_xlfn.AGGREGATE(15,6,(ROW($E$2:$E$159)-ROW($E$2)+1)/($E$2:$E$159&lt;&gt;""),ROWS($I$2:I65)))," ")</f>
        <v>K'Bisch</v>
      </c>
      <c r="J65" s="67" t="str">
        <f>IFERROR(INDEX($F$2:$F$159,_xlfn.AGGREGATE(15,6,(ROW($F$2:$F$159)-ROW($E$2)+1)/($F$2:$F$159&lt;&gt;""),ROWS($J$2:J65)))," ")</f>
        <v>K'Bisch</v>
      </c>
    </row>
    <row r="66" spans="1:10" x14ac:dyDescent="0.25">
      <c r="A66" s="101" t="str">
        <f>Roster!C86</f>
        <v>Keenser</v>
      </c>
      <c r="B66" s="67" t="str">
        <f>'All Docks'!Z66</f>
        <v>Keenser</v>
      </c>
      <c r="C66" s="580">
        <f>COUNTIF(Roster!$I$7:$T$10,A66)</f>
        <v>0</v>
      </c>
      <c r="D66" s="487">
        <f>COUNTIF('All Docks'!$C$5:$V$59,B66)</f>
        <v>0</v>
      </c>
      <c r="E66" s="101" t="str">
        <f t="shared" si="0"/>
        <v>Keenser</v>
      </c>
      <c r="F66" s="67" t="str">
        <f t="shared" si="1"/>
        <v>Keenser</v>
      </c>
      <c r="G66" s="101" t="str">
        <f t="shared" si="2"/>
        <v/>
      </c>
      <c r="H66" s="67" t="str">
        <f t="shared" si="3"/>
        <v/>
      </c>
      <c r="I66" s="108" t="str">
        <f>IFERROR(INDEX($E$2:$E$159,_xlfn.AGGREGATE(15,6,(ROW($E$2:$E$159)-ROW($E$2)+1)/($E$2:$E$159&lt;&gt;""),ROWS($I$2:I66)))," ")</f>
        <v>Keenser</v>
      </c>
      <c r="J66" s="67" t="str">
        <f>IFERROR(INDEX($F$2:$F$159,_xlfn.AGGREGATE(15,6,(ROW($F$2:$F$159)-ROW($E$2)+1)/($F$2:$F$159&lt;&gt;""),ROWS($J$2:J66)))," ")</f>
        <v>Keenser</v>
      </c>
    </row>
    <row r="67" spans="1:10" x14ac:dyDescent="0.25">
      <c r="A67" s="101" t="str">
        <f>Roster!C87</f>
        <v>Kerla</v>
      </c>
      <c r="B67" s="67" t="str">
        <f>'All Docks'!Z67</f>
        <v>Kerla</v>
      </c>
      <c r="C67" s="580">
        <f>COUNTIF(Roster!$I$7:$T$10,A67)</f>
        <v>0</v>
      </c>
      <c r="D67" s="487">
        <f>COUNTIF('All Docks'!$C$5:$V$59,B67)</f>
        <v>0</v>
      </c>
      <c r="E67" s="101" t="str">
        <f t="shared" ref="E67:E130" si="4">IF(C67 = 0, A67,"")</f>
        <v>Kerla</v>
      </c>
      <c r="F67" s="67" t="str">
        <f t="shared" ref="F67:F130" si="5">IF(D67 = 0, B67,"")</f>
        <v>Kerla</v>
      </c>
      <c r="G67" s="101" t="str">
        <f t="shared" ref="G67:G130" si="6">IF(C67 &gt; 0, A67,"")</f>
        <v/>
      </c>
      <c r="H67" s="67" t="str">
        <f t="shared" ref="H67:H130" si="7">IF(D67 &gt; 0, B67,"")</f>
        <v/>
      </c>
      <c r="I67" s="108" t="str">
        <f>IFERROR(INDEX($E$2:$E$159,_xlfn.AGGREGATE(15,6,(ROW($E$2:$E$159)-ROW($E$2)+1)/($E$2:$E$159&lt;&gt;""),ROWS($I$2:I67)))," ")</f>
        <v>Kerla</v>
      </c>
      <c r="J67" s="67" t="str">
        <f>IFERROR(INDEX($F$2:$F$159,_xlfn.AGGREGATE(15,6,(ROW($F$2:$F$159)-ROW($E$2)+1)/($F$2:$F$159&lt;&gt;""),ROWS($J$2:J67)))," ")</f>
        <v>Kerla</v>
      </c>
    </row>
    <row r="68" spans="1:10" x14ac:dyDescent="0.25">
      <c r="A68" s="101" t="str">
        <f>Roster!C88</f>
        <v>Khan</v>
      </c>
      <c r="B68" s="67" t="str">
        <f>'All Docks'!Z68</f>
        <v>Khan</v>
      </c>
      <c r="C68" s="580">
        <f>COUNTIF(Roster!$I$7:$T$10,A68)</f>
        <v>0</v>
      </c>
      <c r="D68" s="487">
        <f>COUNTIF('All Docks'!$C$5:$V$59,B68)</f>
        <v>0</v>
      </c>
      <c r="E68" s="101" t="str">
        <f t="shared" si="4"/>
        <v>Khan</v>
      </c>
      <c r="F68" s="67" t="str">
        <f t="shared" si="5"/>
        <v>Khan</v>
      </c>
      <c r="G68" s="101" t="str">
        <f t="shared" si="6"/>
        <v/>
      </c>
      <c r="H68" s="67" t="str">
        <f t="shared" si="7"/>
        <v/>
      </c>
      <c r="I68" s="108" t="str">
        <f>IFERROR(INDEX($E$2:$E$159,_xlfn.AGGREGATE(15,6,(ROW($E$2:$E$159)-ROW($E$2)+1)/($E$2:$E$159&lt;&gt;""),ROWS($I$2:I68)))," ")</f>
        <v>Khan</v>
      </c>
      <c r="J68" s="67" t="str">
        <f>IFERROR(INDEX($F$2:$F$159,_xlfn.AGGREGATE(15,6,(ROW($F$2:$F$159)-ROW($E$2)+1)/($F$2:$F$159&lt;&gt;""),ROWS($J$2:J68)))," ")</f>
        <v>Khan</v>
      </c>
    </row>
    <row r="69" spans="1:10" x14ac:dyDescent="0.25">
      <c r="A69" s="101" t="str">
        <f>Roster!C89</f>
        <v>Kirk</v>
      </c>
      <c r="B69" s="67" t="str">
        <f>'All Docks'!Z69</f>
        <v>Kirk</v>
      </c>
      <c r="C69" s="580">
        <f>COUNTIF(Roster!$I$7:$T$10,A69)</f>
        <v>0</v>
      </c>
      <c r="D69" s="487">
        <f>COUNTIF('All Docks'!$C$5:$V$59,B69)</f>
        <v>0</v>
      </c>
      <c r="E69" s="101" t="str">
        <f t="shared" si="4"/>
        <v>Kirk</v>
      </c>
      <c r="F69" s="67" t="str">
        <f t="shared" si="5"/>
        <v>Kirk</v>
      </c>
      <c r="G69" s="101" t="str">
        <f t="shared" si="6"/>
        <v/>
      </c>
      <c r="H69" s="67" t="str">
        <f t="shared" si="7"/>
        <v/>
      </c>
      <c r="I69" s="108" t="str">
        <f>IFERROR(INDEX($E$2:$E$159,_xlfn.AGGREGATE(15,6,(ROW($E$2:$E$159)-ROW($E$2)+1)/($E$2:$E$159&lt;&gt;""),ROWS($I$2:I69)))," ")</f>
        <v>Kirk</v>
      </c>
      <c r="J69" s="67" t="str">
        <f>IFERROR(INDEX($F$2:$F$159,_xlfn.AGGREGATE(15,6,(ROW($F$2:$F$159)-ROW($E$2)+1)/($F$2:$F$159&lt;&gt;""),ROWS($J$2:J69)))," ")</f>
        <v>Kirk</v>
      </c>
    </row>
    <row r="70" spans="1:10" x14ac:dyDescent="0.25">
      <c r="A70" s="101" t="str">
        <f>Roster!C90</f>
        <v>Klaa</v>
      </c>
      <c r="B70" s="67" t="str">
        <f>'All Docks'!Z70</f>
        <v>Klaa</v>
      </c>
      <c r="C70" s="580">
        <f>COUNTIF(Roster!$I$7:$T$10,A70)</f>
        <v>0</v>
      </c>
      <c r="D70" s="487">
        <f>COUNTIF('All Docks'!$C$5:$V$59,B70)</f>
        <v>0</v>
      </c>
      <c r="E70" s="101" t="str">
        <f t="shared" si="4"/>
        <v>Klaa</v>
      </c>
      <c r="F70" s="67" t="str">
        <f t="shared" si="5"/>
        <v>Klaa</v>
      </c>
      <c r="G70" s="101" t="str">
        <f t="shared" si="6"/>
        <v/>
      </c>
      <c r="H70" s="67" t="str">
        <f t="shared" si="7"/>
        <v/>
      </c>
      <c r="I70" s="108" t="str">
        <f>IFERROR(INDEX($E$2:$E$159,_xlfn.AGGREGATE(15,6,(ROW($E$2:$E$159)-ROW($E$2)+1)/($E$2:$E$159&lt;&gt;""),ROWS($I$2:I70)))," ")</f>
        <v>Klaa</v>
      </c>
      <c r="J70" s="67" t="str">
        <f>IFERROR(INDEX($F$2:$F$159,_xlfn.AGGREGATE(15,6,(ROW($F$2:$F$159)-ROW($E$2)+1)/($F$2:$F$159&lt;&gt;""),ROWS($J$2:J70)))," ")</f>
        <v>Klaa</v>
      </c>
    </row>
    <row r="71" spans="1:10" x14ac:dyDescent="0.25">
      <c r="A71" s="101" t="str">
        <f>Roster!C91</f>
        <v>Komal</v>
      </c>
      <c r="B71" s="67" t="str">
        <f>'All Docks'!Z71</f>
        <v>Komal</v>
      </c>
      <c r="C71" s="580">
        <f>COUNTIF(Roster!$I$7:$T$10,A71)</f>
        <v>0</v>
      </c>
      <c r="D71" s="487">
        <f>COUNTIF('All Docks'!$C$5:$V$59,B71)</f>
        <v>0</v>
      </c>
      <c r="E71" s="101" t="str">
        <f t="shared" si="4"/>
        <v>Komal</v>
      </c>
      <c r="F71" s="67" t="str">
        <f t="shared" si="5"/>
        <v>Komal</v>
      </c>
      <c r="G71" s="101" t="str">
        <f t="shared" si="6"/>
        <v/>
      </c>
      <c r="H71" s="67" t="str">
        <f t="shared" si="7"/>
        <v/>
      </c>
      <c r="I71" s="108" t="str">
        <f>IFERROR(INDEX($E$2:$E$159,_xlfn.AGGREGATE(15,6,(ROW($E$2:$E$159)-ROW($E$2)+1)/($E$2:$E$159&lt;&gt;""),ROWS($I$2:I71)))," ")</f>
        <v>Komal</v>
      </c>
      <c r="J71" s="67" t="str">
        <f>IFERROR(INDEX($F$2:$F$159,_xlfn.AGGREGATE(15,6,(ROW($F$2:$F$159)-ROW($E$2)+1)/($F$2:$F$159&lt;&gt;""),ROWS($J$2:J71)))," ")</f>
        <v>Komal</v>
      </c>
    </row>
    <row r="72" spans="1:10" x14ac:dyDescent="0.25">
      <c r="A72" s="101" t="str">
        <f>Roster!C92</f>
        <v>Koth</v>
      </c>
      <c r="B72" s="67" t="str">
        <f>'All Docks'!Z72</f>
        <v>Koth</v>
      </c>
      <c r="C72" s="580">
        <f>COUNTIF(Roster!$I$7:$T$10,A72)</f>
        <v>0</v>
      </c>
      <c r="D72" s="487">
        <f>COUNTIF('All Docks'!$C$5:$V$59,B72)</f>
        <v>0</v>
      </c>
      <c r="E72" s="101" t="str">
        <f t="shared" si="4"/>
        <v>Koth</v>
      </c>
      <c r="F72" s="67" t="str">
        <f t="shared" si="5"/>
        <v>Koth</v>
      </c>
      <c r="G72" s="101" t="str">
        <f t="shared" si="6"/>
        <v/>
      </c>
      <c r="H72" s="67" t="str">
        <f t="shared" si="7"/>
        <v/>
      </c>
      <c r="I72" s="108" t="str">
        <f>IFERROR(INDEX($E$2:$E$159,_xlfn.AGGREGATE(15,6,(ROW($E$2:$E$159)-ROW($E$2)+1)/($E$2:$E$159&lt;&gt;""),ROWS($I$2:I72)))," ")</f>
        <v>Koth</v>
      </c>
      <c r="J72" s="67" t="str">
        <f>IFERROR(INDEX($F$2:$F$159,_xlfn.AGGREGATE(15,6,(ROW($F$2:$F$159)-ROW($E$2)+1)/($F$2:$F$159&lt;&gt;""),ROWS($J$2:J72)))," ")</f>
        <v>Koth</v>
      </c>
    </row>
    <row r="73" spans="1:10" x14ac:dyDescent="0.25">
      <c r="A73" s="101" t="str">
        <f>Roster!C93</f>
        <v>Kras</v>
      </c>
      <c r="B73" s="67" t="str">
        <f>'All Docks'!Z73</f>
        <v>Kras</v>
      </c>
      <c r="C73" s="580">
        <f>COUNTIF(Roster!$I$7:$T$10,A73)</f>
        <v>0</v>
      </c>
      <c r="D73" s="487">
        <f>COUNTIF('All Docks'!$C$5:$V$59,B73)</f>
        <v>0</v>
      </c>
      <c r="E73" s="101" t="str">
        <f t="shared" si="4"/>
        <v>Kras</v>
      </c>
      <c r="F73" s="67" t="str">
        <f t="shared" si="5"/>
        <v>Kras</v>
      </c>
      <c r="G73" s="101" t="str">
        <f t="shared" si="6"/>
        <v/>
      </c>
      <c r="H73" s="67" t="str">
        <f t="shared" si="7"/>
        <v/>
      </c>
      <c r="I73" s="108" t="str">
        <f>IFERROR(INDEX($E$2:$E$159,_xlfn.AGGREGATE(15,6,(ROW($E$2:$E$159)-ROW($E$2)+1)/($E$2:$E$159&lt;&gt;""),ROWS($I$2:I73)))," ")</f>
        <v>Kras</v>
      </c>
      <c r="J73" s="67" t="str">
        <f>IFERROR(INDEX($F$2:$F$159,_xlfn.AGGREGATE(15,6,(ROW($F$2:$F$159)-ROW($E$2)+1)/($F$2:$F$159&lt;&gt;""),ROWS($J$2:J73)))," ")</f>
        <v>Kras</v>
      </c>
    </row>
    <row r="74" spans="1:10" x14ac:dyDescent="0.25">
      <c r="A74" s="101" t="str">
        <f>Roster!C94</f>
        <v>Krell</v>
      </c>
      <c r="B74" s="67" t="str">
        <f>'All Docks'!Z74</f>
        <v>Krell</v>
      </c>
      <c r="C74" s="580">
        <f>COUNTIF(Roster!$I$7:$T$10,A74)</f>
        <v>0</v>
      </c>
      <c r="D74" s="487">
        <f>COUNTIF('All Docks'!$C$5:$V$59,B74)</f>
        <v>0</v>
      </c>
      <c r="E74" s="101" t="str">
        <f t="shared" si="4"/>
        <v>Krell</v>
      </c>
      <c r="F74" s="67" t="str">
        <f t="shared" si="5"/>
        <v>Krell</v>
      </c>
      <c r="G74" s="101" t="str">
        <f t="shared" si="6"/>
        <v/>
      </c>
      <c r="H74" s="67" t="str">
        <f t="shared" si="7"/>
        <v/>
      </c>
      <c r="I74" s="108" t="str">
        <f>IFERROR(INDEX($E$2:$E$159,_xlfn.AGGREGATE(15,6,(ROW($E$2:$E$159)-ROW($E$2)+1)/($E$2:$E$159&lt;&gt;""),ROWS($I$2:I74)))," ")</f>
        <v>Krell</v>
      </c>
      <c r="J74" s="67" t="str">
        <f>IFERROR(INDEX($F$2:$F$159,_xlfn.AGGREGATE(15,6,(ROW($F$2:$F$159)-ROW($E$2)+1)/($F$2:$F$159&lt;&gt;""),ROWS($J$2:J74)))," ")</f>
        <v>Krell</v>
      </c>
    </row>
    <row r="75" spans="1:10" x14ac:dyDescent="0.25">
      <c r="A75" s="101" t="str">
        <f>Roster!C95</f>
        <v>Kumak</v>
      </c>
      <c r="B75" s="67" t="str">
        <f>'All Docks'!Z75</f>
        <v>Kumak</v>
      </c>
      <c r="C75" s="580">
        <f>COUNTIF(Roster!$I$7:$T$10,A75)</f>
        <v>0</v>
      </c>
      <c r="D75" s="487">
        <f>COUNTIF('All Docks'!$C$5:$V$59,B75)</f>
        <v>0</v>
      </c>
      <c r="E75" s="101" t="str">
        <f t="shared" si="4"/>
        <v>Kumak</v>
      </c>
      <c r="F75" s="67" t="str">
        <f t="shared" si="5"/>
        <v>Kumak</v>
      </c>
      <c r="G75" s="101" t="str">
        <f t="shared" si="6"/>
        <v/>
      </c>
      <c r="H75" s="67" t="str">
        <f t="shared" si="7"/>
        <v/>
      </c>
      <c r="I75" s="108" t="str">
        <f>IFERROR(INDEX($E$2:$E$159,_xlfn.AGGREGATE(15,6,(ROW($E$2:$E$159)-ROW($E$2)+1)/($E$2:$E$159&lt;&gt;""),ROWS($I$2:I75)))," ")</f>
        <v>Kumak</v>
      </c>
      <c r="J75" s="67" t="str">
        <f>IFERROR(INDEX($F$2:$F$159,_xlfn.AGGREGATE(15,6,(ROW($F$2:$F$159)-ROW($E$2)+1)/($F$2:$F$159&lt;&gt;""),ROWS($J$2:J75)))," ")</f>
        <v>Kumak</v>
      </c>
    </row>
    <row r="76" spans="1:10" x14ac:dyDescent="0.25">
      <c r="A76" s="101" t="str">
        <f>Roster!C96</f>
        <v>Kuron</v>
      </c>
      <c r="B76" s="67" t="str">
        <f>'All Docks'!Z76</f>
        <v>Kuron</v>
      </c>
      <c r="C76" s="580">
        <f>COUNTIF(Roster!$I$7:$T$10,A76)</f>
        <v>0</v>
      </c>
      <c r="D76" s="487">
        <f>COUNTIF('All Docks'!$C$5:$V$59,B76)</f>
        <v>0</v>
      </c>
      <c r="E76" s="101" t="str">
        <f t="shared" si="4"/>
        <v>Kuron</v>
      </c>
      <c r="F76" s="67" t="str">
        <f t="shared" si="5"/>
        <v>Kuron</v>
      </c>
      <c r="G76" s="101" t="str">
        <f t="shared" si="6"/>
        <v/>
      </c>
      <c r="H76" s="67" t="str">
        <f t="shared" si="7"/>
        <v/>
      </c>
      <c r="I76" s="108" t="str">
        <f>IFERROR(INDEX($E$2:$E$159,_xlfn.AGGREGATE(15,6,(ROW($E$2:$E$159)-ROW($E$2)+1)/($E$2:$E$159&lt;&gt;""),ROWS($I$2:I76)))," ")</f>
        <v>Kuron</v>
      </c>
      <c r="J76" s="67" t="str">
        <f>IFERROR(INDEX($F$2:$F$159,_xlfn.AGGREGATE(15,6,(ROW($F$2:$F$159)-ROW($E$2)+1)/($F$2:$F$159&lt;&gt;""),ROWS($J$2:J76)))," ")</f>
        <v>Kuron</v>
      </c>
    </row>
    <row r="77" spans="1:10" x14ac:dyDescent="0.25">
      <c r="A77" s="101" t="str">
        <f>Roster!C97</f>
        <v>Leslie</v>
      </c>
      <c r="B77" s="67" t="str">
        <f>'All Docks'!Z77</f>
        <v>Leslie</v>
      </c>
      <c r="C77" s="580">
        <f>COUNTIF(Roster!$I$7:$T$10,A77)</f>
        <v>0</v>
      </c>
      <c r="D77" s="487">
        <f>COUNTIF('All Docks'!$C$5:$V$59,B77)</f>
        <v>0</v>
      </c>
      <c r="E77" s="101" t="str">
        <f t="shared" si="4"/>
        <v>Leslie</v>
      </c>
      <c r="F77" s="67" t="str">
        <f t="shared" si="5"/>
        <v>Leslie</v>
      </c>
      <c r="G77" s="101" t="str">
        <f t="shared" si="6"/>
        <v/>
      </c>
      <c r="H77" s="67" t="str">
        <f t="shared" si="7"/>
        <v/>
      </c>
      <c r="I77" s="108" t="str">
        <f>IFERROR(INDEX($E$2:$E$159,_xlfn.AGGREGATE(15,6,(ROW($E$2:$E$159)-ROW($E$2)+1)/($E$2:$E$159&lt;&gt;""),ROWS($I$2:I77)))," ")</f>
        <v>Leslie</v>
      </c>
      <c r="J77" s="67" t="str">
        <f>IFERROR(INDEX($F$2:$F$159,_xlfn.AGGREGATE(15,6,(ROW($F$2:$F$159)-ROW($E$2)+1)/($F$2:$F$159&lt;&gt;""),ROWS($J$2:J77)))," ")</f>
        <v>Leslie</v>
      </c>
    </row>
    <row r="78" spans="1:10" x14ac:dyDescent="0.25">
      <c r="A78" s="101" t="str">
        <f>Roster!C98</f>
        <v>Linkasa</v>
      </c>
      <c r="B78" s="67" t="str">
        <f>'All Docks'!Z78</f>
        <v>Linkasa</v>
      </c>
      <c r="C78" s="580">
        <f>COUNTIF(Roster!$I$7:$T$10,A78)</f>
        <v>0</v>
      </c>
      <c r="D78" s="487">
        <f>COUNTIF('All Docks'!$C$5:$V$59,B78)</f>
        <v>0</v>
      </c>
      <c r="E78" s="101" t="str">
        <f t="shared" si="4"/>
        <v>Linkasa</v>
      </c>
      <c r="F78" s="67" t="str">
        <f t="shared" si="5"/>
        <v>Linkasa</v>
      </c>
      <c r="G78" s="101" t="str">
        <f t="shared" si="6"/>
        <v/>
      </c>
      <c r="H78" s="67" t="str">
        <f t="shared" si="7"/>
        <v/>
      </c>
      <c r="I78" s="108" t="str">
        <f>IFERROR(INDEX($E$2:$E$159,_xlfn.AGGREGATE(15,6,(ROW($E$2:$E$159)-ROW($E$2)+1)/($E$2:$E$159&lt;&gt;""),ROWS($I$2:I78)))," ")</f>
        <v>Linkasa</v>
      </c>
      <c r="J78" s="67" t="str">
        <f>IFERROR(INDEX($F$2:$F$159,_xlfn.AGGREGATE(15,6,(ROW($F$2:$F$159)-ROW($E$2)+1)/($F$2:$F$159&lt;&gt;""),ROWS($J$2:J78)))," ")</f>
        <v>Linkasa</v>
      </c>
    </row>
    <row r="79" spans="1:10" x14ac:dyDescent="0.25">
      <c r="A79" s="101" t="str">
        <f>Roster!C99</f>
        <v>Livis</v>
      </c>
      <c r="B79" s="67" t="str">
        <f>'All Docks'!Z79</f>
        <v>Livis</v>
      </c>
      <c r="C79" s="580">
        <f>COUNTIF(Roster!$I$7:$T$10,A79)</f>
        <v>0</v>
      </c>
      <c r="D79" s="487">
        <f>COUNTIF('All Docks'!$C$5:$V$59,B79)</f>
        <v>0</v>
      </c>
      <c r="E79" s="101" t="str">
        <f t="shared" si="4"/>
        <v>Livis</v>
      </c>
      <c r="F79" s="67" t="str">
        <f t="shared" si="5"/>
        <v>Livis</v>
      </c>
      <c r="G79" s="101" t="str">
        <f t="shared" si="6"/>
        <v/>
      </c>
      <c r="H79" s="67" t="str">
        <f t="shared" si="7"/>
        <v/>
      </c>
      <c r="I79" s="108" t="str">
        <f>IFERROR(INDEX($E$2:$E$159,_xlfn.AGGREGATE(15,6,(ROW($E$2:$E$159)-ROW($E$2)+1)/($E$2:$E$159&lt;&gt;""),ROWS($I$2:I79)))," ")</f>
        <v>Livis</v>
      </c>
      <c r="J79" s="67" t="str">
        <f>IFERROR(INDEX($F$2:$F$159,_xlfn.AGGREGATE(15,6,(ROW($F$2:$F$159)-ROW($E$2)+1)/($F$2:$F$159&lt;&gt;""),ROWS($J$2:J79)))," ")</f>
        <v>Livis</v>
      </c>
    </row>
    <row r="80" spans="1:10" x14ac:dyDescent="0.25">
      <c r="A80" s="101" t="str">
        <f>Roster!C100</f>
        <v>L'Nar</v>
      </c>
      <c r="B80" s="67" t="str">
        <f>'All Docks'!Z80</f>
        <v>L'Nar</v>
      </c>
      <c r="C80" s="580">
        <f>COUNTIF(Roster!$I$7:$T$10,A80)</f>
        <v>0</v>
      </c>
      <c r="D80" s="487">
        <f>COUNTIF('All Docks'!$C$5:$V$59,B80)</f>
        <v>0</v>
      </c>
      <c r="E80" s="101" t="str">
        <f t="shared" si="4"/>
        <v>L'Nar</v>
      </c>
      <c r="F80" s="67" t="str">
        <f t="shared" si="5"/>
        <v>L'Nar</v>
      </c>
      <c r="G80" s="101" t="str">
        <f t="shared" si="6"/>
        <v/>
      </c>
      <c r="H80" s="67" t="str">
        <f t="shared" si="7"/>
        <v/>
      </c>
      <c r="I80" s="108" t="str">
        <f>IFERROR(INDEX($E$2:$E$159,_xlfn.AGGREGATE(15,6,(ROW($E$2:$E$159)-ROW($E$2)+1)/($E$2:$E$159&lt;&gt;""),ROWS($I$2:I80)))," ")</f>
        <v>L'Nar</v>
      </c>
      <c r="J80" s="67" t="str">
        <f>IFERROR(INDEX($F$2:$F$159,_xlfn.AGGREGATE(15,6,(ROW($F$2:$F$159)-ROW($E$2)+1)/($F$2:$F$159&lt;&gt;""),ROWS($J$2:J80)))," ")</f>
        <v>L'Nar</v>
      </c>
    </row>
    <row r="81" spans="1:10" x14ac:dyDescent="0.25">
      <c r="A81" s="101" t="str">
        <f>Roster!C101</f>
        <v>Lorca</v>
      </c>
      <c r="B81" s="67" t="str">
        <f>'All Docks'!Z81</f>
        <v>Lorca</v>
      </c>
      <c r="C81" s="580">
        <f>COUNTIF(Roster!$I$7:$T$10,A81)</f>
        <v>0</v>
      </c>
      <c r="D81" s="487">
        <f>COUNTIF('All Docks'!$C$5:$V$59,B81)</f>
        <v>0</v>
      </c>
      <c r="E81" s="101" t="str">
        <f t="shared" si="4"/>
        <v>Lorca</v>
      </c>
      <c r="F81" s="67" t="str">
        <f t="shared" si="5"/>
        <v>Lorca</v>
      </c>
      <c r="G81" s="101" t="str">
        <f t="shared" si="6"/>
        <v/>
      </c>
      <c r="H81" s="67" t="str">
        <f t="shared" si="7"/>
        <v/>
      </c>
      <c r="I81" s="108" t="str">
        <f>IFERROR(INDEX($E$2:$E$159,_xlfn.AGGREGATE(15,6,(ROW($E$2:$E$159)-ROW($E$2)+1)/($E$2:$E$159&lt;&gt;""),ROWS($I$2:I81)))," ")</f>
        <v>Lorca</v>
      </c>
      <c r="J81" s="67" t="str">
        <f>IFERROR(INDEX($F$2:$F$159,_xlfn.AGGREGATE(15,6,(ROW($F$2:$F$159)-ROW($E$2)+1)/($F$2:$F$159&lt;&gt;""),ROWS($J$2:J81)))," ")</f>
        <v>Lorca</v>
      </c>
    </row>
    <row r="82" spans="1:10" x14ac:dyDescent="0.25">
      <c r="A82" s="101" t="str">
        <f>Roster!C102</f>
        <v>Lursa</v>
      </c>
      <c r="B82" s="67" t="str">
        <f>'All Docks'!Z82</f>
        <v>Lursa</v>
      </c>
      <c r="C82" s="580">
        <f>COUNTIF(Roster!$I$7:$T$10,A82)</f>
        <v>0</v>
      </c>
      <c r="D82" s="487">
        <f>COUNTIF('All Docks'!$C$5:$V$59,B82)</f>
        <v>0</v>
      </c>
      <c r="E82" s="101" t="str">
        <f t="shared" si="4"/>
        <v>Lursa</v>
      </c>
      <c r="F82" s="67" t="str">
        <f t="shared" si="5"/>
        <v>Lursa</v>
      </c>
      <c r="G82" s="101" t="str">
        <f t="shared" si="6"/>
        <v/>
      </c>
      <c r="H82" s="67" t="str">
        <f t="shared" si="7"/>
        <v/>
      </c>
      <c r="I82" s="108" t="str">
        <f>IFERROR(INDEX($E$2:$E$159,_xlfn.AGGREGATE(15,6,(ROW($E$2:$E$159)-ROW($E$2)+1)/($E$2:$E$159&lt;&gt;""),ROWS($I$2:I82)))," ")</f>
        <v>Lursa</v>
      </c>
      <c r="J82" s="67" t="str">
        <f>IFERROR(INDEX($F$2:$F$159,_xlfn.AGGREGATE(15,6,(ROW($F$2:$F$159)-ROW($E$2)+1)/($F$2:$F$159&lt;&gt;""),ROWS($J$2:J82)))," ")</f>
        <v>Lursa</v>
      </c>
    </row>
    <row r="83" spans="1:10" x14ac:dyDescent="0.25">
      <c r="A83" s="101" t="str">
        <f>Roster!C103</f>
        <v>Mäkinen</v>
      </c>
      <c r="B83" s="67" t="str">
        <f>'All Docks'!Z83</f>
        <v>Mäkinen</v>
      </c>
      <c r="C83" s="580">
        <f>COUNTIF(Roster!$I$7:$T$10,A83)</f>
        <v>0</v>
      </c>
      <c r="D83" s="487">
        <f>COUNTIF('All Docks'!$C$5:$V$59,B83)</f>
        <v>0</v>
      </c>
      <c r="E83" s="101" t="str">
        <f t="shared" si="4"/>
        <v>Mäkinen</v>
      </c>
      <c r="F83" s="67" t="str">
        <f t="shared" si="5"/>
        <v>Mäkinen</v>
      </c>
      <c r="G83" s="101" t="str">
        <f t="shared" si="6"/>
        <v/>
      </c>
      <c r="H83" s="67" t="str">
        <f t="shared" si="7"/>
        <v/>
      </c>
      <c r="I83" s="108" t="str">
        <f>IFERROR(INDEX($E$2:$E$159,_xlfn.AGGREGATE(15,6,(ROW($E$2:$E$159)-ROW($E$2)+1)/($E$2:$E$159&lt;&gt;""),ROWS($I$2:I83)))," ")</f>
        <v>Mäkinen</v>
      </c>
      <c r="J83" s="67" t="str">
        <f>IFERROR(INDEX($F$2:$F$159,_xlfn.AGGREGATE(15,6,(ROW($F$2:$F$159)-ROW($E$2)+1)/($F$2:$F$159&lt;&gt;""),ROWS($J$2:J83)))," ")</f>
        <v>Mäkinen</v>
      </c>
    </row>
    <row r="84" spans="1:10" x14ac:dyDescent="0.25">
      <c r="A84" s="101" t="str">
        <f>Roster!C104</f>
        <v>Mara</v>
      </c>
      <c r="B84" s="67" t="str">
        <f>'All Docks'!Z84</f>
        <v>Mara</v>
      </c>
      <c r="C84" s="580">
        <f>COUNTIF(Roster!$I$7:$T$10,A84)</f>
        <v>0</v>
      </c>
      <c r="D84" s="487">
        <f>COUNTIF('All Docks'!$C$5:$V$59,B84)</f>
        <v>0</v>
      </c>
      <c r="E84" s="101" t="str">
        <f t="shared" si="4"/>
        <v>Mara</v>
      </c>
      <c r="F84" s="67" t="str">
        <f t="shared" si="5"/>
        <v>Mara</v>
      </c>
      <c r="G84" s="101" t="str">
        <f t="shared" si="6"/>
        <v/>
      </c>
      <c r="H84" s="67" t="str">
        <f t="shared" si="7"/>
        <v/>
      </c>
      <c r="I84" s="108" t="str">
        <f>IFERROR(INDEX($E$2:$E$159,_xlfn.AGGREGATE(15,6,(ROW($E$2:$E$159)-ROW($E$2)+1)/($E$2:$E$159&lt;&gt;""),ROWS($I$2:I84)))," ")</f>
        <v>Mara</v>
      </c>
      <c r="J84" s="67" t="str">
        <f>IFERROR(INDEX($F$2:$F$159,_xlfn.AGGREGATE(15,6,(ROW($F$2:$F$159)-ROW($E$2)+1)/($F$2:$F$159&lt;&gt;""),ROWS($J$2:J84)))," ")</f>
        <v>Mara</v>
      </c>
    </row>
    <row r="85" spans="1:10" x14ac:dyDescent="0.25">
      <c r="A85" s="101" t="str">
        <f>Roster!C105</f>
        <v>Marcus</v>
      </c>
      <c r="B85" s="67" t="str">
        <f>'All Docks'!Z85</f>
        <v>Marcus</v>
      </c>
      <c r="C85" s="580">
        <f>COUNTIF(Roster!$I$7:$T$10,A85)</f>
        <v>0</v>
      </c>
      <c r="D85" s="487">
        <f>COUNTIF('All Docks'!$C$5:$V$59,B85)</f>
        <v>0</v>
      </c>
      <c r="E85" s="101" t="str">
        <f t="shared" si="4"/>
        <v>Marcus</v>
      </c>
      <c r="F85" s="67" t="str">
        <f t="shared" si="5"/>
        <v>Marcus</v>
      </c>
      <c r="G85" s="101" t="str">
        <f t="shared" si="6"/>
        <v/>
      </c>
      <c r="H85" s="67" t="str">
        <f t="shared" si="7"/>
        <v/>
      </c>
      <c r="I85" s="108" t="str">
        <f>IFERROR(INDEX($E$2:$E$159,_xlfn.AGGREGATE(15,6,(ROW($E$2:$E$159)-ROW($E$2)+1)/($E$2:$E$159&lt;&gt;""),ROWS($I$2:I85)))," ")</f>
        <v>Marcus</v>
      </c>
      <c r="J85" s="67" t="str">
        <f>IFERROR(INDEX($F$2:$F$159,_xlfn.AGGREGATE(15,6,(ROW($F$2:$F$159)-ROW($E$2)+1)/($F$2:$F$159&lt;&gt;""),ROWS($J$2:J85)))," ")</f>
        <v>Marcus</v>
      </c>
    </row>
    <row r="86" spans="1:10" x14ac:dyDescent="0.25">
      <c r="A86" s="101" t="str">
        <f>Roster!C106</f>
        <v>Marla</v>
      </c>
      <c r="B86" s="67" t="str">
        <f>'All Docks'!Z86</f>
        <v>Marla</v>
      </c>
      <c r="C86" s="580">
        <f>COUNTIF(Roster!$I$7:$T$10,A86)</f>
        <v>0</v>
      </c>
      <c r="D86" s="487">
        <f>COUNTIF('All Docks'!$C$5:$V$59,B86)</f>
        <v>0</v>
      </c>
      <c r="E86" s="101" t="str">
        <f t="shared" si="4"/>
        <v>Marla</v>
      </c>
      <c r="F86" s="67" t="str">
        <f t="shared" si="5"/>
        <v>Marla</v>
      </c>
      <c r="G86" s="101" t="str">
        <f t="shared" si="6"/>
        <v/>
      </c>
      <c r="H86" s="67" t="str">
        <f t="shared" si="7"/>
        <v/>
      </c>
      <c r="I86" s="108" t="str">
        <f>IFERROR(INDEX($E$2:$E$159,_xlfn.AGGREGATE(15,6,(ROW($E$2:$E$159)-ROW($E$2)+1)/($E$2:$E$159&lt;&gt;""),ROWS($I$2:I86)))," ")</f>
        <v>Marla</v>
      </c>
      <c r="J86" s="67" t="str">
        <f>IFERROR(INDEX($F$2:$F$159,_xlfn.AGGREGATE(15,6,(ROW($F$2:$F$159)-ROW($E$2)+1)/($F$2:$F$159&lt;&gt;""),ROWS($J$2:J86)))," ")</f>
        <v>Marla</v>
      </c>
    </row>
    <row r="87" spans="1:10" x14ac:dyDescent="0.25">
      <c r="A87" s="101" t="str">
        <f>Roster!C107</f>
        <v>Martok</v>
      </c>
      <c r="B87" s="67" t="str">
        <f>'All Docks'!Z87</f>
        <v>Martok</v>
      </c>
      <c r="C87" s="580">
        <f>COUNTIF(Roster!$I$7:$T$10,A87)</f>
        <v>0</v>
      </c>
      <c r="D87" s="487">
        <f>COUNTIF('All Docks'!$C$5:$V$59,B87)</f>
        <v>0</v>
      </c>
      <c r="E87" s="101" t="str">
        <f t="shared" si="4"/>
        <v>Martok</v>
      </c>
      <c r="F87" s="67" t="str">
        <f t="shared" si="5"/>
        <v>Martok</v>
      </c>
      <c r="G87" s="101" t="str">
        <f t="shared" si="6"/>
        <v/>
      </c>
      <c r="H87" s="67" t="str">
        <f t="shared" si="7"/>
        <v/>
      </c>
      <c r="I87" s="108" t="str">
        <f>IFERROR(INDEX($E$2:$E$159,_xlfn.AGGREGATE(15,6,(ROW($E$2:$E$159)-ROW($E$2)+1)/($E$2:$E$159&lt;&gt;""),ROWS($I$2:I87)))," ")</f>
        <v>Martok</v>
      </c>
      <c r="J87" s="67" t="str">
        <f>IFERROR(INDEX($F$2:$F$159,_xlfn.AGGREGATE(15,6,(ROW($F$2:$F$159)-ROW($E$2)+1)/($F$2:$F$159&lt;&gt;""),ROWS($J$2:J87)))," ")</f>
        <v>Martok</v>
      </c>
    </row>
    <row r="88" spans="1:10" x14ac:dyDescent="0.25">
      <c r="A88" s="101" t="str">
        <f>Roster!C108</f>
        <v>M'Benga</v>
      </c>
      <c r="B88" s="67" t="str">
        <f>'All Docks'!Z88</f>
        <v>M'Benga</v>
      </c>
      <c r="C88" s="580">
        <f>COUNTIF(Roster!$I$7:$T$10,A88)</f>
        <v>0</v>
      </c>
      <c r="D88" s="487">
        <f>COUNTIF('All Docks'!$C$5:$V$59,B88)</f>
        <v>0</v>
      </c>
      <c r="E88" s="101" t="str">
        <f t="shared" si="4"/>
        <v>M'Benga</v>
      </c>
      <c r="F88" s="67" t="str">
        <f t="shared" si="5"/>
        <v>M'Benga</v>
      </c>
      <c r="G88" s="101" t="str">
        <f t="shared" si="6"/>
        <v/>
      </c>
      <c r="H88" s="67" t="str">
        <f t="shared" si="7"/>
        <v/>
      </c>
      <c r="I88" s="108" t="str">
        <f>IFERROR(INDEX($E$2:$E$159,_xlfn.AGGREGATE(15,6,(ROW($E$2:$E$159)-ROW($E$2)+1)/($E$2:$E$159&lt;&gt;""),ROWS($I$2:I88)))," ")</f>
        <v>M'Benga</v>
      </c>
      <c r="J88" s="67" t="str">
        <f>IFERROR(INDEX($F$2:$F$159,_xlfn.AGGREGATE(15,6,(ROW($F$2:$F$159)-ROW($E$2)+1)/($F$2:$F$159&lt;&gt;""),ROWS($J$2:J88)))," ")</f>
        <v>M'Benga</v>
      </c>
    </row>
    <row r="89" spans="1:10" x14ac:dyDescent="0.25">
      <c r="A89" s="101" t="str">
        <f>Roster!C109</f>
        <v>Michael Burnham</v>
      </c>
      <c r="B89" s="67" t="str">
        <f>'All Docks'!Z89</f>
        <v>Michael Burnham</v>
      </c>
      <c r="C89" s="580">
        <f>COUNTIF(Roster!$I$7:$T$10,A89)</f>
        <v>0</v>
      </c>
      <c r="D89" s="487">
        <f>COUNTIF('All Docks'!$C$5:$V$59,B89)</f>
        <v>0</v>
      </c>
      <c r="E89" s="101" t="str">
        <f t="shared" si="4"/>
        <v>Michael Burnham</v>
      </c>
      <c r="F89" s="67" t="str">
        <f t="shared" si="5"/>
        <v>Michael Burnham</v>
      </c>
      <c r="G89" s="101" t="str">
        <f t="shared" si="6"/>
        <v/>
      </c>
      <c r="H89" s="67" t="str">
        <f t="shared" si="7"/>
        <v/>
      </c>
      <c r="I89" s="108" t="str">
        <f>IFERROR(INDEX($E$2:$E$159,_xlfn.AGGREGATE(15,6,(ROW($E$2:$E$159)-ROW($E$2)+1)/($E$2:$E$159&lt;&gt;""),ROWS($I$2:I89)))," ")</f>
        <v>Michael Burnham</v>
      </c>
      <c r="J89" s="67" t="str">
        <f>IFERROR(INDEX($F$2:$F$159,_xlfn.AGGREGATE(15,6,(ROW($F$2:$F$159)-ROW($E$2)+1)/($F$2:$F$159&lt;&gt;""),ROWS($J$2:J89)))," ")</f>
        <v>Michael Burnham</v>
      </c>
    </row>
    <row r="90" spans="1:10" x14ac:dyDescent="0.25">
      <c r="A90" s="101" t="str">
        <f>Roster!C110</f>
        <v>Mirek</v>
      </c>
      <c r="B90" s="67" t="str">
        <f>'All Docks'!Z90</f>
        <v>Mirek</v>
      </c>
      <c r="C90" s="580">
        <f>COUNTIF(Roster!$I$7:$T$10,A90)</f>
        <v>0</v>
      </c>
      <c r="D90" s="487">
        <f>COUNTIF('All Docks'!$C$5:$V$59,B90)</f>
        <v>0</v>
      </c>
      <c r="E90" s="101" t="str">
        <f t="shared" si="4"/>
        <v>Mirek</v>
      </c>
      <c r="F90" s="67" t="str">
        <f t="shared" si="5"/>
        <v>Mirek</v>
      </c>
      <c r="G90" s="101" t="str">
        <f t="shared" si="6"/>
        <v/>
      </c>
      <c r="H90" s="67" t="str">
        <f t="shared" si="7"/>
        <v/>
      </c>
      <c r="I90" s="108" t="str">
        <f>IFERROR(INDEX($E$2:$E$159,_xlfn.AGGREGATE(15,6,(ROW($E$2:$E$159)-ROW($E$2)+1)/($E$2:$E$159&lt;&gt;""),ROWS($I$2:I90)))," ")</f>
        <v>Mirek</v>
      </c>
      <c r="J90" s="67" t="str">
        <f>IFERROR(INDEX($F$2:$F$159,_xlfn.AGGREGATE(15,6,(ROW($F$2:$F$159)-ROW($E$2)+1)/($F$2:$F$159&lt;&gt;""),ROWS($J$2:J90)))," ")</f>
        <v>Mirek</v>
      </c>
    </row>
    <row r="91" spans="1:10" x14ac:dyDescent="0.25">
      <c r="A91" s="101" t="str">
        <f>Roster!C111</f>
        <v>Mitchell</v>
      </c>
      <c r="B91" s="67" t="str">
        <f>'All Docks'!Z91</f>
        <v>Mitchell</v>
      </c>
      <c r="C91" s="580">
        <f>COUNTIF(Roster!$I$7:$T$10,A91)</f>
        <v>0</v>
      </c>
      <c r="D91" s="487">
        <f>COUNTIF('All Docks'!$C$5:$V$59,B91)</f>
        <v>0</v>
      </c>
      <c r="E91" s="101" t="str">
        <f t="shared" si="4"/>
        <v>Mitchell</v>
      </c>
      <c r="F91" s="67" t="str">
        <f t="shared" si="5"/>
        <v>Mitchell</v>
      </c>
      <c r="G91" s="101" t="str">
        <f t="shared" si="6"/>
        <v/>
      </c>
      <c r="H91" s="67" t="str">
        <f t="shared" si="7"/>
        <v/>
      </c>
      <c r="I91" s="108" t="str">
        <f>IFERROR(INDEX($E$2:$E$159,_xlfn.AGGREGATE(15,6,(ROW($E$2:$E$159)-ROW($E$2)+1)/($E$2:$E$159&lt;&gt;""),ROWS($I$2:I91)))," ")</f>
        <v>Mitchell</v>
      </c>
      <c r="J91" s="67" t="str">
        <f>IFERROR(INDEX($F$2:$F$159,_xlfn.AGGREGATE(15,6,(ROW($F$2:$F$159)-ROW($E$2)+1)/($F$2:$F$159&lt;&gt;""),ROWS($J$2:J91)))," ")</f>
        <v>Mitchell</v>
      </c>
    </row>
    <row r="92" spans="1:10" x14ac:dyDescent="0.25">
      <c r="A92" s="101" t="str">
        <f>Roster!C112</f>
        <v>Moreau</v>
      </c>
      <c r="B92" s="67" t="str">
        <f>'All Docks'!Z92</f>
        <v>Moreau</v>
      </c>
      <c r="C92" s="580">
        <f>COUNTIF(Roster!$I$7:$T$10,A92)</f>
        <v>0</v>
      </c>
      <c r="D92" s="487">
        <f>COUNTIF('All Docks'!$C$5:$V$59,B92)</f>
        <v>0</v>
      </c>
      <c r="E92" s="101" t="str">
        <f t="shared" si="4"/>
        <v>Moreau</v>
      </c>
      <c r="F92" s="67" t="str">
        <f t="shared" si="5"/>
        <v>Moreau</v>
      </c>
      <c r="G92" s="101" t="str">
        <f t="shared" si="6"/>
        <v/>
      </c>
      <c r="H92" s="67" t="str">
        <f t="shared" si="7"/>
        <v/>
      </c>
      <c r="I92" s="108" t="str">
        <f>IFERROR(INDEX($E$2:$E$159,_xlfn.AGGREGATE(15,6,(ROW($E$2:$E$159)-ROW($E$2)+1)/($E$2:$E$159&lt;&gt;""),ROWS($I$2:I92)))," ")</f>
        <v>Moreau</v>
      </c>
      <c r="J92" s="67" t="str">
        <f>IFERROR(INDEX($F$2:$F$159,_xlfn.AGGREGATE(15,6,(ROW($F$2:$F$159)-ROW($E$2)+1)/($F$2:$F$159&lt;&gt;""),ROWS($J$2:J92)))," ")</f>
        <v>Moreau</v>
      </c>
    </row>
    <row r="93" spans="1:10" x14ac:dyDescent="0.25">
      <c r="A93" s="101" t="str">
        <f>Roster!C113</f>
        <v>M'Ral</v>
      </c>
      <c r="B93" s="67" t="str">
        <f>'All Docks'!Z93</f>
        <v>M'Ral</v>
      </c>
      <c r="C93" s="580">
        <f>COUNTIF(Roster!$I$7:$T$10,A93)</f>
        <v>0</v>
      </c>
      <c r="D93" s="487">
        <f>COUNTIF('All Docks'!$C$5:$V$59,B93)</f>
        <v>0</v>
      </c>
      <c r="E93" s="101" t="str">
        <f t="shared" si="4"/>
        <v>M'Ral</v>
      </c>
      <c r="F93" s="67" t="str">
        <f t="shared" si="5"/>
        <v>M'Ral</v>
      </c>
      <c r="G93" s="101" t="str">
        <f t="shared" si="6"/>
        <v/>
      </c>
      <c r="H93" s="67" t="str">
        <f t="shared" si="7"/>
        <v/>
      </c>
      <c r="I93" s="108" t="str">
        <f>IFERROR(INDEX($E$2:$E$159,_xlfn.AGGREGATE(15,6,(ROW($E$2:$E$159)-ROW($E$2)+1)/($E$2:$E$159&lt;&gt;""),ROWS($I$2:I93)))," ")</f>
        <v>M'Ral</v>
      </c>
      <c r="J93" s="67" t="str">
        <f>IFERROR(INDEX($F$2:$F$159,_xlfn.AGGREGATE(15,6,(ROW($F$2:$F$159)-ROW($E$2)+1)/($F$2:$F$159&lt;&gt;""),ROWS($J$2:J93)))," ")</f>
        <v>M'Ral</v>
      </c>
    </row>
    <row r="94" spans="1:10" x14ac:dyDescent="0.25">
      <c r="A94" s="101" t="str">
        <f>Roster!C114</f>
        <v>Mudd</v>
      </c>
      <c r="B94" s="67" t="str">
        <f>'All Docks'!Z94</f>
        <v>Mudd</v>
      </c>
      <c r="C94" s="580">
        <f>COUNTIF(Roster!$I$7:$T$10,A94)</f>
        <v>0</v>
      </c>
      <c r="D94" s="487">
        <f>COUNTIF('All Docks'!$C$5:$V$59,B94)</f>
        <v>0</v>
      </c>
      <c r="E94" s="101" t="str">
        <f t="shared" si="4"/>
        <v>Mudd</v>
      </c>
      <c r="F94" s="67" t="str">
        <f t="shared" si="5"/>
        <v>Mudd</v>
      </c>
      <c r="G94" s="101" t="str">
        <f t="shared" si="6"/>
        <v/>
      </c>
      <c r="H94" s="67" t="str">
        <f t="shared" si="7"/>
        <v/>
      </c>
      <c r="I94" s="108" t="str">
        <f>IFERROR(INDEX($E$2:$E$159,_xlfn.AGGREGATE(15,6,(ROW($E$2:$E$159)-ROW($E$2)+1)/($E$2:$E$159&lt;&gt;""),ROWS($I$2:I94)))," ")</f>
        <v>Mudd</v>
      </c>
      <c r="J94" s="67" t="str">
        <f>IFERROR(INDEX($F$2:$F$159,_xlfn.AGGREGATE(15,6,(ROW($F$2:$F$159)-ROW($E$2)+1)/($F$2:$F$159&lt;&gt;""),ROWS($J$2:J94)))," ")</f>
        <v>Mudd</v>
      </c>
    </row>
    <row r="95" spans="1:10" x14ac:dyDescent="0.25">
      <c r="A95" s="101" t="str">
        <f>Roster!C115</f>
        <v>Navi</v>
      </c>
      <c r="B95" s="67" t="str">
        <f>'All Docks'!Z95</f>
        <v>Navi</v>
      </c>
      <c r="C95" s="580">
        <f>COUNTIF(Roster!$I$7:$T$10,A95)</f>
        <v>0</v>
      </c>
      <c r="D95" s="487">
        <f>COUNTIF('All Docks'!$C$5:$V$59,B95)</f>
        <v>0</v>
      </c>
      <c r="E95" s="101" t="str">
        <f t="shared" si="4"/>
        <v>Navi</v>
      </c>
      <c r="F95" s="67" t="str">
        <f t="shared" si="5"/>
        <v>Navi</v>
      </c>
      <c r="G95" s="101" t="str">
        <f t="shared" si="6"/>
        <v/>
      </c>
      <c r="H95" s="67" t="str">
        <f t="shared" si="7"/>
        <v/>
      </c>
      <c r="I95" s="108" t="str">
        <f>IFERROR(INDEX($E$2:$E$159,_xlfn.AGGREGATE(15,6,(ROW($E$2:$E$159)-ROW($E$2)+1)/($E$2:$E$159&lt;&gt;""),ROWS($I$2:I95)))," ")</f>
        <v>Navi</v>
      </c>
      <c r="J95" s="67" t="str">
        <f>IFERROR(INDEX($F$2:$F$159,_xlfn.AGGREGATE(15,6,(ROW($F$2:$F$159)-ROW($E$2)+1)/($F$2:$F$159&lt;&gt;""),ROWS($J$2:J95)))," ")</f>
        <v>Navi</v>
      </c>
    </row>
    <row r="96" spans="1:10" x14ac:dyDescent="0.25">
      <c r="A96" s="101" t="str">
        <f>Roster!C116</f>
        <v>Nero</v>
      </c>
      <c r="B96" s="67" t="str">
        <f>'All Docks'!Z96</f>
        <v>Nero</v>
      </c>
      <c r="C96" s="580">
        <f>COUNTIF(Roster!$I$7:$T$10,A96)</f>
        <v>0</v>
      </c>
      <c r="D96" s="487">
        <f>COUNTIF('All Docks'!$C$5:$V$59,B96)</f>
        <v>0</v>
      </c>
      <c r="E96" s="101" t="str">
        <f t="shared" si="4"/>
        <v>Nero</v>
      </c>
      <c r="F96" s="67" t="str">
        <f t="shared" si="5"/>
        <v>Nero</v>
      </c>
      <c r="G96" s="101" t="str">
        <f t="shared" si="6"/>
        <v/>
      </c>
      <c r="H96" s="67" t="str">
        <f t="shared" si="7"/>
        <v/>
      </c>
      <c r="I96" s="108" t="str">
        <f>IFERROR(INDEX($E$2:$E$159,_xlfn.AGGREGATE(15,6,(ROW($E$2:$E$159)-ROW($E$2)+1)/($E$2:$E$159&lt;&gt;""),ROWS($I$2:I96)))," ")</f>
        <v>Nero</v>
      </c>
      <c r="J96" s="67" t="str">
        <f>IFERROR(INDEX($F$2:$F$159,_xlfn.AGGREGATE(15,6,(ROW($F$2:$F$159)-ROW($E$2)+1)/($F$2:$F$159&lt;&gt;""),ROWS($J$2:J96)))," ")</f>
        <v>Nero</v>
      </c>
    </row>
    <row r="97" spans="1:10" x14ac:dyDescent="0.25">
      <c r="A97" s="101" t="str">
        <f>Roster!C117</f>
        <v>Next Gen Crusher</v>
      </c>
      <c r="B97" s="67" t="str">
        <f>'All Docks'!Z97</f>
        <v>Next Gen Crusher</v>
      </c>
      <c r="C97" s="580">
        <f>COUNTIF(Roster!$I$7:$T$10,A97)</f>
        <v>0</v>
      </c>
      <c r="D97" s="487">
        <f>COUNTIF('All Docks'!$C$5:$V$59,B97)</f>
        <v>0</v>
      </c>
      <c r="E97" s="101" t="str">
        <f t="shared" si="4"/>
        <v>Next Gen Crusher</v>
      </c>
      <c r="F97" s="67" t="str">
        <f t="shared" si="5"/>
        <v>Next Gen Crusher</v>
      </c>
      <c r="G97" s="101" t="str">
        <f t="shared" si="6"/>
        <v/>
      </c>
      <c r="H97" s="67" t="str">
        <f t="shared" si="7"/>
        <v/>
      </c>
      <c r="I97" s="108" t="str">
        <f>IFERROR(INDEX($E$2:$E$159,_xlfn.AGGREGATE(15,6,(ROW($E$2:$E$159)-ROW($E$2)+1)/($E$2:$E$159&lt;&gt;""),ROWS($I$2:I97)))," ")</f>
        <v>Next Gen Crusher</v>
      </c>
      <c r="J97" s="67" t="str">
        <f>IFERROR(INDEX($F$2:$F$159,_xlfn.AGGREGATE(15,6,(ROW($F$2:$F$159)-ROW($E$2)+1)/($F$2:$F$159&lt;&gt;""),ROWS($J$2:J97)))," ")</f>
        <v>Next Gen Crusher</v>
      </c>
    </row>
    <row r="98" spans="1:10" x14ac:dyDescent="0.25">
      <c r="A98" s="101" t="str">
        <f>Roster!C118</f>
        <v>Next Gen Data</v>
      </c>
      <c r="B98" s="67" t="str">
        <f>'All Docks'!Z98</f>
        <v>Next Gen Data</v>
      </c>
      <c r="C98" s="580">
        <f>COUNTIF(Roster!$I$7:$T$10,A98)</f>
        <v>0</v>
      </c>
      <c r="D98" s="487">
        <f>COUNTIF('All Docks'!$C$5:$V$59,B98)</f>
        <v>0</v>
      </c>
      <c r="E98" s="101" t="str">
        <f t="shared" si="4"/>
        <v>Next Gen Data</v>
      </c>
      <c r="F98" s="67" t="str">
        <f t="shared" si="5"/>
        <v>Next Gen Data</v>
      </c>
      <c r="G98" s="101" t="str">
        <f t="shared" si="6"/>
        <v/>
      </c>
      <c r="H98" s="67" t="str">
        <f t="shared" si="7"/>
        <v/>
      </c>
      <c r="I98" s="108" t="str">
        <f>IFERROR(INDEX($E$2:$E$159,_xlfn.AGGREGATE(15,6,(ROW($E$2:$E$159)-ROW($E$2)+1)/($E$2:$E$159&lt;&gt;""),ROWS($I$2:I98)))," ")</f>
        <v>Next Gen Data</v>
      </c>
      <c r="J98" s="67" t="str">
        <f>IFERROR(INDEX($F$2:$F$159,_xlfn.AGGREGATE(15,6,(ROW($F$2:$F$159)-ROW($E$2)+1)/($F$2:$F$159&lt;&gt;""),ROWS($J$2:J98)))," ")</f>
        <v>Next Gen Data</v>
      </c>
    </row>
    <row r="99" spans="1:10" x14ac:dyDescent="0.25">
      <c r="A99" s="101" t="str">
        <f>Roster!C119</f>
        <v>Next Gen La Forge</v>
      </c>
      <c r="B99" s="67" t="str">
        <f>'All Docks'!Z99</f>
        <v>Next Gen La Forge</v>
      </c>
      <c r="C99" s="580">
        <f>COUNTIF(Roster!$I$7:$T$10,A99)</f>
        <v>0</v>
      </c>
      <c r="D99" s="487">
        <f>COUNTIF('All Docks'!$C$5:$V$59,B99)</f>
        <v>0</v>
      </c>
      <c r="E99" s="101" t="str">
        <f t="shared" si="4"/>
        <v>Next Gen La Forge</v>
      </c>
      <c r="F99" s="67" t="str">
        <f t="shared" si="5"/>
        <v>Next Gen La Forge</v>
      </c>
      <c r="G99" s="101" t="str">
        <f t="shared" si="6"/>
        <v/>
      </c>
      <c r="H99" s="67" t="str">
        <f t="shared" si="7"/>
        <v/>
      </c>
      <c r="I99" s="108" t="str">
        <f>IFERROR(INDEX($E$2:$E$159,_xlfn.AGGREGATE(15,6,(ROW($E$2:$E$159)-ROW($E$2)+1)/($E$2:$E$159&lt;&gt;""),ROWS($I$2:I99)))," ")</f>
        <v>Next Gen La Forge</v>
      </c>
      <c r="J99" s="67" t="str">
        <f>IFERROR(INDEX($F$2:$F$159,_xlfn.AGGREGATE(15,6,(ROW($F$2:$F$159)-ROW($E$2)+1)/($F$2:$F$159&lt;&gt;""),ROWS($J$2:J99)))," ")</f>
        <v>Next Gen La Forge</v>
      </c>
    </row>
    <row r="100" spans="1:10" x14ac:dyDescent="0.25">
      <c r="A100" s="101" t="str">
        <f>Roster!C120</f>
        <v>Next Gen Riker</v>
      </c>
      <c r="B100" s="67" t="str">
        <f>'All Docks'!Z100</f>
        <v>Next Gen Riker</v>
      </c>
      <c r="C100" s="580">
        <f>COUNTIF(Roster!$I$7:$T$10,A100)</f>
        <v>0</v>
      </c>
      <c r="D100" s="487">
        <f>COUNTIF('All Docks'!$C$5:$V$59,B100)</f>
        <v>0</v>
      </c>
      <c r="E100" s="101" t="str">
        <f t="shared" si="4"/>
        <v>Next Gen Riker</v>
      </c>
      <c r="F100" s="67" t="str">
        <f t="shared" si="5"/>
        <v>Next Gen Riker</v>
      </c>
      <c r="G100" s="101" t="str">
        <f t="shared" si="6"/>
        <v/>
      </c>
      <c r="H100" s="67" t="str">
        <f t="shared" si="7"/>
        <v/>
      </c>
      <c r="I100" s="108" t="str">
        <f>IFERROR(INDEX($E$2:$E$159,_xlfn.AGGREGATE(15,6,(ROW($E$2:$E$159)-ROW($E$2)+1)/($E$2:$E$159&lt;&gt;""),ROWS($I$2:I100)))," ")</f>
        <v>Next Gen Riker</v>
      </c>
      <c r="J100" s="67" t="str">
        <f>IFERROR(INDEX($F$2:$F$159,_xlfn.AGGREGATE(15,6,(ROW($F$2:$F$159)-ROW($E$2)+1)/($F$2:$F$159&lt;&gt;""),ROWS($J$2:J100)))," ")</f>
        <v>Next Gen Riker</v>
      </c>
    </row>
    <row r="101" spans="1:10" x14ac:dyDescent="0.25">
      <c r="A101" s="101" t="str">
        <f>Roster!C121</f>
        <v>Next Gen Troi</v>
      </c>
      <c r="B101" s="67" t="str">
        <f>'All Docks'!Z101</f>
        <v>Next Gen Troi</v>
      </c>
      <c r="C101" s="580">
        <f>COUNTIF(Roster!$I$7:$T$10,A101)</f>
        <v>0</v>
      </c>
      <c r="D101" s="487">
        <f>COUNTIF('All Docks'!$C$5:$V$59,B101)</f>
        <v>0</v>
      </c>
      <c r="E101" s="101" t="str">
        <f t="shared" si="4"/>
        <v>Next Gen Troi</v>
      </c>
      <c r="F101" s="67" t="str">
        <f t="shared" si="5"/>
        <v>Next Gen Troi</v>
      </c>
      <c r="G101" s="101" t="str">
        <f t="shared" si="6"/>
        <v/>
      </c>
      <c r="H101" s="67" t="str">
        <f t="shared" si="7"/>
        <v/>
      </c>
      <c r="I101" s="108" t="str">
        <f>IFERROR(INDEX($E$2:$E$159,_xlfn.AGGREGATE(15,6,(ROW($E$2:$E$159)-ROW($E$2)+1)/($E$2:$E$159&lt;&gt;""),ROWS($I$2:I101)))," ")</f>
        <v>Next Gen Troi</v>
      </c>
      <c r="J101" s="67" t="str">
        <f>IFERROR(INDEX($F$2:$F$159,_xlfn.AGGREGATE(15,6,(ROW($F$2:$F$159)-ROW($E$2)+1)/($F$2:$F$159&lt;&gt;""),ROWS($J$2:J101)))," ")</f>
        <v>Next Gen Troi</v>
      </c>
    </row>
    <row r="102" spans="1:10" x14ac:dyDescent="0.25">
      <c r="A102" s="101" t="str">
        <f>Roster!C122</f>
        <v>Nine Of Eleven</v>
      </c>
      <c r="B102" s="67" t="str">
        <f>'All Docks'!Z102</f>
        <v>Nine Of Eleven</v>
      </c>
      <c r="C102" s="580">
        <f>COUNTIF(Roster!$I$7:$T$10,A102)</f>
        <v>0</v>
      </c>
      <c r="D102" s="487">
        <f>COUNTIF('All Docks'!$C$5:$V$59,B102)</f>
        <v>0</v>
      </c>
      <c r="E102" s="101" t="str">
        <f t="shared" si="4"/>
        <v>Nine Of Eleven</v>
      </c>
      <c r="F102" s="67" t="str">
        <f t="shared" si="5"/>
        <v>Nine Of Eleven</v>
      </c>
      <c r="G102" s="101" t="str">
        <f t="shared" si="6"/>
        <v/>
      </c>
      <c r="H102" s="67" t="str">
        <f t="shared" si="7"/>
        <v/>
      </c>
      <c r="I102" s="108" t="str">
        <f>IFERROR(INDEX($E$2:$E$159,_xlfn.AGGREGATE(15,6,(ROW($E$2:$E$159)-ROW($E$2)+1)/($E$2:$E$159&lt;&gt;""),ROWS($I$2:I102)))," ")</f>
        <v>Nine Of Eleven</v>
      </c>
      <c r="J102" s="67" t="str">
        <f>IFERROR(INDEX($F$2:$F$159,_xlfn.AGGREGATE(15,6,(ROW($F$2:$F$159)-ROW($E$2)+1)/($F$2:$F$159&lt;&gt;""),ROWS($J$2:J102)))," ")</f>
        <v>Nine Of Eleven</v>
      </c>
    </row>
    <row r="103" spans="1:10" x14ac:dyDescent="0.25">
      <c r="A103" s="101" t="str">
        <f>Roster!C123</f>
        <v>One Of Eleven</v>
      </c>
      <c r="B103" s="67" t="str">
        <f>'All Docks'!Z103</f>
        <v>One Of Eleven</v>
      </c>
      <c r="C103" s="580">
        <f>COUNTIF(Roster!$I$7:$T$10,A103)</f>
        <v>0</v>
      </c>
      <c r="D103" s="487">
        <f>COUNTIF('All Docks'!$C$5:$V$59,B103)</f>
        <v>0</v>
      </c>
      <c r="E103" s="101" t="str">
        <f t="shared" si="4"/>
        <v>One Of Eleven</v>
      </c>
      <c r="F103" s="67" t="str">
        <f t="shared" si="5"/>
        <v>One Of Eleven</v>
      </c>
      <c r="G103" s="101" t="str">
        <f t="shared" si="6"/>
        <v/>
      </c>
      <c r="H103" s="67" t="str">
        <f t="shared" si="7"/>
        <v/>
      </c>
      <c r="I103" s="108" t="str">
        <f>IFERROR(INDEX($E$2:$E$159,_xlfn.AGGREGATE(15,6,(ROW($E$2:$E$159)-ROW($E$2)+1)/($E$2:$E$159&lt;&gt;""),ROWS($I$2:I103)))," ")</f>
        <v>One Of Eleven</v>
      </c>
      <c r="J103" s="67" t="str">
        <f>IFERROR(INDEX($F$2:$F$159,_xlfn.AGGREGATE(15,6,(ROW($F$2:$F$159)-ROW($E$2)+1)/($F$2:$F$159&lt;&gt;""),ROWS($J$2:J103)))," ")</f>
        <v>One Of Eleven</v>
      </c>
    </row>
    <row r="104" spans="1:10" x14ac:dyDescent="0.25">
      <c r="A104" s="101" t="str">
        <f>Roster!C124</f>
        <v>Origins Burnham</v>
      </c>
      <c r="B104" s="67" t="str">
        <f>'All Docks'!Z104</f>
        <v>Origins Burnham</v>
      </c>
      <c r="C104" s="580">
        <f>COUNTIF(Roster!$I$7:$T$10,A104)</f>
        <v>0</v>
      </c>
      <c r="D104" s="487">
        <f>COUNTIF('All Docks'!$C$5:$V$59,B104)</f>
        <v>0</v>
      </c>
      <c r="E104" s="101" t="str">
        <f t="shared" si="4"/>
        <v>Origins Burnham</v>
      </c>
      <c r="F104" s="67" t="str">
        <f t="shared" si="5"/>
        <v>Origins Burnham</v>
      </c>
      <c r="G104" s="101" t="str">
        <f t="shared" si="6"/>
        <v/>
      </c>
      <c r="H104" s="67" t="str">
        <f t="shared" si="7"/>
        <v/>
      </c>
      <c r="I104" s="108" t="str">
        <f>IFERROR(INDEX($E$2:$E$159,_xlfn.AGGREGATE(15,6,(ROW($E$2:$E$159)-ROW($E$2)+1)/($E$2:$E$159&lt;&gt;""),ROWS($I$2:I104)))," ")</f>
        <v>Origins Burnham</v>
      </c>
      <c r="J104" s="67" t="str">
        <f>IFERROR(INDEX($F$2:$F$159,_xlfn.AGGREGATE(15,6,(ROW($F$2:$F$159)-ROW($E$2)+1)/($F$2:$F$159&lt;&gt;""),ROWS($J$2:J104)))," ")</f>
        <v>Origins Burnham</v>
      </c>
    </row>
    <row r="105" spans="1:10" x14ac:dyDescent="0.25">
      <c r="A105" s="101" t="str">
        <f>Roster!C125</f>
        <v>Origins Saru</v>
      </c>
      <c r="B105" s="67" t="str">
        <f>'All Docks'!Z105</f>
        <v>Origins Saru</v>
      </c>
      <c r="C105" s="580">
        <f>COUNTIF(Roster!$I$7:$T$10,A105)</f>
        <v>0</v>
      </c>
      <c r="D105" s="487">
        <f>COUNTIF('All Docks'!$C$5:$V$59,B105)</f>
        <v>0</v>
      </c>
      <c r="E105" s="101" t="str">
        <f t="shared" si="4"/>
        <v>Origins Saru</v>
      </c>
      <c r="F105" s="67" t="str">
        <f t="shared" si="5"/>
        <v>Origins Saru</v>
      </c>
      <c r="G105" s="101" t="str">
        <f t="shared" si="6"/>
        <v/>
      </c>
      <c r="H105" s="67" t="str">
        <f t="shared" si="7"/>
        <v/>
      </c>
      <c r="I105" s="108" t="str">
        <f>IFERROR(INDEX($E$2:$E$159,_xlfn.AGGREGATE(15,6,(ROW($E$2:$E$159)-ROW($E$2)+1)/($E$2:$E$159&lt;&gt;""),ROWS($I$2:I105)))," ")</f>
        <v>Origins Saru</v>
      </c>
      <c r="J105" s="67" t="str">
        <f>IFERROR(INDEX($F$2:$F$159,_xlfn.AGGREGATE(15,6,(ROW($F$2:$F$159)-ROW($E$2)+1)/($F$2:$F$159&lt;&gt;""),ROWS($J$2:J105)))," ")</f>
        <v>Origins Saru</v>
      </c>
    </row>
    <row r="106" spans="1:10" x14ac:dyDescent="0.25">
      <c r="A106" s="101" t="str">
        <f>Roster!C126</f>
        <v>Origins Stamets</v>
      </c>
      <c r="B106" s="67" t="str">
        <f>'All Docks'!Z106</f>
        <v>Origins Stamets</v>
      </c>
      <c r="C106" s="580">
        <f>COUNTIF(Roster!$I$7:$T$10,A106)</f>
        <v>0</v>
      </c>
      <c r="D106" s="487">
        <f>COUNTIF('All Docks'!$C$5:$V$59,B106)</f>
        <v>0</v>
      </c>
      <c r="E106" s="101" t="str">
        <f t="shared" si="4"/>
        <v>Origins Stamets</v>
      </c>
      <c r="F106" s="67" t="str">
        <f t="shared" si="5"/>
        <v>Origins Stamets</v>
      </c>
      <c r="G106" s="101" t="str">
        <f t="shared" si="6"/>
        <v/>
      </c>
      <c r="H106" s="67" t="str">
        <f t="shared" si="7"/>
        <v/>
      </c>
      <c r="I106" s="108" t="str">
        <f>IFERROR(INDEX($E$2:$E$159,_xlfn.AGGREGATE(15,6,(ROW($E$2:$E$159)-ROW($E$2)+1)/($E$2:$E$159&lt;&gt;""),ROWS($I$2:I106)))," ")</f>
        <v>Origins Stamets</v>
      </c>
      <c r="J106" s="67" t="str">
        <f>IFERROR(INDEX($F$2:$F$159,_xlfn.AGGREGATE(15,6,(ROW($F$2:$F$159)-ROW($E$2)+1)/($F$2:$F$159&lt;&gt;""),ROWS($J$2:J106)))," ")</f>
        <v>Origins Stamets</v>
      </c>
    </row>
    <row r="107" spans="1:10" x14ac:dyDescent="0.25">
      <c r="A107" s="101" t="str">
        <f>Roster!C127</f>
        <v>Otto</v>
      </c>
      <c r="B107" s="67" t="str">
        <f>'All Docks'!Z107</f>
        <v>Otto</v>
      </c>
      <c r="C107" s="580">
        <f>COUNTIF(Roster!$I$7:$T$10,A107)</f>
        <v>0</v>
      </c>
      <c r="D107" s="487">
        <f>COUNTIF('All Docks'!$C$5:$V$59,B107)</f>
        <v>0</v>
      </c>
      <c r="E107" s="101" t="str">
        <f t="shared" si="4"/>
        <v>Otto</v>
      </c>
      <c r="F107" s="67" t="str">
        <f t="shared" si="5"/>
        <v>Otto</v>
      </c>
      <c r="G107" s="101" t="str">
        <f t="shared" si="6"/>
        <v/>
      </c>
      <c r="H107" s="67" t="str">
        <f t="shared" si="7"/>
        <v/>
      </c>
      <c r="I107" s="108" t="str">
        <f>IFERROR(INDEX($E$2:$E$159,_xlfn.AGGREGATE(15,6,(ROW($E$2:$E$159)-ROW($E$2)+1)/($E$2:$E$159&lt;&gt;""),ROWS($I$2:I107)))," ")</f>
        <v>Otto</v>
      </c>
      <c r="J107" s="67" t="str">
        <f>IFERROR(INDEX($F$2:$F$159,_xlfn.AGGREGATE(15,6,(ROW($F$2:$F$159)-ROW($E$2)+1)/($F$2:$F$159&lt;&gt;""),ROWS($J$2:J107)))," ")</f>
        <v>Otto</v>
      </c>
    </row>
    <row r="108" spans="1:10" x14ac:dyDescent="0.25">
      <c r="A108" s="101" t="str">
        <f>Roster!C128</f>
        <v>Pan</v>
      </c>
      <c r="B108" s="67" t="str">
        <f>'All Docks'!Z108</f>
        <v>Pan</v>
      </c>
      <c r="C108" s="580">
        <f>COUNTIF(Roster!$I$7:$T$10,A108)</f>
        <v>0</v>
      </c>
      <c r="D108" s="487">
        <f>COUNTIF('All Docks'!$C$5:$V$59,B108)</f>
        <v>0</v>
      </c>
      <c r="E108" s="101" t="str">
        <f t="shared" si="4"/>
        <v>Pan</v>
      </c>
      <c r="F108" s="67" t="str">
        <f t="shared" si="5"/>
        <v>Pan</v>
      </c>
      <c r="G108" s="101" t="str">
        <f t="shared" si="6"/>
        <v/>
      </c>
      <c r="H108" s="67" t="str">
        <f t="shared" si="7"/>
        <v/>
      </c>
      <c r="I108" s="108" t="str">
        <f>IFERROR(INDEX($E$2:$E$159,_xlfn.AGGREGATE(15,6,(ROW($E$2:$E$159)-ROW($E$2)+1)/($E$2:$E$159&lt;&gt;""),ROWS($I$2:I108)))," ")</f>
        <v>Pan</v>
      </c>
      <c r="J108" s="67" t="str">
        <f>IFERROR(INDEX($F$2:$F$159,_xlfn.AGGREGATE(15,6,(ROW($F$2:$F$159)-ROW($E$2)+1)/($F$2:$F$159&lt;&gt;""),ROWS($J$2:J108)))," ")</f>
        <v>Pan</v>
      </c>
    </row>
    <row r="109" spans="1:10" x14ac:dyDescent="0.25">
      <c r="A109" s="101" t="str">
        <f>Roster!C129</f>
        <v>Paul Stamets</v>
      </c>
      <c r="B109" s="67" t="str">
        <f>'All Docks'!Z109</f>
        <v>Paul Stamets</v>
      </c>
      <c r="C109" s="580">
        <f>COUNTIF(Roster!$I$7:$T$10,A109)</f>
        <v>0</v>
      </c>
      <c r="D109" s="487">
        <f>COUNTIF('All Docks'!$C$5:$V$59,B109)</f>
        <v>0</v>
      </c>
      <c r="E109" s="101" t="str">
        <f t="shared" si="4"/>
        <v>Paul Stamets</v>
      </c>
      <c r="F109" s="67" t="str">
        <f t="shared" si="5"/>
        <v>Paul Stamets</v>
      </c>
      <c r="G109" s="101" t="str">
        <f t="shared" si="6"/>
        <v/>
      </c>
      <c r="H109" s="67" t="str">
        <f t="shared" si="7"/>
        <v/>
      </c>
      <c r="I109" s="108" t="str">
        <f>IFERROR(INDEX($E$2:$E$159,_xlfn.AGGREGATE(15,6,(ROW($E$2:$E$159)-ROW($E$2)+1)/($E$2:$E$159&lt;&gt;""),ROWS($I$2:I109)))," ")</f>
        <v>Paul Stamets</v>
      </c>
      <c r="J109" s="67" t="str">
        <f>IFERROR(INDEX($F$2:$F$159,_xlfn.AGGREGATE(15,6,(ROW($F$2:$F$159)-ROW($E$2)+1)/($F$2:$F$159&lt;&gt;""),ROWS($J$2:J109)))," ")</f>
        <v>Paul Stamets</v>
      </c>
    </row>
    <row r="110" spans="1:10" x14ac:dyDescent="0.25">
      <c r="A110" s="101" t="str">
        <f>Roster!C130</f>
        <v>Pike</v>
      </c>
      <c r="B110" s="67" t="str">
        <f>'All Docks'!Z110</f>
        <v>Pike</v>
      </c>
      <c r="C110" s="580">
        <f>COUNTIF(Roster!$I$7:$T$10,A110)</f>
        <v>0</v>
      </c>
      <c r="D110" s="487">
        <f>COUNTIF('All Docks'!$C$5:$V$59,B110)</f>
        <v>0</v>
      </c>
      <c r="E110" s="101" t="str">
        <f t="shared" si="4"/>
        <v>Pike</v>
      </c>
      <c r="F110" s="67" t="str">
        <f t="shared" si="5"/>
        <v>Pike</v>
      </c>
      <c r="G110" s="101" t="str">
        <f t="shared" si="6"/>
        <v/>
      </c>
      <c r="H110" s="67" t="str">
        <f t="shared" si="7"/>
        <v/>
      </c>
      <c r="I110" s="108" t="str">
        <f>IFERROR(INDEX($E$2:$E$159,_xlfn.AGGREGATE(15,6,(ROW($E$2:$E$159)-ROW($E$2)+1)/($E$2:$E$159&lt;&gt;""),ROWS($I$2:I110)))," ")</f>
        <v>Pike</v>
      </c>
      <c r="J110" s="67" t="str">
        <f>IFERROR(INDEX($F$2:$F$159,_xlfn.AGGREGATE(15,6,(ROW($F$2:$F$159)-ROW($E$2)+1)/($F$2:$F$159&lt;&gt;""),ROWS($J$2:J110)))," ")</f>
        <v>Pike</v>
      </c>
    </row>
    <row r="111" spans="1:10" x14ac:dyDescent="0.25">
      <c r="A111" s="101" t="str">
        <f>Roster!C131</f>
        <v>Qa'Ug</v>
      </c>
      <c r="B111" s="67" t="str">
        <f>'All Docks'!Z111</f>
        <v>Qa'Ug</v>
      </c>
      <c r="C111" s="580">
        <f>COUNTIF(Roster!$I$7:$T$10,A111)</f>
        <v>0</v>
      </c>
      <c r="D111" s="487">
        <f>COUNTIF('All Docks'!$C$5:$V$59,B111)</f>
        <v>0</v>
      </c>
      <c r="E111" s="101" t="str">
        <f t="shared" si="4"/>
        <v>Qa'Ug</v>
      </c>
      <c r="F111" s="67" t="str">
        <f t="shared" si="5"/>
        <v>Qa'Ug</v>
      </c>
      <c r="G111" s="101" t="str">
        <f t="shared" si="6"/>
        <v/>
      </c>
      <c r="H111" s="67" t="str">
        <f t="shared" si="7"/>
        <v/>
      </c>
      <c r="I111" s="108" t="str">
        <f>IFERROR(INDEX($E$2:$E$159,_xlfn.AGGREGATE(15,6,(ROW($E$2:$E$159)-ROW($E$2)+1)/($E$2:$E$159&lt;&gt;""),ROWS($I$2:I111)))," ")</f>
        <v>Qa'Ug</v>
      </c>
      <c r="J111" s="67" t="str">
        <f>IFERROR(INDEX($F$2:$F$159,_xlfn.AGGREGATE(15,6,(ROW($F$2:$F$159)-ROW($E$2)+1)/($F$2:$F$159&lt;&gt;""),ROWS($J$2:J111)))," ")</f>
        <v>Qa'Ug</v>
      </c>
    </row>
    <row r="112" spans="1:10" x14ac:dyDescent="0.25">
      <c r="A112" s="101" t="str">
        <f>Roster!C132</f>
        <v>Quark</v>
      </c>
      <c r="B112" s="67" t="str">
        <f>'All Docks'!Z112</f>
        <v>Quark</v>
      </c>
      <c r="C112" s="580">
        <f>COUNTIF(Roster!$I$7:$T$10,A112)</f>
        <v>0</v>
      </c>
      <c r="D112" s="487">
        <f>COUNTIF('All Docks'!$C$5:$V$59,B112)</f>
        <v>0</v>
      </c>
      <c r="E112" s="101" t="str">
        <f t="shared" si="4"/>
        <v>Quark</v>
      </c>
      <c r="F112" s="67" t="str">
        <f t="shared" si="5"/>
        <v>Quark</v>
      </c>
      <c r="G112" s="101" t="str">
        <f t="shared" si="6"/>
        <v/>
      </c>
      <c r="H112" s="67" t="str">
        <f t="shared" si="7"/>
        <v/>
      </c>
      <c r="I112" s="108" t="str">
        <f>IFERROR(INDEX($E$2:$E$159,_xlfn.AGGREGATE(15,6,(ROW($E$2:$E$159)-ROW($E$2)+1)/($E$2:$E$159&lt;&gt;""),ROWS($I$2:I112)))," ")</f>
        <v>Quark</v>
      </c>
      <c r="J112" s="67" t="str">
        <f>IFERROR(INDEX($F$2:$F$159,_xlfn.AGGREGATE(15,6,(ROW($F$2:$F$159)-ROW($E$2)+1)/($F$2:$F$159&lt;&gt;""),ROWS($J$2:J112)))," ")</f>
        <v>Quark</v>
      </c>
    </row>
    <row r="113" spans="1:10" x14ac:dyDescent="0.25">
      <c r="A113" s="101" t="str">
        <f>Roster!C133</f>
        <v>Rima</v>
      </c>
      <c r="B113" s="67" t="str">
        <f>'All Docks'!Z113</f>
        <v>Rima</v>
      </c>
      <c r="C113" s="580">
        <f>COUNTIF(Roster!$I$7:$T$10,A113)</f>
        <v>0</v>
      </c>
      <c r="D113" s="487">
        <f>COUNTIF('All Docks'!$C$5:$V$59,B113)</f>
        <v>0</v>
      </c>
      <c r="E113" s="101" t="str">
        <f t="shared" si="4"/>
        <v>Rima</v>
      </c>
      <c r="F113" s="67" t="str">
        <f t="shared" si="5"/>
        <v>Rima</v>
      </c>
      <c r="G113" s="101" t="str">
        <f t="shared" si="6"/>
        <v/>
      </c>
      <c r="H113" s="67" t="str">
        <f t="shared" si="7"/>
        <v/>
      </c>
      <c r="I113" s="108" t="str">
        <f>IFERROR(INDEX($E$2:$E$159,_xlfn.AGGREGATE(15,6,(ROW($E$2:$E$159)-ROW($E$2)+1)/($E$2:$E$159&lt;&gt;""),ROWS($I$2:I113)))," ")</f>
        <v>Rima</v>
      </c>
      <c r="J113" s="67" t="str">
        <f>IFERROR(INDEX($F$2:$F$159,_xlfn.AGGREGATE(15,6,(ROW($F$2:$F$159)-ROW($E$2)+1)/($F$2:$F$159&lt;&gt;""),ROWS($J$2:J113)))," ")</f>
        <v>Rima</v>
      </c>
    </row>
    <row r="114" spans="1:10" x14ac:dyDescent="0.25">
      <c r="A114" s="101" t="str">
        <f>Roster!C134</f>
        <v>Ro Mudd</v>
      </c>
      <c r="B114" s="67" t="str">
        <f>'All Docks'!Z114</f>
        <v>Ro Mudd</v>
      </c>
      <c r="C114" s="580">
        <f>COUNTIF(Roster!$I$7:$T$10,A114)</f>
        <v>0</v>
      </c>
      <c r="D114" s="487">
        <f>COUNTIF('All Docks'!$C$5:$V$59,B114)</f>
        <v>0</v>
      </c>
      <c r="E114" s="101" t="str">
        <f t="shared" si="4"/>
        <v>Ro Mudd</v>
      </c>
      <c r="F114" s="67" t="str">
        <f t="shared" si="5"/>
        <v>Ro Mudd</v>
      </c>
      <c r="G114" s="101" t="str">
        <f t="shared" si="6"/>
        <v/>
      </c>
      <c r="H114" s="67" t="str">
        <f t="shared" si="7"/>
        <v/>
      </c>
      <c r="I114" s="108" t="str">
        <f>IFERROR(INDEX($E$2:$E$159,_xlfn.AGGREGATE(15,6,(ROW($E$2:$E$159)-ROW($E$2)+1)/($E$2:$E$159&lt;&gt;""),ROWS($I$2:I114)))," ")</f>
        <v>Ro Mudd</v>
      </c>
      <c r="J114" s="67" t="str">
        <f>IFERROR(INDEX($F$2:$F$159,_xlfn.AGGREGATE(15,6,(ROW($F$2:$F$159)-ROW($E$2)+1)/($F$2:$F$159&lt;&gt;""),ROWS($J$2:J114)))," ")</f>
        <v>Ro Mudd</v>
      </c>
    </row>
    <row r="115" spans="1:10" x14ac:dyDescent="0.25">
      <c r="A115" s="101" t="str">
        <f>Roster!C135</f>
        <v>Rom</v>
      </c>
      <c r="B115" s="67" t="str">
        <f>'All Docks'!Z115</f>
        <v>Rom</v>
      </c>
      <c r="C115" s="580">
        <f>COUNTIF(Roster!$I$7:$T$10,A115)</f>
        <v>0</v>
      </c>
      <c r="D115" s="487">
        <f>COUNTIF('All Docks'!$C$5:$V$59,B115)</f>
        <v>0</v>
      </c>
      <c r="E115" s="101" t="str">
        <f t="shared" si="4"/>
        <v>Rom</v>
      </c>
      <c r="F115" s="67" t="str">
        <f t="shared" si="5"/>
        <v>Rom</v>
      </c>
      <c r="G115" s="101" t="str">
        <f t="shared" si="6"/>
        <v/>
      </c>
      <c r="H115" s="67" t="str">
        <f t="shared" si="7"/>
        <v/>
      </c>
      <c r="I115" s="108" t="str">
        <f>IFERROR(INDEX($E$2:$E$159,_xlfn.AGGREGATE(15,6,(ROW($E$2:$E$159)-ROW($E$2)+1)/($E$2:$E$159&lt;&gt;""),ROWS($I$2:I115)))," ")</f>
        <v>Rom</v>
      </c>
      <c r="J115" s="67" t="str">
        <f>IFERROR(INDEX($F$2:$F$159,_xlfn.AGGREGATE(15,6,(ROW($F$2:$F$159)-ROW($E$2)+1)/($F$2:$F$159&lt;&gt;""),ROWS($J$2:J115)))," ")</f>
        <v>Rom</v>
      </c>
    </row>
    <row r="116" spans="1:10" x14ac:dyDescent="0.25">
      <c r="A116" s="101" t="str">
        <f>Roster!C136</f>
        <v>Rukor</v>
      </c>
      <c r="B116" s="67" t="str">
        <f>'All Docks'!Z116</f>
        <v>Rukor</v>
      </c>
      <c r="C116" s="580">
        <f>COUNTIF(Roster!$I$7:$T$10,A116)</f>
        <v>0</v>
      </c>
      <c r="D116" s="487">
        <f>COUNTIF('All Docks'!$C$5:$V$59,B116)</f>
        <v>0</v>
      </c>
      <c r="E116" s="101" t="str">
        <f t="shared" si="4"/>
        <v>Rukor</v>
      </c>
      <c r="F116" s="67" t="str">
        <f t="shared" si="5"/>
        <v>Rukor</v>
      </c>
      <c r="G116" s="101" t="str">
        <f t="shared" si="6"/>
        <v/>
      </c>
      <c r="H116" s="67" t="str">
        <f t="shared" si="7"/>
        <v/>
      </c>
      <c r="I116" s="108" t="str">
        <f>IFERROR(INDEX($E$2:$E$159,_xlfn.AGGREGATE(15,6,(ROW($E$2:$E$159)-ROW($E$2)+1)/($E$2:$E$159&lt;&gt;""),ROWS($I$2:I116)))," ")</f>
        <v>Rukor</v>
      </c>
      <c r="J116" s="67" t="str">
        <f>IFERROR(INDEX($F$2:$F$159,_xlfn.AGGREGATE(15,6,(ROW($F$2:$F$159)-ROW($E$2)+1)/($F$2:$F$159&lt;&gt;""),ROWS($J$2:J116)))," ")</f>
        <v>Rukor</v>
      </c>
    </row>
    <row r="117" spans="1:10" x14ac:dyDescent="0.25">
      <c r="A117" s="101" t="str">
        <f>Roster!C137</f>
        <v>Saru</v>
      </c>
      <c r="B117" s="67" t="str">
        <f>'All Docks'!Z117</f>
        <v>Saru</v>
      </c>
      <c r="C117" s="580">
        <f>COUNTIF(Roster!$I$7:$T$10,A117)</f>
        <v>0</v>
      </c>
      <c r="D117" s="487">
        <f>COUNTIF('All Docks'!$C$5:$V$59,B117)</f>
        <v>0</v>
      </c>
      <c r="E117" s="101" t="str">
        <f t="shared" si="4"/>
        <v>Saru</v>
      </c>
      <c r="F117" s="67" t="str">
        <f t="shared" si="5"/>
        <v>Saru</v>
      </c>
      <c r="G117" s="101" t="str">
        <f t="shared" si="6"/>
        <v/>
      </c>
      <c r="H117" s="67" t="str">
        <f t="shared" si="7"/>
        <v/>
      </c>
      <c r="I117" s="108" t="str">
        <f>IFERROR(INDEX($E$2:$E$159,_xlfn.AGGREGATE(15,6,(ROW($E$2:$E$159)-ROW($E$2)+1)/($E$2:$E$159&lt;&gt;""),ROWS($I$2:I117)))," ")</f>
        <v>Saru</v>
      </c>
      <c r="J117" s="67" t="str">
        <f>IFERROR(INDEX($F$2:$F$159,_xlfn.AGGREGATE(15,6,(ROW($F$2:$F$159)-ROW($E$2)+1)/($F$2:$F$159&lt;&gt;""),ROWS($J$2:J117)))," ")</f>
        <v>Saru</v>
      </c>
    </row>
    <row r="118" spans="1:10" x14ac:dyDescent="0.25">
      <c r="A118" s="101" t="str">
        <f>Roster!C138</f>
        <v>Scotty</v>
      </c>
      <c r="B118" s="67" t="str">
        <f>'All Docks'!Z118</f>
        <v>Scotty</v>
      </c>
      <c r="C118" s="580">
        <f>COUNTIF(Roster!$I$7:$T$10,A118)</f>
        <v>0</v>
      </c>
      <c r="D118" s="487">
        <f>COUNTIF('All Docks'!$C$5:$V$59,B118)</f>
        <v>0</v>
      </c>
      <c r="E118" s="101" t="str">
        <f t="shared" si="4"/>
        <v>Scotty</v>
      </c>
      <c r="F118" s="67" t="str">
        <f t="shared" si="5"/>
        <v>Scotty</v>
      </c>
      <c r="G118" s="101" t="str">
        <f t="shared" si="6"/>
        <v/>
      </c>
      <c r="H118" s="67" t="str">
        <f t="shared" si="7"/>
        <v/>
      </c>
      <c r="I118" s="108" t="str">
        <f>IFERROR(INDEX($E$2:$E$159,_xlfn.AGGREGATE(15,6,(ROW($E$2:$E$159)-ROW($E$2)+1)/($E$2:$E$159&lt;&gt;""),ROWS($I$2:I118)))," ")</f>
        <v>Scotty</v>
      </c>
      <c r="J118" s="67" t="str">
        <f>IFERROR(INDEX($F$2:$F$159,_xlfn.AGGREGATE(15,6,(ROW($F$2:$F$159)-ROW($E$2)+1)/($F$2:$F$159&lt;&gt;""),ROWS($J$2:J118)))," ")</f>
        <v>Scotty</v>
      </c>
    </row>
    <row r="119" spans="1:10" x14ac:dyDescent="0.25">
      <c r="A119" s="101" t="str">
        <f>Roster!C139</f>
        <v>Sela</v>
      </c>
      <c r="B119" s="67" t="str">
        <f>'All Docks'!Z119</f>
        <v>Sela</v>
      </c>
      <c r="C119" s="580">
        <f>COUNTIF(Roster!$I$7:$T$10,A119)</f>
        <v>0</v>
      </c>
      <c r="D119" s="487">
        <f>COUNTIF('All Docks'!$C$5:$V$59,B119)</f>
        <v>0</v>
      </c>
      <c r="E119" s="101" t="str">
        <f t="shared" si="4"/>
        <v>Sela</v>
      </c>
      <c r="F119" s="67" t="str">
        <f t="shared" si="5"/>
        <v>Sela</v>
      </c>
      <c r="G119" s="101" t="str">
        <f t="shared" si="6"/>
        <v/>
      </c>
      <c r="H119" s="67" t="str">
        <f t="shared" si="7"/>
        <v/>
      </c>
      <c r="I119" s="108" t="str">
        <f>IFERROR(INDEX($E$2:$E$159,_xlfn.AGGREGATE(15,6,(ROW($E$2:$E$159)-ROW($E$2)+1)/($E$2:$E$159&lt;&gt;""),ROWS($I$2:I119)))," ")</f>
        <v>Sela</v>
      </c>
      <c r="J119" s="67" t="str">
        <f>IFERROR(INDEX($F$2:$F$159,_xlfn.AGGREGATE(15,6,(ROW($F$2:$F$159)-ROW($E$2)+1)/($F$2:$F$159&lt;&gt;""),ROWS($J$2:J119)))," ")</f>
        <v>Sela</v>
      </c>
    </row>
    <row r="120" spans="1:10" x14ac:dyDescent="0.25">
      <c r="A120" s="101" t="str">
        <f>Roster!C140</f>
        <v>Sesha</v>
      </c>
      <c r="B120" s="67" t="str">
        <f>'All Docks'!Z120</f>
        <v>Sesha</v>
      </c>
      <c r="C120" s="580">
        <f>COUNTIF(Roster!$I$7:$T$10,A120)</f>
        <v>0</v>
      </c>
      <c r="D120" s="487">
        <f>COUNTIF('All Docks'!$C$5:$V$59,B120)</f>
        <v>0</v>
      </c>
      <c r="E120" s="101" t="str">
        <f t="shared" si="4"/>
        <v>Sesha</v>
      </c>
      <c r="F120" s="67" t="str">
        <f t="shared" si="5"/>
        <v>Sesha</v>
      </c>
      <c r="G120" s="101" t="str">
        <f t="shared" si="6"/>
        <v/>
      </c>
      <c r="H120" s="67" t="str">
        <f t="shared" si="7"/>
        <v/>
      </c>
      <c r="I120" s="108" t="str">
        <f>IFERROR(INDEX($E$2:$E$159,_xlfn.AGGREGATE(15,6,(ROW($E$2:$E$159)-ROW($E$2)+1)/($E$2:$E$159&lt;&gt;""),ROWS($I$2:I120)))," ")</f>
        <v>Sesha</v>
      </c>
      <c r="J120" s="67" t="str">
        <f>IFERROR(INDEX($F$2:$F$159,_xlfn.AGGREGATE(15,6,(ROW($F$2:$F$159)-ROW($E$2)+1)/($F$2:$F$159&lt;&gt;""),ROWS($J$2:J120)))," ")</f>
        <v>Sesha</v>
      </c>
    </row>
    <row r="121" spans="1:10" x14ac:dyDescent="0.25">
      <c r="A121" s="101" t="str">
        <f>Roster!C141</f>
        <v>Seven Of Eleven</v>
      </c>
      <c r="B121" s="67" t="str">
        <f>'All Docks'!Z121</f>
        <v>Seven Of Eleven</v>
      </c>
      <c r="C121" s="580">
        <f>COUNTIF(Roster!$I$7:$T$10,A121)</f>
        <v>0</v>
      </c>
      <c r="D121" s="487">
        <f>COUNTIF('All Docks'!$C$5:$V$59,B121)</f>
        <v>0</v>
      </c>
      <c r="E121" s="101" t="str">
        <f t="shared" si="4"/>
        <v>Seven Of Eleven</v>
      </c>
      <c r="F121" s="67" t="str">
        <f t="shared" si="5"/>
        <v>Seven Of Eleven</v>
      </c>
      <c r="G121" s="101" t="str">
        <f t="shared" si="6"/>
        <v/>
      </c>
      <c r="H121" s="67" t="str">
        <f t="shared" si="7"/>
        <v/>
      </c>
      <c r="I121" s="108" t="str">
        <f>IFERROR(INDEX($E$2:$E$159,_xlfn.AGGREGATE(15,6,(ROW($E$2:$E$159)-ROW($E$2)+1)/($E$2:$E$159&lt;&gt;""),ROWS($I$2:I121)))," ")</f>
        <v>Seven Of Eleven</v>
      </c>
      <c r="J121" s="67" t="str">
        <f>IFERROR(INDEX($F$2:$F$159,_xlfn.AGGREGATE(15,6,(ROW($F$2:$F$159)-ROW($E$2)+1)/($F$2:$F$159&lt;&gt;""),ROWS($J$2:J121)))," ")</f>
        <v>Seven Of Eleven</v>
      </c>
    </row>
    <row r="122" spans="1:10" x14ac:dyDescent="0.25">
      <c r="A122" s="101" t="str">
        <f>Roster!C142</f>
        <v>Severus</v>
      </c>
      <c r="B122" s="67" t="str">
        <f>'All Docks'!Z122</f>
        <v>Severus</v>
      </c>
      <c r="C122" s="580">
        <f>COUNTIF(Roster!$I$7:$T$10,A122)</f>
        <v>0</v>
      </c>
      <c r="D122" s="487">
        <f>COUNTIF('All Docks'!$C$5:$V$59,B122)</f>
        <v>0</v>
      </c>
      <c r="E122" s="101" t="str">
        <f t="shared" si="4"/>
        <v>Severus</v>
      </c>
      <c r="F122" s="67" t="str">
        <f t="shared" si="5"/>
        <v>Severus</v>
      </c>
      <c r="G122" s="101" t="str">
        <f t="shared" si="6"/>
        <v/>
      </c>
      <c r="H122" s="67" t="str">
        <f t="shared" si="7"/>
        <v/>
      </c>
      <c r="I122" s="108" t="str">
        <f>IFERROR(INDEX($E$2:$E$159,_xlfn.AGGREGATE(15,6,(ROW($E$2:$E$159)-ROW($E$2)+1)/($E$2:$E$159&lt;&gt;""),ROWS($I$2:I122)))," ")</f>
        <v>Severus</v>
      </c>
      <c r="J122" s="67" t="str">
        <f>IFERROR(INDEX($F$2:$F$159,_xlfn.AGGREGATE(15,6,(ROW($F$2:$F$159)-ROW($E$2)+1)/($F$2:$F$159&lt;&gt;""),ROWS($J$2:J122)))," ")</f>
        <v>Severus</v>
      </c>
    </row>
    <row r="123" spans="1:10" x14ac:dyDescent="0.25">
      <c r="A123" s="101" t="str">
        <f>Roster!C143</f>
        <v>Shev</v>
      </c>
      <c r="B123" s="67" t="str">
        <f>'All Docks'!Z123</f>
        <v>Shev</v>
      </c>
      <c r="C123" s="580">
        <f>COUNTIF(Roster!$I$7:$T$10,A123)</f>
        <v>0</v>
      </c>
      <c r="D123" s="487">
        <f>COUNTIF('All Docks'!$C$5:$V$59,B123)</f>
        <v>0</v>
      </c>
      <c r="E123" s="101" t="str">
        <f t="shared" si="4"/>
        <v>Shev</v>
      </c>
      <c r="F123" s="67" t="str">
        <f t="shared" si="5"/>
        <v>Shev</v>
      </c>
      <c r="G123" s="101" t="str">
        <f t="shared" si="6"/>
        <v/>
      </c>
      <c r="H123" s="67" t="str">
        <f t="shared" si="7"/>
        <v/>
      </c>
      <c r="I123" s="108" t="str">
        <f>IFERROR(INDEX($E$2:$E$159,_xlfn.AGGREGATE(15,6,(ROW($E$2:$E$159)-ROW($E$2)+1)/($E$2:$E$159&lt;&gt;""),ROWS($I$2:I123)))," ")</f>
        <v>Shev</v>
      </c>
      <c r="J123" s="67" t="str">
        <f>IFERROR(INDEX($F$2:$F$159,_xlfn.AGGREGATE(15,6,(ROW($F$2:$F$159)-ROW($E$2)+1)/($F$2:$F$159&lt;&gt;""),ROWS($J$2:J123)))," ")</f>
        <v>Shev</v>
      </c>
    </row>
    <row r="124" spans="1:10" x14ac:dyDescent="0.25">
      <c r="A124" s="101" t="str">
        <f>Roster!C144</f>
        <v>Six Of Eleven</v>
      </c>
      <c r="B124" s="67" t="str">
        <f>'All Docks'!Z124</f>
        <v>Six Of Eleven</v>
      </c>
      <c r="C124" s="580">
        <f>COUNTIF(Roster!$I$7:$T$10,A124)</f>
        <v>0</v>
      </c>
      <c r="D124" s="487">
        <f>COUNTIF('All Docks'!$C$5:$V$59,B124)</f>
        <v>0</v>
      </c>
      <c r="E124" s="101" t="str">
        <f t="shared" si="4"/>
        <v>Six Of Eleven</v>
      </c>
      <c r="F124" s="67" t="str">
        <f t="shared" si="5"/>
        <v>Six Of Eleven</v>
      </c>
      <c r="G124" s="101" t="str">
        <f t="shared" si="6"/>
        <v/>
      </c>
      <c r="H124" s="67" t="str">
        <f t="shared" si="7"/>
        <v/>
      </c>
      <c r="I124" s="108" t="str">
        <f>IFERROR(INDEX($E$2:$E$159,_xlfn.AGGREGATE(15,6,(ROW($E$2:$E$159)-ROW($E$2)+1)/($E$2:$E$159&lt;&gt;""),ROWS($I$2:I124)))," ")</f>
        <v>Six Of Eleven</v>
      </c>
      <c r="J124" s="67" t="str">
        <f>IFERROR(INDEX($F$2:$F$159,_xlfn.AGGREGATE(15,6,(ROW($F$2:$F$159)-ROW($E$2)+1)/($F$2:$F$159&lt;&gt;""),ROWS($J$2:J124)))," ")</f>
        <v>Six Of Eleven</v>
      </c>
    </row>
    <row r="125" spans="1:10" x14ac:dyDescent="0.25">
      <c r="A125" s="101" t="str">
        <f>Roster!C145</f>
        <v>Spock</v>
      </c>
      <c r="B125" s="67" t="str">
        <f>'All Docks'!Z125</f>
        <v>Spock</v>
      </c>
      <c r="C125" s="580">
        <f>COUNTIF(Roster!$I$7:$T$10,A125)</f>
        <v>0</v>
      </c>
      <c r="D125" s="487">
        <f>COUNTIF('All Docks'!$C$5:$V$59,B125)</f>
        <v>0</v>
      </c>
      <c r="E125" s="101" t="str">
        <f t="shared" si="4"/>
        <v>Spock</v>
      </c>
      <c r="F125" s="67" t="str">
        <f t="shared" si="5"/>
        <v>Spock</v>
      </c>
      <c r="G125" s="101" t="str">
        <f t="shared" si="6"/>
        <v/>
      </c>
      <c r="H125" s="67" t="str">
        <f t="shared" si="7"/>
        <v/>
      </c>
      <c r="I125" s="108" t="str">
        <f>IFERROR(INDEX($E$2:$E$159,_xlfn.AGGREGATE(15,6,(ROW($E$2:$E$159)-ROW($E$2)+1)/($E$2:$E$159&lt;&gt;""),ROWS($I$2:I125)))," ")</f>
        <v>Spock</v>
      </c>
      <c r="J125" s="67" t="str">
        <f>IFERROR(INDEX($F$2:$F$159,_xlfn.AGGREGATE(15,6,(ROW($F$2:$F$159)-ROW($E$2)+1)/($F$2:$F$159&lt;&gt;""),ROWS($J$2:J125)))," ")</f>
        <v>Spock</v>
      </c>
    </row>
    <row r="126" spans="1:10" x14ac:dyDescent="0.25">
      <c r="A126" s="101" t="str">
        <f>Roster!C146</f>
        <v>Stonn</v>
      </c>
      <c r="B126" s="67" t="str">
        <f>'All Docks'!Z126</f>
        <v>Stonn</v>
      </c>
      <c r="C126" s="580">
        <f>COUNTIF(Roster!$I$7:$T$10,A126)</f>
        <v>0</v>
      </c>
      <c r="D126" s="487">
        <f>COUNTIF('All Docks'!$C$5:$V$59,B126)</f>
        <v>0</v>
      </c>
      <c r="E126" s="101" t="str">
        <f t="shared" si="4"/>
        <v>Stonn</v>
      </c>
      <c r="F126" s="67" t="str">
        <f t="shared" si="5"/>
        <v>Stonn</v>
      </c>
      <c r="G126" s="101" t="str">
        <f t="shared" si="6"/>
        <v/>
      </c>
      <c r="H126" s="67" t="str">
        <f t="shared" si="7"/>
        <v/>
      </c>
      <c r="I126" s="108" t="str">
        <f>IFERROR(INDEX($E$2:$E$159,_xlfn.AGGREGATE(15,6,(ROW($E$2:$E$159)-ROW($E$2)+1)/($E$2:$E$159&lt;&gt;""),ROWS($I$2:I126)))," ")</f>
        <v>Stonn</v>
      </c>
      <c r="J126" s="67" t="str">
        <f>IFERROR(INDEX($F$2:$F$159,_xlfn.AGGREGATE(15,6,(ROW($F$2:$F$159)-ROW($E$2)+1)/($F$2:$F$159&lt;&gt;""),ROWS($J$2:J126)))," ")</f>
        <v>Stonn</v>
      </c>
    </row>
    <row r="127" spans="1:10" x14ac:dyDescent="0.25">
      <c r="A127" s="101" t="str">
        <f>Roster!C147</f>
        <v>Sulu</v>
      </c>
      <c r="B127" s="67" t="str">
        <f>'All Docks'!Z127</f>
        <v>Sulu</v>
      </c>
      <c r="C127" s="580">
        <f>COUNTIF(Roster!$I$7:$T$10,A127)</f>
        <v>0</v>
      </c>
      <c r="D127" s="487">
        <f>COUNTIF('All Docks'!$C$5:$V$59,B127)</f>
        <v>0</v>
      </c>
      <c r="E127" s="101" t="str">
        <f t="shared" si="4"/>
        <v>Sulu</v>
      </c>
      <c r="F127" s="67" t="str">
        <f t="shared" si="5"/>
        <v>Sulu</v>
      </c>
      <c r="G127" s="101" t="str">
        <f t="shared" si="6"/>
        <v/>
      </c>
      <c r="H127" s="67" t="str">
        <f t="shared" si="7"/>
        <v/>
      </c>
      <c r="I127" s="108" t="str">
        <f>IFERROR(INDEX($E$2:$E$159,_xlfn.AGGREGATE(15,6,(ROW($E$2:$E$159)-ROW($E$2)+1)/($E$2:$E$159&lt;&gt;""),ROWS($I$2:I127)))," ")</f>
        <v>Sulu</v>
      </c>
      <c r="J127" s="67" t="str">
        <f>IFERROR(INDEX($F$2:$F$159,_xlfn.AGGREGATE(15,6,(ROW($F$2:$F$159)-ROW($E$2)+1)/($F$2:$F$159&lt;&gt;""),ROWS($J$2:J127)))," ")</f>
        <v>Sulu</v>
      </c>
    </row>
    <row r="128" spans="1:10" x14ac:dyDescent="0.25">
      <c r="A128" s="101" t="str">
        <f>Roster!C148</f>
        <v>Tal</v>
      </c>
      <c r="B128" s="67" t="str">
        <f>'All Docks'!Z128</f>
        <v>Tal</v>
      </c>
      <c r="C128" s="580">
        <f>COUNTIF(Roster!$I$7:$T$10,A128)</f>
        <v>0</v>
      </c>
      <c r="D128" s="487">
        <f>COUNTIF('All Docks'!$C$5:$V$59,B128)</f>
        <v>0</v>
      </c>
      <c r="E128" s="101" t="str">
        <f t="shared" si="4"/>
        <v>Tal</v>
      </c>
      <c r="F128" s="67" t="str">
        <f t="shared" si="5"/>
        <v>Tal</v>
      </c>
      <c r="G128" s="101" t="str">
        <f t="shared" si="6"/>
        <v/>
      </c>
      <c r="H128" s="67" t="str">
        <f t="shared" si="7"/>
        <v/>
      </c>
      <c r="I128" s="108" t="str">
        <f>IFERROR(INDEX($E$2:$E$159,_xlfn.AGGREGATE(15,6,(ROW($E$2:$E$159)-ROW($E$2)+1)/($E$2:$E$159&lt;&gt;""),ROWS($I$2:I128)))," ")</f>
        <v>Tal</v>
      </c>
      <c r="J128" s="67" t="str">
        <f>IFERROR(INDEX($F$2:$F$159,_xlfn.AGGREGATE(15,6,(ROW($F$2:$F$159)-ROW($E$2)+1)/($F$2:$F$159&lt;&gt;""),ROWS($J$2:J128)))," ")</f>
        <v>Tal</v>
      </c>
    </row>
    <row r="129" spans="1:10" x14ac:dyDescent="0.25">
      <c r="A129" s="101" t="str">
        <f>Roster!C149</f>
        <v>Tasha Yar</v>
      </c>
      <c r="B129" s="67" t="str">
        <f>'All Docks'!Z129</f>
        <v>Tasha Yar</v>
      </c>
      <c r="C129" s="580">
        <f>COUNTIF(Roster!$I$7:$T$10,A129)</f>
        <v>0</v>
      </c>
      <c r="D129" s="487">
        <f>COUNTIF('All Docks'!$C$5:$V$59,B129)</f>
        <v>0</v>
      </c>
      <c r="E129" s="101" t="str">
        <f t="shared" si="4"/>
        <v>Tasha Yar</v>
      </c>
      <c r="F129" s="67" t="str">
        <f t="shared" si="5"/>
        <v>Tasha Yar</v>
      </c>
      <c r="G129" s="101" t="str">
        <f t="shared" si="6"/>
        <v/>
      </c>
      <c r="H129" s="67" t="str">
        <f t="shared" si="7"/>
        <v/>
      </c>
      <c r="I129" s="108" t="str">
        <f>IFERROR(INDEX($E$2:$E$159,_xlfn.AGGREGATE(15,6,(ROW($E$2:$E$159)-ROW($E$2)+1)/($E$2:$E$159&lt;&gt;""),ROWS($I$2:I129)))," ")</f>
        <v>Tasha Yar</v>
      </c>
      <c r="J129" s="67" t="str">
        <f>IFERROR(INDEX($F$2:$F$159,_xlfn.AGGREGATE(15,6,(ROW($F$2:$F$159)-ROW($E$2)+1)/($F$2:$F$159&lt;&gt;""),ROWS($J$2:J129)))," ")</f>
        <v>Tasha Yar</v>
      </c>
    </row>
    <row r="130" spans="1:10" x14ac:dyDescent="0.25">
      <c r="A130" s="101" t="str">
        <f>Roster!C150</f>
        <v>Ten Of Eleven</v>
      </c>
      <c r="B130" s="67" t="str">
        <f>'All Docks'!Z130</f>
        <v>Ten Of Eleven</v>
      </c>
      <c r="C130" s="580">
        <f>COUNTIF(Roster!$I$7:$T$10,A130)</f>
        <v>0</v>
      </c>
      <c r="D130" s="487">
        <f>COUNTIF('All Docks'!$C$5:$V$59,B130)</f>
        <v>0</v>
      </c>
      <c r="E130" s="101" t="str">
        <f t="shared" si="4"/>
        <v>Ten Of Eleven</v>
      </c>
      <c r="F130" s="67" t="str">
        <f t="shared" si="5"/>
        <v>Ten Of Eleven</v>
      </c>
      <c r="G130" s="101" t="str">
        <f t="shared" si="6"/>
        <v/>
      </c>
      <c r="H130" s="67" t="str">
        <f t="shared" si="7"/>
        <v/>
      </c>
      <c r="I130" s="108" t="str">
        <f>IFERROR(INDEX($E$2:$E$159,_xlfn.AGGREGATE(15,6,(ROW($E$2:$E$159)-ROW($E$2)+1)/($E$2:$E$159&lt;&gt;""),ROWS($I$2:I130)))," ")</f>
        <v>Ten Of Eleven</v>
      </c>
      <c r="J130" s="67" t="str">
        <f>IFERROR(INDEX($F$2:$F$159,_xlfn.AGGREGATE(15,6,(ROW($F$2:$F$159)-ROW($E$2)+1)/($F$2:$F$159&lt;&gt;""),ROWS($J$2:J130)))," ")</f>
        <v>Ten Of Eleven</v>
      </c>
    </row>
    <row r="131" spans="1:10" x14ac:dyDescent="0.25">
      <c r="A131" s="101" t="str">
        <f>Roster!C151</f>
        <v>Three Of Eleven</v>
      </c>
      <c r="B131" s="67" t="str">
        <f>'All Docks'!Z131</f>
        <v>Three Of Eleven</v>
      </c>
      <c r="C131" s="580">
        <f>COUNTIF(Roster!$I$7:$T$10,A131)</f>
        <v>0</v>
      </c>
      <c r="D131" s="487">
        <f>COUNTIF('All Docks'!$C$5:$V$59,B131)</f>
        <v>0</v>
      </c>
      <c r="E131" s="101" t="str">
        <f t="shared" ref="E131:E159" si="8">IF(C131 = 0, A131,"")</f>
        <v>Three Of Eleven</v>
      </c>
      <c r="F131" s="67" t="str">
        <f t="shared" ref="F131:F159" si="9">IF(D131 = 0, B131,"")</f>
        <v>Three Of Eleven</v>
      </c>
      <c r="G131" s="101" t="str">
        <f t="shared" ref="G131:G159" si="10">IF(C131 &gt; 0, A131,"")</f>
        <v/>
      </c>
      <c r="H131" s="67" t="str">
        <f t="shared" ref="H131:H159" si="11">IF(D131 &gt; 0, B131,"")</f>
        <v/>
      </c>
      <c r="I131" s="108" t="str">
        <f>IFERROR(INDEX($E$2:$E$159,_xlfn.AGGREGATE(15,6,(ROW($E$2:$E$159)-ROW($E$2)+1)/($E$2:$E$159&lt;&gt;""),ROWS($I$2:I131)))," ")</f>
        <v>Three Of Eleven</v>
      </c>
      <c r="J131" s="67" t="str">
        <f>IFERROR(INDEX($F$2:$F$159,_xlfn.AGGREGATE(15,6,(ROW($F$2:$F$159)-ROW($E$2)+1)/($F$2:$F$159&lt;&gt;""),ROWS($J$2:J131)))," ")</f>
        <v>Three Of Eleven</v>
      </c>
    </row>
    <row r="132" spans="1:10" x14ac:dyDescent="0.25">
      <c r="A132" s="101" t="str">
        <f>Roster!C152</f>
        <v>Tilly</v>
      </c>
      <c r="B132" s="67" t="str">
        <f>'All Docks'!Z132</f>
        <v>Tilly</v>
      </c>
      <c r="C132" s="580">
        <f>COUNTIF(Roster!$I$7:$T$10,A132)</f>
        <v>0</v>
      </c>
      <c r="D132" s="487">
        <f>COUNTIF('All Docks'!$C$5:$V$59,B132)</f>
        <v>0</v>
      </c>
      <c r="E132" s="101" t="str">
        <f t="shared" si="8"/>
        <v>Tilly</v>
      </c>
      <c r="F132" s="67" t="str">
        <f t="shared" si="9"/>
        <v>Tilly</v>
      </c>
      <c r="G132" s="101" t="str">
        <f t="shared" si="10"/>
        <v/>
      </c>
      <c r="H132" s="67" t="str">
        <f t="shared" si="11"/>
        <v/>
      </c>
      <c r="I132" s="108" t="str">
        <f>IFERROR(INDEX($E$2:$E$159,_xlfn.AGGREGATE(15,6,(ROW($E$2:$E$159)-ROW($E$2)+1)/($E$2:$E$159&lt;&gt;""),ROWS($I$2:I132)))," ")</f>
        <v>Tilly</v>
      </c>
      <c r="J132" s="67" t="str">
        <f>IFERROR(INDEX($F$2:$F$159,_xlfn.AGGREGATE(15,6,(ROW($F$2:$F$159)-ROW($E$2)+1)/($F$2:$F$159&lt;&gt;""),ROWS($J$2:J132)))," ")</f>
        <v>Tilly</v>
      </c>
    </row>
    <row r="133" spans="1:10" x14ac:dyDescent="0.25">
      <c r="A133" s="101" t="str">
        <f>Roster!C153</f>
        <v>Tiza</v>
      </c>
      <c r="B133" s="67" t="str">
        <f>'All Docks'!Z133</f>
        <v>Tiza</v>
      </c>
      <c r="C133" s="580">
        <f>COUNTIF(Roster!$I$7:$T$10,A133)</f>
        <v>0</v>
      </c>
      <c r="D133" s="487">
        <f>COUNTIF('All Docks'!$C$5:$V$59,B133)</f>
        <v>0</v>
      </c>
      <c r="E133" s="101" t="str">
        <f t="shared" si="8"/>
        <v>Tiza</v>
      </c>
      <c r="F133" s="67" t="str">
        <f t="shared" si="9"/>
        <v>Tiza</v>
      </c>
      <c r="G133" s="101" t="str">
        <f t="shared" si="10"/>
        <v/>
      </c>
      <c r="H133" s="67" t="str">
        <f t="shared" si="11"/>
        <v/>
      </c>
      <c r="I133" s="108" t="str">
        <f>IFERROR(INDEX($E$2:$E$159,_xlfn.AGGREGATE(15,6,(ROW($E$2:$E$159)-ROW($E$2)+1)/($E$2:$E$159&lt;&gt;""),ROWS($I$2:I133)))," ")</f>
        <v>Tiza</v>
      </c>
      <c r="J133" s="67" t="str">
        <f>IFERROR(INDEX($F$2:$F$159,_xlfn.AGGREGATE(15,6,(ROW($F$2:$F$159)-ROW($E$2)+1)/($F$2:$F$159&lt;&gt;""),ROWS($J$2:J133)))," ")</f>
        <v>Tiza</v>
      </c>
    </row>
    <row r="134" spans="1:10" x14ac:dyDescent="0.25">
      <c r="A134" s="101" t="str">
        <f>Roster!C154</f>
        <v>T'Laan</v>
      </c>
      <c r="B134" s="67" t="str">
        <f>'All Docks'!Z134</f>
        <v>T'Laan</v>
      </c>
      <c r="C134" s="580">
        <f>COUNTIF(Roster!$I$7:$T$10,A134)</f>
        <v>0</v>
      </c>
      <c r="D134" s="487">
        <f>COUNTIF('All Docks'!$C$5:$V$59,B134)</f>
        <v>0</v>
      </c>
      <c r="E134" s="101" t="str">
        <f t="shared" si="8"/>
        <v>T'Laan</v>
      </c>
      <c r="F134" s="67" t="str">
        <f t="shared" si="9"/>
        <v>T'Laan</v>
      </c>
      <c r="G134" s="101" t="str">
        <f t="shared" si="10"/>
        <v/>
      </c>
      <c r="H134" s="67" t="str">
        <f t="shared" si="11"/>
        <v/>
      </c>
      <c r="I134" s="108" t="str">
        <f>IFERROR(INDEX($E$2:$E$159,_xlfn.AGGREGATE(15,6,(ROW($E$2:$E$159)-ROW($E$2)+1)/($E$2:$E$159&lt;&gt;""),ROWS($I$2:I134)))," ")</f>
        <v>T'Laan</v>
      </c>
      <c r="J134" s="67" t="str">
        <f>IFERROR(INDEX($F$2:$F$159,_xlfn.AGGREGATE(15,6,(ROW($F$2:$F$159)-ROW($E$2)+1)/($F$2:$F$159&lt;&gt;""),ROWS($J$2:J134)))," ")</f>
        <v>T'Laan</v>
      </c>
    </row>
    <row r="135" spans="1:10" x14ac:dyDescent="0.25">
      <c r="A135" s="101" t="str">
        <f>Roster!C155</f>
        <v>Tomalak</v>
      </c>
      <c r="B135" s="67" t="str">
        <f>'All Docks'!Z135</f>
        <v>Tomalak</v>
      </c>
      <c r="C135" s="580">
        <f>COUNTIF(Roster!$I$7:$T$10,A135)</f>
        <v>0</v>
      </c>
      <c r="D135" s="487">
        <f>COUNTIF('All Docks'!$C$5:$V$59,B135)</f>
        <v>0</v>
      </c>
      <c r="E135" s="101" t="str">
        <f t="shared" si="8"/>
        <v>Tomalak</v>
      </c>
      <c r="F135" s="67" t="str">
        <f t="shared" si="9"/>
        <v>Tomalak</v>
      </c>
      <c r="G135" s="101" t="str">
        <f t="shared" si="10"/>
        <v/>
      </c>
      <c r="H135" s="67" t="str">
        <f t="shared" si="11"/>
        <v/>
      </c>
      <c r="I135" s="108" t="str">
        <f>IFERROR(INDEX($E$2:$E$159,_xlfn.AGGREGATE(15,6,(ROW($E$2:$E$159)-ROW($E$2)+1)/($E$2:$E$159&lt;&gt;""),ROWS($I$2:I135)))," ")</f>
        <v>Tomalak</v>
      </c>
      <c r="J135" s="67" t="str">
        <f>IFERROR(INDEX($F$2:$F$159,_xlfn.AGGREGATE(15,6,(ROW($F$2:$F$159)-ROW($E$2)+1)/($F$2:$F$159&lt;&gt;""),ROWS($J$2:J135)))," ")</f>
        <v>Tomalak</v>
      </c>
    </row>
    <row r="136" spans="1:10" x14ac:dyDescent="0.25">
      <c r="A136" s="101" t="str">
        <f>Roster!C156</f>
        <v>TOS Chekov</v>
      </c>
      <c r="B136" s="67" t="str">
        <f>'All Docks'!Z136</f>
        <v>TOS Chekov</v>
      </c>
      <c r="C136" s="580">
        <f>COUNTIF(Roster!$I$7:$T$10,A136)</f>
        <v>0</v>
      </c>
      <c r="D136" s="487">
        <f>COUNTIF('All Docks'!$C$5:$V$59,B136)</f>
        <v>0</v>
      </c>
      <c r="E136" s="101" t="str">
        <f t="shared" si="8"/>
        <v>TOS Chekov</v>
      </c>
      <c r="F136" s="67" t="str">
        <f t="shared" si="9"/>
        <v>TOS Chekov</v>
      </c>
      <c r="G136" s="101" t="str">
        <f t="shared" si="10"/>
        <v/>
      </c>
      <c r="H136" s="67" t="str">
        <f t="shared" si="11"/>
        <v/>
      </c>
      <c r="I136" s="108" t="str">
        <f>IFERROR(INDEX($E$2:$E$159,_xlfn.AGGREGATE(15,6,(ROW($E$2:$E$159)-ROW($E$2)+1)/($E$2:$E$159&lt;&gt;""),ROWS($I$2:I136)))," ")</f>
        <v>TOS Chekov</v>
      </c>
      <c r="J136" s="67" t="str">
        <f>IFERROR(INDEX($F$2:$F$159,_xlfn.AGGREGATE(15,6,(ROW($F$2:$F$159)-ROW($E$2)+1)/($F$2:$F$159&lt;&gt;""),ROWS($J$2:J136)))," ")</f>
        <v>TOS Chekov</v>
      </c>
    </row>
    <row r="137" spans="1:10" x14ac:dyDescent="0.25">
      <c r="A137" s="101" t="str">
        <f>Roster!C157</f>
        <v>TOS Kirk</v>
      </c>
      <c r="B137" s="67" t="str">
        <f>'All Docks'!Z137</f>
        <v>TOS Kirk</v>
      </c>
      <c r="C137" s="580">
        <f>COUNTIF(Roster!$I$7:$T$10,A137)</f>
        <v>0</v>
      </c>
      <c r="D137" s="487">
        <f>COUNTIF('All Docks'!$C$5:$V$59,B137)</f>
        <v>0</v>
      </c>
      <c r="E137" s="101" t="str">
        <f t="shared" si="8"/>
        <v>TOS Kirk</v>
      </c>
      <c r="F137" s="67" t="str">
        <f t="shared" si="9"/>
        <v>TOS Kirk</v>
      </c>
      <c r="G137" s="101" t="str">
        <f t="shared" si="10"/>
        <v/>
      </c>
      <c r="H137" s="67" t="str">
        <f t="shared" si="11"/>
        <v/>
      </c>
      <c r="I137" s="108" t="str">
        <f>IFERROR(INDEX($E$2:$E$159,_xlfn.AGGREGATE(15,6,(ROW($E$2:$E$159)-ROW($E$2)+1)/($E$2:$E$159&lt;&gt;""),ROWS($I$2:I137)))," ")</f>
        <v>TOS Kirk</v>
      </c>
      <c r="J137" s="67" t="str">
        <f>IFERROR(INDEX($F$2:$F$159,_xlfn.AGGREGATE(15,6,(ROW($F$2:$F$159)-ROW($E$2)+1)/($F$2:$F$159&lt;&gt;""),ROWS($J$2:J137)))," ")</f>
        <v>TOS Kirk</v>
      </c>
    </row>
    <row r="138" spans="1:10" x14ac:dyDescent="0.25">
      <c r="A138" s="101" t="str">
        <f>Roster!C158</f>
        <v>TOS McCoy</v>
      </c>
      <c r="B138" s="67" t="str">
        <f>'All Docks'!Z138</f>
        <v>TOS McCoy</v>
      </c>
      <c r="C138" s="580">
        <f>COUNTIF(Roster!$I$7:$T$10,A138)</f>
        <v>0</v>
      </c>
      <c r="D138" s="487">
        <f>COUNTIF('All Docks'!$C$5:$V$59,B138)</f>
        <v>0</v>
      </c>
      <c r="E138" s="101" t="str">
        <f t="shared" si="8"/>
        <v>TOS McCoy</v>
      </c>
      <c r="F138" s="67" t="str">
        <f t="shared" si="9"/>
        <v>TOS McCoy</v>
      </c>
      <c r="G138" s="101" t="str">
        <f t="shared" si="10"/>
        <v/>
      </c>
      <c r="H138" s="67" t="str">
        <f t="shared" si="11"/>
        <v/>
      </c>
      <c r="I138" s="108" t="str">
        <f>IFERROR(INDEX($E$2:$E$159,_xlfn.AGGREGATE(15,6,(ROW($E$2:$E$159)-ROW($E$2)+1)/($E$2:$E$159&lt;&gt;""),ROWS($I$2:I138)))," ")</f>
        <v>TOS McCoy</v>
      </c>
      <c r="J138" s="67" t="str">
        <f>IFERROR(INDEX($F$2:$F$159,_xlfn.AGGREGATE(15,6,(ROW($F$2:$F$159)-ROW($E$2)+1)/($F$2:$F$159&lt;&gt;""),ROWS($J$2:J138)))," ")</f>
        <v>TOS McCoy</v>
      </c>
    </row>
    <row r="139" spans="1:10" x14ac:dyDescent="0.25">
      <c r="A139" s="101" t="str">
        <f>Roster!C159</f>
        <v>TOS Scotty</v>
      </c>
      <c r="B139" s="67" t="str">
        <f>'All Docks'!Z139</f>
        <v>TOS Scotty</v>
      </c>
      <c r="C139" s="580">
        <f>COUNTIF(Roster!$I$7:$T$10,A139)</f>
        <v>0</v>
      </c>
      <c r="D139" s="487">
        <f>COUNTIF('All Docks'!$C$5:$V$59,B139)</f>
        <v>0</v>
      </c>
      <c r="E139" s="101" t="str">
        <f t="shared" si="8"/>
        <v>TOS Scotty</v>
      </c>
      <c r="F139" s="67" t="str">
        <f t="shared" si="9"/>
        <v>TOS Scotty</v>
      </c>
      <c r="G139" s="101" t="str">
        <f t="shared" si="10"/>
        <v/>
      </c>
      <c r="H139" s="67" t="str">
        <f t="shared" si="11"/>
        <v/>
      </c>
      <c r="I139" s="108" t="str">
        <f>IFERROR(INDEX($E$2:$E$159,_xlfn.AGGREGATE(15,6,(ROW($E$2:$E$159)-ROW($E$2)+1)/($E$2:$E$159&lt;&gt;""),ROWS($I$2:I139)))," ")</f>
        <v>TOS Scotty</v>
      </c>
      <c r="J139" s="67" t="str">
        <f>IFERROR(INDEX($F$2:$F$159,_xlfn.AGGREGATE(15,6,(ROW($F$2:$F$159)-ROW($E$2)+1)/($F$2:$F$159&lt;&gt;""),ROWS($J$2:J139)))," ")</f>
        <v>TOS Scotty</v>
      </c>
    </row>
    <row r="140" spans="1:10" x14ac:dyDescent="0.25">
      <c r="A140" s="101" t="str">
        <f>Roster!C160</f>
        <v>TOS Spock</v>
      </c>
      <c r="B140" s="67" t="str">
        <f>'All Docks'!Z140</f>
        <v>TOS Spock</v>
      </c>
      <c r="C140" s="580">
        <f>COUNTIF(Roster!$I$7:$T$10,A140)</f>
        <v>0</v>
      </c>
      <c r="D140" s="487">
        <f>COUNTIF('All Docks'!$C$5:$V$59,B140)</f>
        <v>0</v>
      </c>
      <c r="E140" s="101" t="str">
        <f t="shared" si="8"/>
        <v>TOS Spock</v>
      </c>
      <c r="F140" s="67" t="str">
        <f t="shared" si="9"/>
        <v>TOS Spock</v>
      </c>
      <c r="G140" s="101" t="str">
        <f t="shared" si="10"/>
        <v/>
      </c>
      <c r="H140" s="67" t="str">
        <f t="shared" si="11"/>
        <v/>
      </c>
      <c r="I140" s="108" t="str">
        <f>IFERROR(INDEX($E$2:$E$159,_xlfn.AGGREGATE(15,6,(ROW($E$2:$E$159)-ROW($E$2)+1)/($E$2:$E$159&lt;&gt;""),ROWS($I$2:I140)))," ")</f>
        <v>TOS Spock</v>
      </c>
      <c r="J140" s="67" t="str">
        <f>IFERROR(INDEX($F$2:$F$159,_xlfn.AGGREGATE(15,6,(ROW($F$2:$F$159)-ROW($E$2)+1)/($F$2:$F$159&lt;&gt;""),ROWS($J$2:J140)))," ")</f>
        <v>TOS Spock</v>
      </c>
    </row>
    <row r="141" spans="1:10" x14ac:dyDescent="0.25">
      <c r="A141" s="101" t="str">
        <f>Roster!C161</f>
        <v>TOS Sulu</v>
      </c>
      <c r="B141" s="67" t="str">
        <f>'All Docks'!Z141</f>
        <v>TOS Sulu</v>
      </c>
      <c r="C141" s="580">
        <f>COUNTIF(Roster!$I$7:$T$10,A141)</f>
        <v>0</v>
      </c>
      <c r="D141" s="487">
        <f>COUNTIF('All Docks'!$C$5:$V$59,B141)</f>
        <v>0</v>
      </c>
      <c r="E141" s="101" t="str">
        <f t="shared" si="8"/>
        <v>TOS Sulu</v>
      </c>
      <c r="F141" s="67" t="str">
        <f t="shared" si="9"/>
        <v>TOS Sulu</v>
      </c>
      <c r="G141" s="101" t="str">
        <f t="shared" si="10"/>
        <v/>
      </c>
      <c r="H141" s="67" t="str">
        <f t="shared" si="11"/>
        <v/>
      </c>
      <c r="I141" s="108" t="str">
        <f>IFERROR(INDEX($E$2:$E$159,_xlfn.AGGREGATE(15,6,(ROW($E$2:$E$159)-ROW($E$2)+1)/($E$2:$E$159&lt;&gt;""),ROWS($I$2:I141)))," ")</f>
        <v>TOS Sulu</v>
      </c>
      <c r="J141" s="67" t="str">
        <f>IFERROR(INDEX($F$2:$F$159,_xlfn.AGGREGATE(15,6,(ROW($F$2:$F$159)-ROW($E$2)+1)/($F$2:$F$159&lt;&gt;""),ROWS($J$2:J141)))," ")</f>
        <v>TOS Sulu</v>
      </c>
    </row>
    <row r="142" spans="1:10" x14ac:dyDescent="0.25">
      <c r="A142" s="101" t="str">
        <f>Roster!C162</f>
        <v>TOS Uhura</v>
      </c>
      <c r="B142" s="67" t="str">
        <f>'All Docks'!Z142</f>
        <v>TOS Uhura</v>
      </c>
      <c r="C142" s="580">
        <f>COUNTIF(Roster!$I$7:$T$10,A142)</f>
        <v>0</v>
      </c>
      <c r="D142" s="487">
        <f>COUNTIF('All Docks'!$C$5:$V$59,B142)</f>
        <v>0</v>
      </c>
      <c r="E142" s="101" t="str">
        <f t="shared" si="8"/>
        <v>TOS Uhura</v>
      </c>
      <c r="F142" s="67" t="str">
        <f t="shared" si="9"/>
        <v>TOS Uhura</v>
      </c>
      <c r="G142" s="101" t="str">
        <f t="shared" si="10"/>
        <v/>
      </c>
      <c r="H142" s="67" t="str">
        <f t="shared" si="11"/>
        <v/>
      </c>
      <c r="I142" s="108" t="str">
        <f>IFERROR(INDEX($E$2:$E$159,_xlfn.AGGREGATE(15,6,(ROW($E$2:$E$159)-ROW($E$2)+1)/($E$2:$E$159&lt;&gt;""),ROWS($I$2:I142)))," ")</f>
        <v>TOS Uhura</v>
      </c>
      <c r="J142" s="67" t="str">
        <f>IFERROR(INDEX($F$2:$F$159,_xlfn.AGGREGATE(15,6,(ROW($F$2:$F$159)-ROW($E$2)+1)/($F$2:$F$159&lt;&gt;""),ROWS($J$2:J142)))," ")</f>
        <v>TOS Uhura</v>
      </c>
    </row>
    <row r="143" spans="1:10" x14ac:dyDescent="0.25">
      <c r="A143" s="101" t="str">
        <f>Roster!C163</f>
        <v>T'Pring</v>
      </c>
      <c r="B143" s="67" t="str">
        <f>'All Docks'!Z143</f>
        <v>T'Pring</v>
      </c>
      <c r="C143" s="580">
        <f>COUNTIF(Roster!$I$7:$T$10,A143)</f>
        <v>0</v>
      </c>
      <c r="D143" s="487">
        <f>COUNTIF('All Docks'!$C$5:$V$59,B143)</f>
        <v>0</v>
      </c>
      <c r="E143" s="101" t="str">
        <f t="shared" si="8"/>
        <v>T'Pring</v>
      </c>
      <c r="F143" s="67" t="str">
        <f t="shared" si="9"/>
        <v>T'Pring</v>
      </c>
      <c r="G143" s="101" t="str">
        <f t="shared" si="10"/>
        <v/>
      </c>
      <c r="H143" s="67" t="str">
        <f t="shared" si="11"/>
        <v/>
      </c>
      <c r="I143" s="108" t="str">
        <f>IFERROR(INDEX($E$2:$E$159,_xlfn.AGGREGATE(15,6,(ROW($E$2:$E$159)-ROW($E$2)+1)/($E$2:$E$159&lt;&gt;""),ROWS($I$2:I143)))," ")</f>
        <v>T'Pring</v>
      </c>
      <c r="J143" s="67" t="str">
        <f>IFERROR(INDEX($F$2:$F$159,_xlfn.AGGREGATE(15,6,(ROW($F$2:$F$159)-ROW($E$2)+1)/($F$2:$F$159&lt;&gt;""),ROWS($J$2:J143)))," ")</f>
        <v>T'Pring</v>
      </c>
    </row>
    <row r="144" spans="1:10" x14ac:dyDescent="0.25">
      <c r="A144" s="101" t="str">
        <f>Roster!C164</f>
        <v>Two Of Eleven</v>
      </c>
      <c r="B144" s="67" t="str">
        <f>'All Docks'!Z144</f>
        <v>Two Of Eleven</v>
      </c>
      <c r="C144" s="580">
        <f>COUNTIF(Roster!$I$7:$T$10,A144)</f>
        <v>0</v>
      </c>
      <c r="D144" s="487">
        <f>COUNTIF('All Docks'!$C$5:$V$59,B144)</f>
        <v>0</v>
      </c>
      <c r="E144" s="101" t="str">
        <f t="shared" si="8"/>
        <v>Two Of Eleven</v>
      </c>
      <c r="F144" s="67" t="str">
        <f t="shared" si="9"/>
        <v>Two Of Eleven</v>
      </c>
      <c r="G144" s="101" t="str">
        <f t="shared" si="10"/>
        <v/>
      </c>
      <c r="H144" s="67" t="str">
        <f t="shared" si="11"/>
        <v/>
      </c>
      <c r="I144" s="108" t="str">
        <f>IFERROR(INDEX($E$2:$E$159,_xlfn.AGGREGATE(15,6,(ROW($E$2:$E$159)-ROW($E$2)+1)/($E$2:$E$159&lt;&gt;""),ROWS($I$2:I144)))," ")</f>
        <v>Two Of Eleven</v>
      </c>
      <c r="J144" s="67" t="str">
        <f>IFERROR(INDEX($F$2:$F$159,_xlfn.AGGREGATE(15,6,(ROW($F$2:$F$159)-ROW($E$2)+1)/($F$2:$F$159&lt;&gt;""),ROWS($J$2:J144)))," ")</f>
        <v>Two Of Eleven</v>
      </c>
    </row>
    <row r="145" spans="1:10" x14ac:dyDescent="0.25">
      <c r="A145" s="101" t="str">
        <f>Roster!C165</f>
        <v>Tyler</v>
      </c>
      <c r="B145" s="67" t="str">
        <f>'All Docks'!Z145</f>
        <v>Tyler</v>
      </c>
      <c r="C145" s="580">
        <f>COUNTIF(Roster!$I$7:$T$10,A145)</f>
        <v>0</v>
      </c>
      <c r="D145" s="487">
        <f>COUNTIF('All Docks'!$C$5:$V$59,B145)</f>
        <v>0</v>
      </c>
      <c r="E145" s="101" t="str">
        <f t="shared" si="8"/>
        <v>Tyler</v>
      </c>
      <c r="F145" s="67" t="str">
        <f t="shared" si="9"/>
        <v>Tyler</v>
      </c>
      <c r="G145" s="101" t="str">
        <f t="shared" si="10"/>
        <v/>
      </c>
      <c r="H145" s="67" t="str">
        <f t="shared" si="11"/>
        <v/>
      </c>
      <c r="I145" s="108" t="str">
        <f>IFERROR(INDEX($E$2:$E$159,_xlfn.AGGREGATE(15,6,(ROW($E$2:$E$159)-ROW($E$2)+1)/($E$2:$E$159&lt;&gt;""),ROWS($I$2:I145)))," ")</f>
        <v>Tyler</v>
      </c>
      <c r="J145" s="67" t="str">
        <f>IFERROR(INDEX($F$2:$F$159,_xlfn.AGGREGATE(15,6,(ROW($F$2:$F$159)-ROW($E$2)+1)/($F$2:$F$159&lt;&gt;""),ROWS($J$2:J145)))," ")</f>
        <v>Tyler</v>
      </c>
    </row>
    <row r="146" spans="1:10" x14ac:dyDescent="0.25">
      <c r="A146" s="101" t="str">
        <f>Roster!C166</f>
        <v>Uhura</v>
      </c>
      <c r="B146" s="67" t="str">
        <f>'All Docks'!Z146</f>
        <v>Uhura</v>
      </c>
      <c r="C146" s="580">
        <f>COUNTIF(Roster!$I$7:$T$10,A146)</f>
        <v>0</v>
      </c>
      <c r="D146" s="487">
        <f>COUNTIF('All Docks'!$C$5:$V$59,B146)</f>
        <v>0</v>
      </c>
      <c r="E146" s="101" t="str">
        <f t="shared" si="8"/>
        <v>Uhura</v>
      </c>
      <c r="F146" s="67" t="str">
        <f t="shared" si="9"/>
        <v>Uhura</v>
      </c>
      <c r="G146" s="101" t="str">
        <f t="shared" si="10"/>
        <v/>
      </c>
      <c r="H146" s="67" t="str">
        <f t="shared" si="11"/>
        <v/>
      </c>
      <c r="I146" s="108" t="str">
        <f>IFERROR(INDEX($E$2:$E$159,_xlfn.AGGREGATE(15,6,(ROW($E$2:$E$159)-ROW($E$2)+1)/($E$2:$E$159&lt;&gt;""),ROWS($I$2:I146)))," ")</f>
        <v>Uhura</v>
      </c>
      <c r="J146" s="67" t="str">
        <f>IFERROR(INDEX($F$2:$F$159,_xlfn.AGGREGATE(15,6,(ROW($F$2:$F$159)-ROW($E$2)+1)/($F$2:$F$159&lt;&gt;""),ROWS($J$2:J146)))," ")</f>
        <v>Uhura</v>
      </c>
    </row>
    <row r="147" spans="1:10" x14ac:dyDescent="0.25">
      <c r="A147" s="101" t="str">
        <f>Roster!C167</f>
        <v>Vartoq</v>
      </c>
      <c r="B147" s="67" t="str">
        <f>'All Docks'!Z147</f>
        <v>Vartoq</v>
      </c>
      <c r="C147" s="580">
        <f>COUNTIF(Roster!$I$7:$T$10,A147)</f>
        <v>0</v>
      </c>
      <c r="D147" s="487">
        <f>COUNTIF('All Docks'!$C$5:$V$59,B147)</f>
        <v>0</v>
      </c>
      <c r="E147" s="101" t="str">
        <f t="shared" si="8"/>
        <v>Vartoq</v>
      </c>
      <c r="F147" s="67" t="str">
        <f t="shared" si="9"/>
        <v>Vartoq</v>
      </c>
      <c r="G147" s="101" t="str">
        <f t="shared" si="10"/>
        <v/>
      </c>
      <c r="H147" s="67" t="str">
        <f t="shared" si="11"/>
        <v/>
      </c>
      <c r="I147" s="108" t="str">
        <f>IFERROR(INDEX($E$2:$E$159,_xlfn.AGGREGATE(15,6,(ROW($E$2:$E$159)-ROW($E$2)+1)/($E$2:$E$159&lt;&gt;""),ROWS($I$2:I147)))," ")</f>
        <v>Vartoq</v>
      </c>
      <c r="J147" s="67" t="str">
        <f>IFERROR(INDEX($F$2:$F$159,_xlfn.AGGREGATE(15,6,(ROW($F$2:$F$159)-ROW($E$2)+1)/($F$2:$F$159&lt;&gt;""),ROWS($J$2:J147)))," ")</f>
        <v>Vartoq</v>
      </c>
    </row>
    <row r="148" spans="1:10" x14ac:dyDescent="0.25">
      <c r="A148" s="101" t="str">
        <f>Roster!C168</f>
        <v>Vel</v>
      </c>
      <c r="B148" s="67" t="str">
        <f>'All Docks'!Z148</f>
        <v>Vel</v>
      </c>
      <c r="C148" s="580">
        <f>COUNTIF(Roster!$I$7:$T$10,A148)</f>
        <v>0</v>
      </c>
      <c r="D148" s="487">
        <f>COUNTIF('All Docks'!$C$5:$V$59,B148)</f>
        <v>0</v>
      </c>
      <c r="E148" s="101" t="str">
        <f t="shared" si="8"/>
        <v>Vel</v>
      </c>
      <c r="F148" s="67" t="str">
        <f t="shared" si="9"/>
        <v>Vel</v>
      </c>
      <c r="G148" s="101" t="str">
        <f t="shared" si="10"/>
        <v/>
      </c>
      <c r="H148" s="67" t="str">
        <f t="shared" si="11"/>
        <v/>
      </c>
      <c r="I148" s="108" t="str">
        <f>IFERROR(INDEX($E$2:$E$159,_xlfn.AGGREGATE(15,6,(ROW($E$2:$E$159)-ROW($E$2)+1)/($E$2:$E$159&lt;&gt;""),ROWS($I$2:I148)))," ")</f>
        <v>Vel</v>
      </c>
      <c r="J148" s="67" t="str">
        <f>IFERROR(INDEX($F$2:$F$159,_xlfn.AGGREGATE(15,6,(ROW($F$2:$F$159)-ROW($E$2)+1)/($F$2:$F$159&lt;&gt;""),ROWS($J$2:J148)))," ")</f>
        <v>Vel</v>
      </c>
    </row>
    <row r="149" spans="1:10" x14ac:dyDescent="0.25">
      <c r="A149" s="101" t="str">
        <f>Roster!C169</f>
        <v>Vella</v>
      </c>
      <c r="B149" s="67" t="str">
        <f>'All Docks'!Z149</f>
        <v>Vella</v>
      </c>
      <c r="C149" s="580">
        <f>COUNTIF(Roster!$I$7:$T$10,A149)</f>
        <v>0</v>
      </c>
      <c r="D149" s="487">
        <f>COUNTIF('All Docks'!$C$5:$V$59,B149)</f>
        <v>0</v>
      </c>
      <c r="E149" s="101" t="str">
        <f t="shared" si="8"/>
        <v>Vella</v>
      </c>
      <c r="F149" s="67" t="str">
        <f t="shared" si="9"/>
        <v>Vella</v>
      </c>
      <c r="G149" s="101" t="str">
        <f t="shared" si="10"/>
        <v/>
      </c>
      <c r="H149" s="67" t="str">
        <f t="shared" si="11"/>
        <v/>
      </c>
      <c r="I149" s="108" t="str">
        <f>IFERROR(INDEX($E$2:$E$159,_xlfn.AGGREGATE(15,6,(ROW($E$2:$E$159)-ROW($E$2)+1)/($E$2:$E$159&lt;&gt;""),ROWS($I$2:I149)))," ")</f>
        <v>Vella</v>
      </c>
      <c r="J149" s="67" t="str">
        <f>IFERROR(INDEX($F$2:$F$159,_xlfn.AGGREGATE(15,6,(ROW($F$2:$F$159)-ROW($E$2)+1)/($F$2:$F$159&lt;&gt;""),ROWS($J$2:J149)))," ")</f>
        <v>Vella</v>
      </c>
    </row>
    <row r="150" spans="1:10" x14ac:dyDescent="0.25">
      <c r="A150" s="101" t="str">
        <f>Roster!C170</f>
        <v>Vemet</v>
      </c>
      <c r="B150" s="67" t="str">
        <f>'All Docks'!Z150</f>
        <v>Vemet</v>
      </c>
      <c r="C150" s="580">
        <f>COUNTIF(Roster!$I$7:$T$10,A150)</f>
        <v>0</v>
      </c>
      <c r="D150" s="487">
        <f>COUNTIF('All Docks'!$C$5:$V$59,B150)</f>
        <v>0</v>
      </c>
      <c r="E150" s="101" t="str">
        <f t="shared" si="8"/>
        <v>Vemet</v>
      </c>
      <c r="F150" s="67" t="str">
        <f t="shared" si="9"/>
        <v>Vemet</v>
      </c>
      <c r="G150" s="101" t="str">
        <f t="shared" si="10"/>
        <v/>
      </c>
      <c r="H150" s="67" t="str">
        <f t="shared" si="11"/>
        <v/>
      </c>
      <c r="I150" s="108" t="str">
        <f>IFERROR(INDEX($E$2:$E$159,_xlfn.AGGREGATE(15,6,(ROW($E$2:$E$159)-ROW($E$2)+1)/($E$2:$E$159&lt;&gt;""),ROWS($I$2:I150)))," ")</f>
        <v>Vemet</v>
      </c>
      <c r="J150" s="67" t="str">
        <f>IFERROR(INDEX($F$2:$F$159,_xlfn.AGGREGATE(15,6,(ROW($F$2:$F$159)-ROW($E$2)+1)/($F$2:$F$159&lt;&gt;""),ROWS($J$2:J150)))," ")</f>
        <v>Vemet</v>
      </c>
    </row>
    <row r="151" spans="1:10" x14ac:dyDescent="0.25">
      <c r="A151" s="101" t="str">
        <f>Roster!C171</f>
        <v>Vixis</v>
      </c>
      <c r="B151" s="67" t="str">
        <f>'All Docks'!Z151</f>
        <v>Vixis</v>
      </c>
      <c r="C151" s="580">
        <f>COUNTIF(Roster!$I$7:$T$10,A151)</f>
        <v>0</v>
      </c>
      <c r="D151" s="487">
        <f>COUNTIF('All Docks'!$C$5:$V$59,B151)</f>
        <v>0</v>
      </c>
      <c r="E151" s="101" t="str">
        <f t="shared" si="8"/>
        <v>Vixis</v>
      </c>
      <c r="F151" s="67" t="str">
        <f t="shared" si="9"/>
        <v>Vixis</v>
      </c>
      <c r="G151" s="101" t="str">
        <f t="shared" si="10"/>
        <v/>
      </c>
      <c r="H151" s="67" t="str">
        <f t="shared" si="11"/>
        <v/>
      </c>
      <c r="I151" s="108" t="str">
        <f>IFERROR(INDEX($E$2:$E$159,_xlfn.AGGREGATE(15,6,(ROW($E$2:$E$159)-ROW($E$2)+1)/($E$2:$E$159&lt;&gt;""),ROWS($I$2:I151)))," ")</f>
        <v>Vixis</v>
      </c>
      <c r="J151" s="67" t="str">
        <f>IFERROR(INDEX($F$2:$F$159,_xlfn.AGGREGATE(15,6,(ROW($F$2:$F$159)-ROW($E$2)+1)/($F$2:$F$159&lt;&gt;""),ROWS($J$2:J151)))," ")</f>
        <v>Vixis</v>
      </c>
    </row>
    <row r="152" spans="1:10" x14ac:dyDescent="0.25">
      <c r="A152" s="101" t="str">
        <f>Roster!C172</f>
        <v>Wesley Crusher</v>
      </c>
      <c r="B152" s="67" t="str">
        <f>'All Docks'!Z152</f>
        <v>Wesley Crusher</v>
      </c>
      <c r="C152" s="580">
        <f>COUNTIF(Roster!$I$7:$T$10,A152)</f>
        <v>0</v>
      </c>
      <c r="D152" s="487">
        <f>COUNTIF('All Docks'!$C$5:$V$59,B152)</f>
        <v>0</v>
      </c>
      <c r="E152" s="101" t="str">
        <f t="shared" si="8"/>
        <v>Wesley Crusher</v>
      </c>
      <c r="F152" s="67" t="str">
        <f t="shared" si="9"/>
        <v>Wesley Crusher</v>
      </c>
      <c r="G152" s="101" t="str">
        <f t="shared" si="10"/>
        <v/>
      </c>
      <c r="H152" s="67" t="str">
        <f t="shared" si="11"/>
        <v/>
      </c>
      <c r="I152" s="108" t="str">
        <f>IFERROR(INDEX($E$2:$E$159,_xlfn.AGGREGATE(15,6,(ROW($E$2:$E$159)-ROW($E$2)+1)/($E$2:$E$159&lt;&gt;""),ROWS($I$2:I152)))," ")</f>
        <v>Wesley Crusher</v>
      </c>
      <c r="J152" s="67" t="str">
        <f>IFERROR(INDEX($F$2:$F$159,_xlfn.AGGREGATE(15,6,(ROW($F$2:$F$159)-ROW($E$2)+1)/($F$2:$F$159&lt;&gt;""),ROWS($J$2:J152)))," ")</f>
        <v>Wesley Crusher</v>
      </c>
    </row>
    <row r="153" spans="1:10" x14ac:dyDescent="0.25">
      <c r="A153" s="101" t="str">
        <f>Roster!C173</f>
        <v>William T. Riker</v>
      </c>
      <c r="B153" s="67" t="str">
        <f>'All Docks'!Z153</f>
        <v>William T. Riker</v>
      </c>
      <c r="C153" s="580">
        <f>COUNTIF(Roster!$I$7:$T$10,A153)</f>
        <v>0</v>
      </c>
      <c r="D153" s="487">
        <f>COUNTIF('All Docks'!$C$5:$V$59,B153)</f>
        <v>0</v>
      </c>
      <c r="E153" s="101" t="str">
        <f t="shared" si="8"/>
        <v>William T. Riker</v>
      </c>
      <c r="F153" s="67" t="str">
        <f t="shared" si="9"/>
        <v>William T. Riker</v>
      </c>
      <c r="G153" s="101" t="str">
        <f t="shared" si="10"/>
        <v/>
      </c>
      <c r="H153" s="67" t="str">
        <f t="shared" si="11"/>
        <v/>
      </c>
      <c r="I153" s="108" t="str">
        <f>IFERROR(INDEX($E$2:$E$159,_xlfn.AGGREGATE(15,6,(ROW($E$2:$E$159)-ROW($E$2)+1)/($E$2:$E$159&lt;&gt;""),ROWS($I$2:I153)))," ")</f>
        <v>William T. Riker</v>
      </c>
      <c r="J153" s="67" t="str">
        <f>IFERROR(INDEX($F$2:$F$159,_xlfn.AGGREGATE(15,6,(ROW($F$2:$F$159)-ROW($E$2)+1)/($F$2:$F$159&lt;&gt;""),ROWS($J$2:J153)))," ")</f>
        <v>William T. Riker</v>
      </c>
    </row>
    <row r="154" spans="1:10" x14ac:dyDescent="0.25">
      <c r="A154" s="101" t="str">
        <f>Roster!C174</f>
        <v>Worf</v>
      </c>
      <c r="B154" s="67" t="str">
        <f>'All Docks'!Z154</f>
        <v>Worf</v>
      </c>
      <c r="C154" s="580">
        <f>COUNTIF(Roster!$I$7:$T$10,A154)</f>
        <v>0</v>
      </c>
      <c r="D154" s="487">
        <f>COUNTIF('All Docks'!$C$5:$V$59,B154)</f>
        <v>0</v>
      </c>
      <c r="E154" s="101" t="str">
        <f t="shared" si="8"/>
        <v>Worf</v>
      </c>
      <c r="F154" s="67" t="str">
        <f t="shared" si="9"/>
        <v>Worf</v>
      </c>
      <c r="G154" s="101" t="str">
        <f t="shared" si="10"/>
        <v/>
      </c>
      <c r="H154" s="67" t="str">
        <f t="shared" si="11"/>
        <v/>
      </c>
      <c r="I154" s="108" t="str">
        <f>IFERROR(INDEX($E$2:$E$159,_xlfn.AGGREGATE(15,6,(ROW($E$2:$E$159)-ROW($E$2)+1)/($E$2:$E$159&lt;&gt;""),ROWS($I$2:I154)))," ")</f>
        <v>Worf</v>
      </c>
      <c r="J154" s="67" t="str">
        <f>IFERROR(INDEX($F$2:$F$159,_xlfn.AGGREGATE(15,6,(ROW($F$2:$F$159)-ROW($E$2)+1)/($F$2:$F$159&lt;&gt;""),ROWS($J$2:J154)))," ")</f>
        <v>Worf</v>
      </c>
    </row>
    <row r="155" spans="1:10" x14ac:dyDescent="0.25">
      <c r="A155" s="101" t="str">
        <f>Roster!C175</f>
        <v>Woteln</v>
      </c>
      <c r="B155" s="67" t="str">
        <f>'All Docks'!Z155</f>
        <v>Woteln</v>
      </c>
      <c r="C155" s="580">
        <f>COUNTIF(Roster!$I$7:$T$10,A155)</f>
        <v>0</v>
      </c>
      <c r="D155" s="487">
        <f>COUNTIF('All Docks'!$C$5:$V$59,B155)</f>
        <v>0</v>
      </c>
      <c r="E155" s="101" t="str">
        <f t="shared" si="8"/>
        <v>Woteln</v>
      </c>
      <c r="F155" s="67" t="str">
        <f t="shared" si="9"/>
        <v>Woteln</v>
      </c>
      <c r="G155" s="101" t="str">
        <f t="shared" si="10"/>
        <v/>
      </c>
      <c r="H155" s="67" t="str">
        <f t="shared" si="11"/>
        <v/>
      </c>
      <c r="I155" s="108" t="str">
        <f>IFERROR(INDEX($E$2:$E$159,_xlfn.AGGREGATE(15,6,(ROW($E$2:$E$159)-ROW($E$2)+1)/($E$2:$E$159&lt;&gt;""),ROWS($I$2:I155)))," ")</f>
        <v>Woteln</v>
      </c>
      <c r="J155" s="67" t="str">
        <f>IFERROR(INDEX($F$2:$F$159,_xlfn.AGGREGATE(15,6,(ROW($F$2:$F$159)-ROW($E$2)+1)/($F$2:$F$159&lt;&gt;""),ROWS($J$2:J155)))," ")</f>
        <v>Woteln</v>
      </c>
    </row>
    <row r="156" spans="1:10" x14ac:dyDescent="0.25">
      <c r="A156" s="101" t="str">
        <f>Roster!C176</f>
        <v>Yan'Agh</v>
      </c>
      <c r="B156" s="67" t="str">
        <f>'All Docks'!Z156</f>
        <v>Yan'Agh</v>
      </c>
      <c r="C156" s="580">
        <f>COUNTIF(Roster!$I$7:$T$10,A156)</f>
        <v>0</v>
      </c>
      <c r="D156" s="487">
        <f>COUNTIF('All Docks'!$C$5:$V$59,B156)</f>
        <v>0</v>
      </c>
      <c r="E156" s="101" t="str">
        <f t="shared" si="8"/>
        <v>Yan'Agh</v>
      </c>
      <c r="F156" s="67" t="str">
        <f t="shared" si="9"/>
        <v>Yan'Agh</v>
      </c>
      <c r="G156" s="101" t="str">
        <f t="shared" si="10"/>
        <v/>
      </c>
      <c r="H156" s="67" t="str">
        <f t="shared" si="11"/>
        <v/>
      </c>
      <c r="I156" s="108" t="str">
        <f>IFERROR(INDEX($E$2:$E$159,_xlfn.AGGREGATE(15,6,(ROW($E$2:$E$159)-ROW($E$2)+1)/($E$2:$E$159&lt;&gt;""),ROWS($I$2:I156)))," ")</f>
        <v>Yan'Agh</v>
      </c>
      <c r="J156" s="67" t="str">
        <f>IFERROR(INDEX($F$2:$F$159,_xlfn.AGGREGATE(15,6,(ROW($F$2:$F$159)-ROW($E$2)+1)/($F$2:$F$159&lt;&gt;""),ROWS($J$2:J156)))," ")</f>
        <v>Yan'Agh</v>
      </c>
    </row>
    <row r="157" spans="1:10" x14ac:dyDescent="0.25">
      <c r="A157" s="101" t="str">
        <f>Roster!C177</f>
        <v>Yuki</v>
      </c>
      <c r="B157" s="67" t="str">
        <f>'All Docks'!Z157</f>
        <v>Yuki</v>
      </c>
      <c r="C157" s="580">
        <f>COUNTIF(Roster!$I$7:$T$10,A157)</f>
        <v>0</v>
      </c>
      <c r="D157" s="487">
        <f>COUNTIF('All Docks'!$C$5:$V$59,B157)</f>
        <v>0</v>
      </c>
      <c r="E157" s="101" t="str">
        <f t="shared" si="8"/>
        <v>Yuki</v>
      </c>
      <c r="F157" s="67" t="str">
        <f t="shared" si="9"/>
        <v>Yuki</v>
      </c>
      <c r="G157" s="101" t="str">
        <f t="shared" si="10"/>
        <v/>
      </c>
      <c r="H157" s="67" t="str">
        <f t="shared" si="11"/>
        <v/>
      </c>
      <c r="I157" s="108" t="str">
        <f>IFERROR(INDEX($E$2:$E$159,_xlfn.AGGREGATE(15,6,(ROW($E$2:$E$159)-ROW($E$2)+1)/($E$2:$E$159&lt;&gt;""),ROWS($I$2:I157)))," ")</f>
        <v>Yuki</v>
      </c>
      <c r="J157" s="67" t="str">
        <f>IFERROR(INDEX($F$2:$F$159,_xlfn.AGGREGATE(15,6,(ROW($F$2:$F$159)-ROW($E$2)+1)/($F$2:$F$159&lt;&gt;""),ROWS($J$2:J157)))," ")</f>
        <v>Yuki</v>
      </c>
    </row>
    <row r="158" spans="1:10" x14ac:dyDescent="0.25">
      <c r="A158" s="101" t="str">
        <f>Roster!C178</f>
        <v>Zahra</v>
      </c>
      <c r="B158" s="67" t="str">
        <f>'All Docks'!Z158</f>
        <v>Zahra</v>
      </c>
      <c r="C158" s="580">
        <f>COUNTIF(Roster!$I$7:$T$10,A158)</f>
        <v>0</v>
      </c>
      <c r="D158" s="487">
        <f>COUNTIF('All Docks'!$C$5:$V$59,B158)</f>
        <v>0</v>
      </c>
      <c r="E158" s="101" t="str">
        <f t="shared" si="8"/>
        <v>Zahra</v>
      </c>
      <c r="F158" s="67" t="str">
        <f t="shared" si="9"/>
        <v>Zahra</v>
      </c>
      <c r="G158" s="101" t="str">
        <f t="shared" si="10"/>
        <v/>
      </c>
      <c r="H158" s="67" t="str">
        <f t="shared" si="11"/>
        <v/>
      </c>
      <c r="I158" s="108" t="str">
        <f>IFERROR(INDEX($E$2:$E$159,_xlfn.AGGREGATE(15,6,(ROW($E$2:$E$159)-ROW($E$2)+1)/($E$2:$E$159&lt;&gt;""),ROWS($I$2:I158)))," ")</f>
        <v>Zahra</v>
      </c>
      <c r="J158" s="67" t="str">
        <f>IFERROR(INDEX($F$2:$F$159,_xlfn.AGGREGATE(15,6,(ROW($F$2:$F$159)-ROW($E$2)+1)/($F$2:$F$159&lt;&gt;""),ROWS($J$2:J158)))," ")</f>
        <v>Zahra</v>
      </c>
    </row>
    <row r="159" spans="1:10" x14ac:dyDescent="0.25">
      <c r="A159" s="101" t="str">
        <f>Roster!C179</f>
        <v>Zhou</v>
      </c>
      <c r="B159" s="67" t="str">
        <f>'All Docks'!Z159</f>
        <v>Zhou</v>
      </c>
      <c r="C159" s="580">
        <f>COUNTIF(Roster!$I$7:$T$10,A159)</f>
        <v>0</v>
      </c>
      <c r="D159" s="487">
        <f>COUNTIF('All Docks'!$C$5:$V$59,B159)</f>
        <v>0</v>
      </c>
      <c r="E159" s="101" t="str">
        <f t="shared" si="8"/>
        <v>Zhou</v>
      </c>
      <c r="F159" s="67" t="str">
        <f t="shared" si="9"/>
        <v>Zhou</v>
      </c>
      <c r="G159" s="101" t="str">
        <f t="shared" si="10"/>
        <v/>
      </c>
      <c r="H159" s="67" t="str">
        <f t="shared" si="11"/>
        <v/>
      </c>
      <c r="I159" s="108" t="str">
        <f>IFERROR(INDEX($E$2:$E$159,_xlfn.AGGREGATE(15,6,(ROW($E$2:$E$159)-ROW($E$2)+1)/($E$2:$E$159&lt;&gt;""),ROWS($I$2:I159)))," ")</f>
        <v>Zhou</v>
      </c>
      <c r="J159" s="67" t="str">
        <f>IFERROR(INDEX($F$2:$F$159,_xlfn.AGGREGATE(15,6,(ROW($F$2:$F$159)-ROW($E$2)+1)/($F$2:$F$159&lt;&gt;""),ROWS($J$2:J159)))," ")</f>
        <v>Zhou</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9"/>
  <sheetViews>
    <sheetView topLeftCell="B1" workbookViewId="0">
      <pane ySplit="1" topLeftCell="A2" activePane="bottomLeft" state="frozen"/>
      <selection activeCell="F1" sqref="F1"/>
      <selection pane="bottomLeft" activeCell="K2" sqref="K2"/>
    </sheetView>
  </sheetViews>
  <sheetFormatPr defaultRowHeight="15" x14ac:dyDescent="0.25"/>
  <cols>
    <col min="1" max="1" width="13.85546875" style="78" customWidth="1"/>
    <col min="2" max="4" width="9.140625" style="78"/>
    <col min="5" max="5" width="75" style="78" customWidth="1"/>
    <col min="6" max="6" width="14.5703125" style="67" customWidth="1"/>
    <col min="7" max="9" width="9.140625" style="68"/>
    <col min="10" max="10" width="85.5703125" style="67" customWidth="1"/>
    <col min="11" max="12" width="9.140625" style="80"/>
    <col min="13" max="16384" width="9.140625" style="78"/>
  </cols>
  <sheetData>
    <row r="1" spans="1:12" s="67" customFormat="1" x14ac:dyDescent="0.25">
      <c r="A1" s="67" t="s">
        <v>640</v>
      </c>
      <c r="B1" s="67" t="s">
        <v>247</v>
      </c>
      <c r="C1" s="67" t="s">
        <v>231</v>
      </c>
      <c r="D1" s="67" t="s">
        <v>232</v>
      </c>
      <c r="E1" s="67" t="s">
        <v>250</v>
      </c>
      <c r="F1" s="67" t="s">
        <v>640</v>
      </c>
      <c r="G1" s="68" t="s">
        <v>641</v>
      </c>
      <c r="H1" s="68" t="s">
        <v>642</v>
      </c>
      <c r="I1" s="68" t="s">
        <v>643</v>
      </c>
      <c r="J1" s="67" t="s">
        <v>2308</v>
      </c>
      <c r="K1" s="86" t="s">
        <v>2307</v>
      </c>
      <c r="L1" s="86" t="s">
        <v>658</v>
      </c>
    </row>
    <row r="2" spans="1:12" x14ac:dyDescent="0.25">
      <c r="A2" s="57" t="s">
        <v>47</v>
      </c>
      <c r="B2" s="56">
        <f t="shared" ref="B2:B41" si="0">VLOOKUP(A2,OfficerScores,10,FALSE)</f>
        <v>5</v>
      </c>
      <c r="C2" s="56">
        <f t="shared" ref="C2:C41" si="1">VLOOKUP(A2,OfficerScores,18,FALSE)</f>
        <v>5</v>
      </c>
      <c r="D2" s="56">
        <f t="shared" ref="D2:D41" si="2">VLOOKUP(A2,OfficerScores,19,FALSE)</f>
        <v>5</v>
      </c>
      <c r="E2" s="56" t="str">
        <f t="shared" ref="E2:E41" si="3">VLOOKUP(A2,OfficerScores,20,FALSE)</f>
        <v>Captain: Station only</v>
      </c>
      <c r="F2" s="29" t="s">
        <v>47</v>
      </c>
      <c r="G2" s="98" t="str">
        <f t="shared" ref="G2:G41" si="4">IF(VLOOKUP(F2,OfficerSkillsFull,15,FALSE) = 0,"",VLOOKUP(F2,OfficerSkillsFull,15,FALSE)) &amp; " | " &amp; IF(VLOOKUP(F2,OfficerSkillsFull,16,FALSE) = 0,"",VLOOKUP(F2,OfficerSkillsFull,16,FALSE))</f>
        <v xml:space="preserve"> | </v>
      </c>
      <c r="H2" s="98" t="str">
        <f t="shared" ref="H2:H41" si="5">IF(VLOOKUP(F2,OfficerSkillsFull,17,FALSE) = 0,"",VLOOKUP(F2,OfficerSkillsFull,17,FALSE)) &amp; " | " &amp; IF(VLOOKUP(F2,OfficerSkillsFull,18,FALSE) = 0,"",VLOOKUP(F2,OfficerSkillsFull,18,FALSE))</f>
        <v xml:space="preserve"> | </v>
      </c>
      <c r="I2" s="98" t="str">
        <f t="shared" ref="I2:I41" si="6">IF(VLOOKUP(F2,OfficerSkillsFull,19,FALSE) = 0,"",VLOOKUP(F2,OfficerSkillsFull,19,FALSE)) &amp; " | " &amp; IF(VLOOKUP(F2,OfficerSkillsFull,20,FALSE) = 0,"",VLOOKUP(F2,OfficerSkillsFull,20,FALSE))</f>
        <v xml:space="preserve"> | </v>
      </c>
      <c r="J2" s="67" t="str">
        <f t="shared" ref="J2:J33" si="7">IF(VLOOKUP(F2,OfficerSkillsFull,33,FALSE)="Y", "BDA: " &amp; VLOOKUP(F2,OfficerSkillsFull,34,FALSE), "CM: " &amp; VLOOKUP(F2,OfficerSkillsFull,9,FALSE)) &amp; " OA: " &amp; VLOOKUP(F2,OfficerSkillsFull,3,FALSE)</f>
        <v>CM: Increase Critical Hit chance when defending the station OA: Increase Defence of all Officers on the ship</v>
      </c>
      <c r="K2" s="81" t="str">
        <f t="shared" ref="K2:K33" ca="1" si="8">IF(VLOOKUP(F2,RankLookup,3,FALSE)=0,"",IF(VLOOKUP(F2,OfficerSkillsFull,33,FALSE)="Y",VLOOKUP(F2,OfficerSkillsFull,34+VLOOKUP(F2,RankLookup,3,FALSE),FALSE),VLOOKUP(F2,OfficerSkillsFull,10,FALSE)))</f>
        <v/>
      </c>
      <c r="L2" s="81" t="str">
        <f t="shared" ref="L2:L41" ca="1" si="9">IF(VLOOKUP(F2,RankLookup,3,FALSE)=0,"",VLOOKUP(F2,OfficerSkillsFull,3+VLOOKUP(F2,RankLookup,3,FALSE),FALSE))</f>
        <v/>
      </c>
    </row>
    <row r="3" spans="1:12" x14ac:dyDescent="0.25">
      <c r="A3" s="56" t="s">
        <v>102</v>
      </c>
      <c r="B3" s="56">
        <f t="shared" si="0"/>
        <v>4.5</v>
      </c>
      <c r="C3" s="56">
        <f t="shared" si="1"/>
        <v>4</v>
      </c>
      <c r="D3" s="56">
        <f t="shared" si="2"/>
        <v>4</v>
      </c>
      <c r="E3" s="56" t="str">
        <f t="shared" si="3"/>
        <v>Captain &amp; Oficer: vs. Eclipse only! Officer: useless - too weak!!</v>
      </c>
      <c r="F3" s="29" t="s">
        <v>102</v>
      </c>
      <c r="G3" s="98" t="str">
        <f t="shared" si="4"/>
        <v xml:space="preserve"> | </v>
      </c>
      <c r="H3" s="98" t="str">
        <f t="shared" si="5"/>
        <v xml:space="preserve"> | </v>
      </c>
      <c r="I3" s="98" t="str">
        <f t="shared" si="6"/>
        <v xml:space="preserve"> | </v>
      </c>
      <c r="J3" s="67" t="str">
        <f t="shared" si="7"/>
        <v>CM: Increase Critical hit chance for the first 3 rounds against Eclipse. OA: Decrease Ecliple hostile's mitigation by 40%</v>
      </c>
      <c r="K3" s="81" t="str">
        <f t="shared" ca="1" si="8"/>
        <v/>
      </c>
      <c r="L3" s="81" t="str">
        <f t="shared" ca="1" si="9"/>
        <v/>
      </c>
    </row>
    <row r="4" spans="1:12" x14ac:dyDescent="0.25">
      <c r="A4" s="56" t="s">
        <v>84</v>
      </c>
      <c r="B4" s="56">
        <f t="shared" si="0"/>
        <v>2.5</v>
      </c>
      <c r="C4" s="56">
        <f t="shared" si="1"/>
        <v>4.5</v>
      </c>
      <c r="D4" s="56">
        <f t="shared" si="2"/>
        <v>3.5</v>
      </c>
      <c r="E4" s="56" t="str">
        <f t="shared" si="3"/>
        <v>Captain: Isogen Mining; Officer: Capture Node only</v>
      </c>
      <c r="F4" s="29" t="s">
        <v>84</v>
      </c>
      <c r="G4" s="98" t="str">
        <f t="shared" si="4"/>
        <v xml:space="preserve">Y | </v>
      </c>
      <c r="H4" s="98" t="str">
        <f t="shared" si="5"/>
        <v xml:space="preserve"> | </v>
      </c>
      <c r="I4" s="98" t="str">
        <f t="shared" si="6"/>
        <v xml:space="preserve"> | </v>
      </c>
      <c r="J4" s="67" t="str">
        <f t="shared" si="7"/>
        <v>CM: Increase Mining Speed (Isogen) OA: Chance to Inflict Burning when defending a node</v>
      </c>
      <c r="K4" s="81" t="str">
        <f t="shared" ca="1" si="8"/>
        <v/>
      </c>
      <c r="L4" s="81" t="str">
        <f t="shared" ca="1" si="9"/>
        <v/>
      </c>
    </row>
    <row r="5" spans="1:12" x14ac:dyDescent="0.25">
      <c r="A5" s="56" t="s">
        <v>31</v>
      </c>
      <c r="B5" s="56">
        <f t="shared" si="0"/>
        <v>5</v>
      </c>
      <c r="C5" s="56">
        <f t="shared" si="1"/>
        <v>5</v>
      </c>
      <c r="D5" s="56">
        <f t="shared" si="2"/>
        <v>5</v>
      </c>
      <c r="E5" s="56" t="str">
        <f t="shared" si="3"/>
        <v>Captain: very low chance of a 1x Round Burning; Officer: too hard to activate</v>
      </c>
      <c r="F5" s="29" t="s">
        <v>31</v>
      </c>
      <c r="G5" s="98" t="str">
        <f t="shared" si="4"/>
        <v xml:space="preserve">Y | </v>
      </c>
      <c r="H5" s="98" t="str">
        <f t="shared" si="5"/>
        <v xml:space="preserve"> | </v>
      </c>
      <c r="I5" s="98" t="str">
        <f t="shared" si="6"/>
        <v xml:space="preserve"> | </v>
      </c>
      <c r="J5" s="67" t="str">
        <f t="shared" si="7"/>
        <v>CM: Chance to cause Burning to opponent after hitting it with energy weapon OA: Increase Armor when ship has less than 70% Hull Health</v>
      </c>
      <c r="K5" s="81" t="str">
        <f t="shared" ca="1" si="8"/>
        <v/>
      </c>
      <c r="L5" s="81" t="str">
        <f t="shared" ca="1" si="9"/>
        <v/>
      </c>
    </row>
    <row r="6" spans="1:12" x14ac:dyDescent="0.25">
      <c r="A6" s="56" t="s">
        <v>29</v>
      </c>
      <c r="B6" s="56">
        <f t="shared" si="0"/>
        <v>5</v>
      </c>
      <c r="C6" s="56">
        <f t="shared" si="1"/>
        <v>5</v>
      </c>
      <c r="D6" s="56">
        <f t="shared" si="2"/>
        <v>5</v>
      </c>
      <c r="E6" s="56" t="str">
        <f t="shared" si="3"/>
        <v>Captain: **FIXED** - Correctly gives 2 rounds of Morale.</v>
      </c>
      <c r="F6" s="29" t="s">
        <v>29</v>
      </c>
      <c r="G6" s="341" t="str">
        <f t="shared" si="4"/>
        <v xml:space="preserve"> | </v>
      </c>
      <c r="H6" s="341" t="str">
        <f t="shared" si="5"/>
        <v xml:space="preserve"> | </v>
      </c>
      <c r="I6" s="341" t="str">
        <f t="shared" si="6"/>
        <v xml:space="preserve">Y | </v>
      </c>
      <c r="J6" s="67" t="str">
        <f t="shared" si="7"/>
        <v>CM: Chance to inspire Morale for 3 rounds when Shield is depleted OA: Increase Shield Health</v>
      </c>
      <c r="K6" s="81" t="str">
        <f t="shared" ca="1" si="8"/>
        <v/>
      </c>
      <c r="L6" s="81" t="str">
        <f t="shared" ca="1" si="9"/>
        <v/>
      </c>
    </row>
    <row r="7" spans="1:12" x14ac:dyDescent="0.25">
      <c r="A7" s="56" t="s">
        <v>1973</v>
      </c>
      <c r="B7" s="56">
        <f t="shared" ref="B7" si="10">VLOOKUP(A7,OfficerScores,10,FALSE)</f>
        <v>1</v>
      </c>
      <c r="C7" s="56">
        <f t="shared" ref="C7" si="11">VLOOKUP(A7,OfficerScores,18,FALSE)</f>
        <v>3.5</v>
      </c>
      <c r="D7" s="56">
        <f t="shared" ref="D7" si="12">VLOOKUP(A7,OfficerScores,19,FALSE)</f>
        <v>2</v>
      </c>
      <c r="E7" s="56" t="str">
        <f t="shared" ref="E7" si="13">VLOOKUP(A7,OfficerScores,20,FALSE)</f>
        <v>Captain: Good increase to Concentrated Latinum mining; Officer: Increase to mining speed.</v>
      </c>
      <c r="F7" s="29" t="s">
        <v>1973</v>
      </c>
      <c r="G7" s="487" t="str">
        <f t="shared" ref="G7" si="14">IF(VLOOKUP(F7,OfficerSkillsFull,15,FALSE) = 0,"",VLOOKUP(F7,OfficerSkillsFull,15,FALSE)) &amp; " | " &amp; IF(VLOOKUP(F7,OfficerSkillsFull,16,FALSE) = 0,"",VLOOKUP(F7,OfficerSkillsFull,16,FALSE))</f>
        <v xml:space="preserve"> | </v>
      </c>
      <c r="H7" s="487" t="str">
        <f t="shared" ref="H7" si="15">IF(VLOOKUP(F7,OfficerSkillsFull,17,FALSE) = 0,"",VLOOKUP(F7,OfficerSkillsFull,17,FALSE)) &amp; " | " &amp; IF(VLOOKUP(F7,OfficerSkillsFull,18,FALSE) = 0,"",VLOOKUP(F7,OfficerSkillsFull,18,FALSE))</f>
        <v xml:space="preserve"> | </v>
      </c>
      <c r="I7" s="487" t="str">
        <f t="shared" ref="I7" si="16">IF(VLOOKUP(F7,OfficerSkillsFull,19,FALSE) = 0,"",VLOOKUP(F7,OfficerSkillsFull,19,FALSE)) &amp; " | " &amp; IF(VLOOKUP(F7,OfficerSkillsFull,20,FALSE) = 0,"",VLOOKUP(F7,OfficerSkillsFull,20,FALSE))</f>
        <v xml:space="preserve"> | </v>
      </c>
      <c r="J7" s="67" t="str">
        <f t="shared" si="7"/>
        <v>CM: Increase Mining speed (Concentrated Latinum) OA: Increase Mining Speed</v>
      </c>
      <c r="K7" s="81" t="str">
        <f t="shared" ca="1" si="8"/>
        <v/>
      </c>
      <c r="L7" s="81" t="str">
        <f t="shared" ref="L7" ca="1" si="17">IF(VLOOKUP(F7,RankLookup,3,FALSE)=0,"",VLOOKUP(F7,OfficerSkillsFull,3+VLOOKUP(F7,RankLookup,3,FALSE),FALSE))</f>
        <v/>
      </c>
    </row>
    <row r="8" spans="1:12" x14ac:dyDescent="0.25">
      <c r="A8" s="56" t="s">
        <v>22</v>
      </c>
      <c r="B8" s="56">
        <f t="shared" si="0"/>
        <v>4</v>
      </c>
      <c r="C8" s="56">
        <f t="shared" si="1"/>
        <v>4</v>
      </c>
      <c r="D8" s="56">
        <f t="shared" si="2"/>
        <v>4</v>
      </c>
      <c r="E8" s="56" t="str">
        <f t="shared" si="3"/>
        <v>Captain: Small chance to get you a Hull Breach; Officer = only increase of BASE values !</v>
      </c>
      <c r="F8" s="29" t="s">
        <v>22</v>
      </c>
      <c r="G8" s="376" t="str">
        <f t="shared" si="4"/>
        <v xml:space="preserve"> | </v>
      </c>
      <c r="H8" s="376" t="str">
        <f t="shared" si="5"/>
        <v xml:space="preserve">Y | </v>
      </c>
      <c r="I8" s="376" t="str">
        <f t="shared" si="6"/>
        <v xml:space="preserve"> | </v>
      </c>
      <c r="J8" s="67" t="str">
        <f t="shared" si="7"/>
        <v>CM: Chance to cause Hull Breach for 2 rounds after hitting with kinetic weapon OA: Increase Armor Piercing every time the ship hits</v>
      </c>
      <c r="K8" s="81" t="str">
        <f t="shared" ca="1" si="8"/>
        <v/>
      </c>
      <c r="L8" s="81" t="str">
        <f t="shared" ca="1" si="9"/>
        <v/>
      </c>
    </row>
    <row r="9" spans="1:12" x14ac:dyDescent="0.25">
      <c r="A9" s="56" t="s">
        <v>2291</v>
      </c>
      <c r="B9" s="56">
        <f t="shared" ref="B9" si="18">VLOOKUP(A9,OfficerScores,10,FALSE)</f>
        <v>0</v>
      </c>
      <c r="C9" s="56">
        <f t="shared" ref="C9" si="19">VLOOKUP(A9,OfficerScores,18,FALSE)</f>
        <v>0</v>
      </c>
      <c r="D9" s="56">
        <f t="shared" ref="D9" si="20">VLOOKUP(A9,OfficerScores,19,FALSE)</f>
        <v>0</v>
      </c>
      <c r="E9" s="56" t="str">
        <f t="shared" ref="E9" si="21">VLOOKUP(A9,OfficerScores,20,FALSE)</f>
        <v>Below Decks: Small increase to Penetration; Officer: Decreased opponents mitigation by a small amount.</v>
      </c>
      <c r="F9" s="56" t="s">
        <v>2291</v>
      </c>
      <c r="G9" s="487" t="str">
        <f t="shared" ref="G9:G16" si="22">IF(VLOOKUP(F9,OfficerSkillsFull,15,FALSE) = 0,"",VLOOKUP(F9,OfficerSkillsFull,15,FALSE)) &amp; " | " &amp; IF(VLOOKUP(F9,OfficerSkillsFull,16,FALSE) = 0,"",VLOOKUP(F9,OfficerSkillsFull,16,FALSE))</f>
        <v xml:space="preserve"> | </v>
      </c>
      <c r="H9" s="487" t="str">
        <f t="shared" ref="H9:H16" si="23">IF(VLOOKUP(F9,OfficerSkillsFull,17,FALSE) = 0,"",VLOOKUP(F9,OfficerSkillsFull,17,FALSE)) &amp; " | " &amp; IF(VLOOKUP(F9,OfficerSkillsFull,18,FALSE) = 0,"",VLOOKUP(F9,OfficerSkillsFull,18,FALSE))</f>
        <v xml:space="preserve"> | </v>
      </c>
      <c r="I9" s="487" t="str">
        <f t="shared" ref="I9:I16" si="24">IF(VLOOKUP(F9,OfficerSkillsFull,19,FALSE) = 0,"",VLOOKUP(F9,OfficerSkillsFull,19,FALSE)) &amp; " | " &amp; IF(VLOOKUP(F9,OfficerSkillsFull,20,FALSE) = 0,"",VLOOKUP(F9,OfficerSkillsFull,20,FALSE))</f>
        <v xml:space="preserve"> | </v>
      </c>
      <c r="J9" s="67" t="str">
        <f t="shared" si="7"/>
        <v>BDA: Increases Armor Penetration, Shield Penetration and Accuracy OA: Decreases Armor, Shield and Dodge of all non-Armada targets</v>
      </c>
      <c r="K9" s="81" t="str">
        <f t="shared" ca="1" si="8"/>
        <v/>
      </c>
      <c r="L9" s="81" t="str">
        <f t="shared" ref="L9:L16" ca="1" si="25">IF(VLOOKUP(F9,RankLookup,3,FALSE)=0,"",VLOOKUP(F9,OfficerSkillsFull,3+VLOOKUP(F9,RankLookup,3,FALSE),FALSE))</f>
        <v/>
      </c>
    </row>
    <row r="10" spans="1:12" x14ac:dyDescent="0.25">
      <c r="A10" s="56" t="s">
        <v>1938</v>
      </c>
      <c r="B10" s="56">
        <f t="shared" ref="B10" si="26">VLOOKUP(A10,OfficerScores,10,FALSE)</f>
        <v>3.5</v>
      </c>
      <c r="C10" s="56">
        <f t="shared" ref="C10" si="27">VLOOKUP(A10,OfficerScores,18,FALSE)</f>
        <v>2</v>
      </c>
      <c r="D10" s="56">
        <f t="shared" ref="D10" si="28">VLOOKUP(A10,OfficerScores,19,FALSE)</f>
        <v>2.5</v>
      </c>
      <c r="E10" s="56" t="str">
        <f t="shared" ref="E10" si="29">VLOOKUP(A10,OfficerScores,20,FALSE)</f>
        <v>Captain: Small increase to base damage; Officer: Anti Trinitiy officer to counter Armor Piercing, increases Armor based on officer attack.</v>
      </c>
      <c r="F10" s="56" t="s">
        <v>1938</v>
      </c>
      <c r="G10" s="487" t="str">
        <f t="shared" si="22"/>
        <v xml:space="preserve"> | </v>
      </c>
      <c r="H10" s="487" t="str">
        <f t="shared" si="23"/>
        <v xml:space="preserve"> | </v>
      </c>
      <c r="I10" s="487" t="str">
        <f t="shared" si="24"/>
        <v xml:space="preserve"> | </v>
      </c>
      <c r="J10" s="67" t="str">
        <f t="shared" si="7"/>
        <v>CM: Increase Weapon Damage OA: Increase Armor by Crew Attack</v>
      </c>
      <c r="K10" s="81" t="str">
        <f t="shared" ca="1" si="8"/>
        <v/>
      </c>
      <c r="L10" s="81" t="str">
        <f t="shared" ca="1" si="25"/>
        <v/>
      </c>
    </row>
    <row r="11" spans="1:12" x14ac:dyDescent="0.25">
      <c r="A11" s="56" t="s">
        <v>43</v>
      </c>
      <c r="B11" s="56">
        <f t="shared" si="0"/>
        <v>2</v>
      </c>
      <c r="C11" s="56">
        <f t="shared" si="1"/>
        <v>3.5</v>
      </c>
      <c r="D11" s="56">
        <f t="shared" si="2"/>
        <v>2.5</v>
      </c>
      <c r="E11" s="56" t="str">
        <f t="shared" si="3"/>
        <v>Captain: Crystal mining; Officer ability: (**Broken does not work**)</v>
      </c>
      <c r="F11" s="29" t="s">
        <v>43</v>
      </c>
      <c r="G11" s="487" t="str">
        <f t="shared" si="22"/>
        <v xml:space="preserve"> | </v>
      </c>
      <c r="H11" s="487" t="str">
        <f t="shared" si="23"/>
        <v xml:space="preserve"> | </v>
      </c>
      <c r="I11" s="487" t="str">
        <f t="shared" si="24"/>
        <v xml:space="preserve"> | </v>
      </c>
      <c r="J11" s="67" t="str">
        <f t="shared" si="7"/>
        <v>CM: Increase Mining Speed (Crystal) OA: Decrease opponet's Hull Health at start of battle if mining</v>
      </c>
      <c r="K11" s="81" t="str">
        <f t="shared" ca="1" si="8"/>
        <v/>
      </c>
      <c r="L11" s="81" t="str">
        <f t="shared" ca="1" si="25"/>
        <v/>
      </c>
    </row>
    <row r="12" spans="1:12" x14ac:dyDescent="0.25">
      <c r="A12" s="56" t="s">
        <v>2293</v>
      </c>
      <c r="B12" s="56">
        <f t="shared" ref="B12:B16" si="30">VLOOKUP(A12,OfficerScores,10,FALSE)</f>
        <v>0</v>
      </c>
      <c r="C12" s="56">
        <f t="shared" ref="C12:C16" si="31">VLOOKUP(A12,OfficerScores,18,FALSE)</f>
        <v>0</v>
      </c>
      <c r="D12" s="56">
        <f t="shared" ref="D12:D16" si="32">VLOOKUP(A12,OfficerScores,19,FALSE)</f>
        <v>0</v>
      </c>
      <c r="E12" s="56" t="str">
        <f t="shared" ref="E12:E16" si="33">VLOOKUP(A12,OfficerScores,20,FALSE)</f>
        <v>Below Decks: Small increase of Officer's Attack; Officer Ability: Reasonable increase to damage.</v>
      </c>
      <c r="F12" s="56" t="s">
        <v>2293</v>
      </c>
      <c r="G12" s="487" t="str">
        <f t="shared" si="22"/>
        <v xml:space="preserve"> | </v>
      </c>
      <c r="H12" s="487" t="str">
        <f t="shared" si="23"/>
        <v xml:space="preserve"> | </v>
      </c>
      <c r="I12" s="487" t="str">
        <f t="shared" si="24"/>
        <v xml:space="preserve"> | </v>
      </c>
      <c r="J12" s="67" t="str">
        <f t="shared" si="7"/>
        <v>BDA: Increase ship's Weapon Damage OA: Increases Attack of all Officers on the ship</v>
      </c>
      <c r="K12" s="81" t="str">
        <f t="shared" ca="1" si="8"/>
        <v/>
      </c>
      <c r="L12" s="81" t="str">
        <f t="shared" ca="1" si="25"/>
        <v/>
      </c>
    </row>
    <row r="13" spans="1:12" x14ac:dyDescent="0.25">
      <c r="A13" s="56" t="s">
        <v>1939</v>
      </c>
      <c r="B13" s="56">
        <f t="shared" si="30"/>
        <v>2</v>
      </c>
      <c r="C13" s="56">
        <f t="shared" si="31"/>
        <v>2</v>
      </c>
      <c r="D13" s="56">
        <f t="shared" si="32"/>
        <v>2</v>
      </c>
      <c r="E13" s="56" t="str">
        <f t="shared" si="33"/>
        <v>Captain: Increase Cloaking duration; Officer: Increases the Amalgam bonus loot ability</v>
      </c>
      <c r="F13" s="56" t="s">
        <v>1939</v>
      </c>
      <c r="G13" s="487" t="str">
        <f t="shared" si="22"/>
        <v xml:space="preserve"> | </v>
      </c>
      <c r="H13" s="487" t="str">
        <f t="shared" si="23"/>
        <v xml:space="preserve"> | </v>
      </c>
      <c r="I13" s="487" t="str">
        <f t="shared" si="24"/>
        <v xml:space="preserve"> | </v>
      </c>
      <c r="J13" s="67" t="str">
        <f t="shared" si="7"/>
        <v>CM: When on a ship that can use cloaking, B'Etor increases the duration the ship can stay cloaked OA: When on the Amalgam, B'Etor boosts the Amalgam's bonus loot ship ability</v>
      </c>
      <c r="K13" s="81" t="str">
        <f t="shared" ca="1" si="8"/>
        <v/>
      </c>
      <c r="L13" s="81" t="str">
        <f t="shared" ca="1" si="25"/>
        <v/>
      </c>
    </row>
    <row r="14" spans="1:12" x14ac:dyDescent="0.25">
      <c r="A14" s="56" t="s">
        <v>731</v>
      </c>
      <c r="B14" s="56">
        <f t="shared" si="30"/>
        <v>1</v>
      </c>
      <c r="C14" s="56">
        <f t="shared" si="31"/>
        <v>1.5</v>
      </c>
      <c r="D14" s="56">
        <f t="shared" si="32"/>
        <v>1</v>
      </c>
      <c r="E14" s="56" t="str">
        <f t="shared" si="33"/>
        <v>3 in 1 Officer - both abilities extremly good - only for PvE and Armada</v>
      </c>
      <c r="F14" s="29" t="s">
        <v>731</v>
      </c>
      <c r="G14" s="487" t="str">
        <f t="shared" si="22"/>
        <v xml:space="preserve"> | </v>
      </c>
      <c r="H14" s="487" t="str">
        <f t="shared" si="23"/>
        <v xml:space="preserve"> | </v>
      </c>
      <c r="I14" s="487" t="str">
        <f t="shared" si="24"/>
        <v xml:space="preserve"> | </v>
      </c>
      <c r="J14" s="67" t="str">
        <f t="shared" si="7"/>
        <v>CM: When fighting Hostiles and Armadas, restore Shield by % of crew's Health OA: When fighting Hostiles and Armadas, increase mitigation by % of crew's Defence.</v>
      </c>
      <c r="K14" s="81" t="str">
        <f t="shared" ca="1" si="8"/>
        <v/>
      </c>
      <c r="L14" s="81" t="str">
        <f t="shared" ca="1" si="25"/>
        <v/>
      </c>
    </row>
    <row r="15" spans="1:12" x14ac:dyDescent="0.25">
      <c r="A15" s="56" t="s">
        <v>44</v>
      </c>
      <c r="B15" s="56">
        <f t="shared" si="30"/>
        <v>1.5</v>
      </c>
      <c r="C15" s="56">
        <f t="shared" si="31"/>
        <v>1</v>
      </c>
      <c r="D15" s="56">
        <f t="shared" si="32"/>
        <v>1</v>
      </c>
      <c r="E15" s="56" t="str">
        <f t="shared" si="33"/>
        <v>Captain: boost all combat abilities = can boost spock to 1065% and Kirk to 100%</v>
      </c>
      <c r="F15" s="29" t="s">
        <v>44</v>
      </c>
      <c r="G15" s="487" t="str">
        <f t="shared" si="22"/>
        <v xml:space="preserve"> | </v>
      </c>
      <c r="H15" s="487" t="str">
        <f t="shared" si="23"/>
        <v xml:space="preserve"> | </v>
      </c>
      <c r="I15" s="487" t="str">
        <f t="shared" si="24"/>
        <v xml:space="preserve"> | </v>
      </c>
      <c r="J15" s="67" t="str">
        <f t="shared" si="7"/>
        <v>CM: Increase Officer abilities during combat OA: Increase Defence of all Officers on the bridge when hit</v>
      </c>
      <c r="K15" s="81" t="str">
        <f t="shared" ca="1" si="8"/>
        <v/>
      </c>
      <c r="L15" s="81" t="str">
        <f t="shared" ca="1" si="25"/>
        <v/>
      </c>
    </row>
    <row r="16" spans="1:12" x14ac:dyDescent="0.25">
      <c r="A16" s="56" t="s">
        <v>2295</v>
      </c>
      <c r="B16" s="56">
        <f t="shared" si="30"/>
        <v>0</v>
      </c>
      <c r="C16" s="56">
        <f t="shared" si="31"/>
        <v>0</v>
      </c>
      <c r="D16" s="56">
        <f t="shared" si="32"/>
        <v>0</v>
      </c>
      <c r="E16" s="56" t="str">
        <f t="shared" si="33"/>
        <v>Below Decks: Small increase to piercing stats; Officer Ability: Reasonable increase to mitigation.</v>
      </c>
      <c r="F16" s="56" t="s">
        <v>2295</v>
      </c>
      <c r="G16" s="487" t="str">
        <f t="shared" si="22"/>
        <v xml:space="preserve"> | </v>
      </c>
      <c r="H16" s="487" t="str">
        <f t="shared" si="23"/>
        <v xml:space="preserve"> | </v>
      </c>
      <c r="I16" s="487" t="str">
        <f t="shared" si="24"/>
        <v xml:space="preserve"> | </v>
      </c>
      <c r="J16" s="67" t="str">
        <f t="shared" si="7"/>
        <v>BDA: Increase Armor, Shield Deflection, and Dodge OA: Increase Armor Piercing, Shield Piercing and Accuracy</v>
      </c>
      <c r="K16" s="81" t="str">
        <f t="shared" ca="1" si="8"/>
        <v/>
      </c>
      <c r="L16" s="81" t="str">
        <f t="shared" ca="1" si="25"/>
        <v/>
      </c>
    </row>
    <row r="17" spans="1:12" x14ac:dyDescent="0.25">
      <c r="A17" s="56" t="s">
        <v>13</v>
      </c>
      <c r="B17" s="56">
        <f t="shared" si="0"/>
        <v>2</v>
      </c>
      <c r="C17" s="56">
        <f t="shared" si="1"/>
        <v>1.5</v>
      </c>
      <c r="D17" s="56">
        <f t="shared" si="2"/>
        <v>1.5</v>
      </c>
      <c r="E17" s="56" t="str">
        <f t="shared" si="3"/>
        <v>Captain: very weak, but can cause Temporary Hit points; Officer: Dmg Buff is twice as displayed</v>
      </c>
      <c r="F17" s="29" t="s">
        <v>13</v>
      </c>
      <c r="G17" s="98" t="str">
        <f t="shared" si="4"/>
        <v xml:space="preserve"> | </v>
      </c>
      <c r="H17" s="98" t="str">
        <f t="shared" si="5"/>
        <v xml:space="preserve"> | </v>
      </c>
      <c r="I17" s="98" t="str">
        <f t="shared" si="6"/>
        <v xml:space="preserve"> | </v>
      </c>
      <c r="J17" s="67" t="str">
        <f t="shared" si="7"/>
        <v>CM: Increase all Officer stats on Bridge OA: Increase Weapon Damage</v>
      </c>
      <c r="K17" s="81" t="str">
        <f t="shared" ca="1" si="8"/>
        <v/>
      </c>
      <c r="L17" s="81" t="str">
        <f t="shared" ca="1" si="9"/>
        <v/>
      </c>
    </row>
    <row r="18" spans="1:12" x14ac:dyDescent="0.25">
      <c r="A18" s="56" t="s">
        <v>14</v>
      </c>
      <c r="B18" s="56">
        <f t="shared" si="0"/>
        <v>1.5</v>
      </c>
      <c r="C18" s="56">
        <f t="shared" si="1"/>
        <v>1</v>
      </c>
      <c r="D18" s="56">
        <f t="shared" si="2"/>
        <v>1</v>
      </c>
      <c r="E18" s="56" t="str">
        <f t="shared" si="3"/>
        <v>Captain: useless; Officer: recommended boost Cadet Uhura´s captain ability</v>
      </c>
      <c r="F18" s="29" t="s">
        <v>14</v>
      </c>
      <c r="G18" s="98" t="str">
        <f t="shared" si="4"/>
        <v xml:space="preserve"> | </v>
      </c>
      <c r="H18" s="98" t="str">
        <f t="shared" si="5"/>
        <v xml:space="preserve"> | </v>
      </c>
      <c r="I18" s="98" t="str">
        <f t="shared" si="6"/>
        <v xml:space="preserve"> | </v>
      </c>
      <c r="J18" s="67" t="str">
        <f t="shared" si="7"/>
        <v>CM: Increase Health of all Officers on the ship OA: Increase Captains Maneuver</v>
      </c>
      <c r="K18" s="81" t="str">
        <f t="shared" ca="1" si="8"/>
        <v/>
      </c>
      <c r="L18" s="81" t="str">
        <f t="shared" ca="1" si="9"/>
        <v/>
      </c>
    </row>
    <row r="19" spans="1:12" x14ac:dyDescent="0.25">
      <c r="A19" s="56" t="s">
        <v>15</v>
      </c>
      <c r="B19" s="56">
        <f t="shared" si="0"/>
        <v>1.5</v>
      </c>
      <c r="C19" s="56">
        <f t="shared" si="1"/>
        <v>1</v>
      </c>
      <c r="D19" s="56">
        <f t="shared" si="2"/>
        <v>1</v>
      </c>
      <c r="E19" s="56" t="str">
        <f t="shared" si="3"/>
        <v>Captain: useless; Officer: Increase Warp Range (up to +5)</v>
      </c>
      <c r="F19" s="29" t="s">
        <v>15</v>
      </c>
      <c r="G19" s="98" t="str">
        <f t="shared" si="4"/>
        <v xml:space="preserve"> | </v>
      </c>
      <c r="H19" s="98" t="str">
        <f t="shared" si="5"/>
        <v xml:space="preserve"> | </v>
      </c>
      <c r="I19" s="98" t="str">
        <f t="shared" si="6"/>
        <v xml:space="preserve"> | </v>
      </c>
      <c r="J19" s="67" t="str">
        <f t="shared" si="7"/>
        <v>CM: Increase Hull Health OA: Increase Warp Distance</v>
      </c>
      <c r="K19" s="81" t="str">
        <f t="shared" ca="1" si="8"/>
        <v/>
      </c>
      <c r="L19" s="82" t="str">
        <f t="shared" ca="1" si="9"/>
        <v/>
      </c>
    </row>
    <row r="20" spans="1:12" x14ac:dyDescent="0.25">
      <c r="A20" s="56" t="s">
        <v>18</v>
      </c>
      <c r="B20" s="56">
        <f t="shared" si="0"/>
        <v>4.5</v>
      </c>
      <c r="C20" s="56">
        <f t="shared" si="1"/>
        <v>5</v>
      </c>
      <c r="D20" s="56">
        <f t="shared" si="2"/>
        <v>4.5</v>
      </c>
      <c r="E20" s="56" t="str">
        <f t="shared" si="3"/>
        <v>Captain: useless; Officer: useless = Bridge only increase</v>
      </c>
      <c r="F20" s="29" t="s">
        <v>18</v>
      </c>
      <c r="G20" s="98" t="str">
        <f t="shared" si="4"/>
        <v xml:space="preserve"> | </v>
      </c>
      <c r="H20" s="98" t="str">
        <f t="shared" si="5"/>
        <v xml:space="preserve"> | </v>
      </c>
      <c r="I20" s="98" t="str">
        <f t="shared" si="6"/>
        <v xml:space="preserve"> | </v>
      </c>
      <c r="J20" s="67" t="str">
        <f t="shared" si="7"/>
        <v>CM: Increase Damage for first round OA: Increase Attack of all Officers on the ship (** Broken  Bridge ONLY **)</v>
      </c>
      <c r="K20" s="81" t="str">
        <f t="shared" ca="1" si="8"/>
        <v/>
      </c>
      <c r="L20" s="81" t="str">
        <f t="shared" ca="1" si="9"/>
        <v/>
      </c>
    </row>
    <row r="21" spans="1:12" x14ac:dyDescent="0.25">
      <c r="A21" s="56" t="s">
        <v>17</v>
      </c>
      <c r="B21" s="56">
        <f t="shared" si="0"/>
        <v>1</v>
      </c>
      <c r="C21" s="56">
        <f t="shared" si="1"/>
        <v>1</v>
      </c>
      <c r="D21" s="56">
        <f t="shared" si="2"/>
        <v>1</v>
      </c>
      <c r="E21" s="56" t="str">
        <f t="shared" si="3"/>
        <v>Captain: Damage Reduction Ability, very usefull; Officer: very small Shield increase</v>
      </c>
      <c r="F21" s="29" t="s">
        <v>17</v>
      </c>
      <c r="G21" s="98" t="str">
        <f t="shared" si="4"/>
        <v xml:space="preserve"> | </v>
      </c>
      <c r="H21" s="98" t="str">
        <f t="shared" si="5"/>
        <v xml:space="preserve"> | </v>
      </c>
      <c r="I21" s="98" t="str">
        <f t="shared" si="6"/>
        <v xml:space="preserve"> | </v>
      </c>
      <c r="J21" s="67" t="str">
        <f t="shared" si="7"/>
        <v>CM: Decrease opponents Weapon Damage OA: Increase Shield Health</v>
      </c>
      <c r="K21" s="81" t="str">
        <f t="shared" ca="1" si="8"/>
        <v/>
      </c>
      <c r="L21" s="81" t="str">
        <f t="shared" ca="1" si="9"/>
        <v/>
      </c>
    </row>
    <row r="22" spans="1:12" x14ac:dyDescent="0.25">
      <c r="A22" s="56" t="s">
        <v>97</v>
      </c>
      <c r="B22" s="56">
        <f t="shared" si="0"/>
        <v>2</v>
      </c>
      <c r="C22" s="56">
        <f t="shared" si="1"/>
        <v>2.5</v>
      </c>
      <c r="D22" s="56">
        <f t="shared" si="2"/>
        <v>2</v>
      </c>
      <c r="E22" s="56" t="str">
        <f t="shared" si="3"/>
        <v>Captain: does not work ??; Officer: max mitigation over time</v>
      </c>
      <c r="F22" s="29" t="s">
        <v>97</v>
      </c>
      <c r="G22" s="98" t="str">
        <f t="shared" si="4"/>
        <v xml:space="preserve"> | </v>
      </c>
      <c r="H22" s="98" t="str">
        <f t="shared" si="5"/>
        <v xml:space="preserve"> | Y</v>
      </c>
      <c r="I22" s="98" t="str">
        <f t="shared" si="6"/>
        <v xml:space="preserve"> | </v>
      </c>
      <c r="J22" s="67" t="str">
        <f t="shared" si="7"/>
        <v>CM: Increase Mitigation by Health, when on attacking on a capture node and opponent has Hull Breach OA: Increase Mitigation by Health when opponent has Hull Breach</v>
      </c>
      <c r="K22" s="81" t="str">
        <f t="shared" ca="1" si="8"/>
        <v/>
      </c>
      <c r="L22" s="81" t="str">
        <f t="shared" ca="1" si="9"/>
        <v/>
      </c>
    </row>
    <row r="23" spans="1:12" x14ac:dyDescent="0.25">
      <c r="A23" s="56" t="s">
        <v>71</v>
      </c>
      <c r="B23" s="56">
        <f t="shared" si="0"/>
        <v>3</v>
      </c>
      <c r="C23" s="56">
        <f t="shared" si="1"/>
        <v>3</v>
      </c>
      <c r="D23" s="56">
        <f t="shared" si="2"/>
        <v>3</v>
      </c>
      <c r="E23" s="56" t="str">
        <f t="shared" si="3"/>
        <v>Captain: Small Damage (below 10%) reduction WHEN attacked; Officer: Dmg Buff is twice as displayed</v>
      </c>
      <c r="F23" s="29" t="s">
        <v>71</v>
      </c>
      <c r="G23" s="98" t="str">
        <f t="shared" si="4"/>
        <v xml:space="preserve"> | </v>
      </c>
      <c r="H23" s="98" t="str">
        <f t="shared" si="5"/>
        <v xml:space="preserve"> | </v>
      </c>
      <c r="I23" s="98" t="str">
        <f t="shared" si="6"/>
        <v xml:space="preserve"> | </v>
      </c>
      <c r="J23" s="67" t="str">
        <f t="shared" si="7"/>
        <v>CM: Decrease opponents Damage when defending in battle OA: Increase Weapon Damage</v>
      </c>
      <c r="K23" s="81" t="str">
        <f t="shared" ca="1" si="8"/>
        <v/>
      </c>
      <c r="L23" s="81" t="str">
        <f t="shared" ca="1" si="9"/>
        <v/>
      </c>
    </row>
    <row r="24" spans="1:12" x14ac:dyDescent="0.25">
      <c r="A24" s="56" t="s">
        <v>2178</v>
      </c>
      <c r="B24" s="56">
        <f t="shared" ref="B24" si="34">VLOOKUP(A24,OfficerScores,10,FALSE)</f>
        <v>1</v>
      </c>
      <c r="C24" s="56">
        <f t="shared" ref="C24" si="35">VLOOKUP(A24,OfficerScores,18,FALSE)</f>
        <v>1</v>
      </c>
      <c r="D24" s="56">
        <f t="shared" ref="D24" si="36">VLOOKUP(A24,OfficerScores,19,FALSE)</f>
        <v>1</v>
      </c>
      <c r="E24" s="56" t="str">
        <f t="shared" ref="E24" si="37">VLOOKUP(A24,OfficerScores,20,FALSE)</f>
        <v>Captain: Simple repair cost reduction; Officer: Kinetic damage reduction, like T'Laan, but better.</v>
      </c>
      <c r="F24" s="29" t="s">
        <v>2178</v>
      </c>
      <c r="G24" s="487" t="str">
        <f t="shared" ref="G24" si="38">IF(VLOOKUP(F24,OfficerSkillsFull,15,FALSE) = 0,"",VLOOKUP(F24,OfficerSkillsFull,15,FALSE)) &amp; " | " &amp; IF(VLOOKUP(F24,OfficerSkillsFull,16,FALSE) = 0,"",VLOOKUP(F24,OfficerSkillsFull,16,FALSE))</f>
        <v xml:space="preserve"> | </v>
      </c>
      <c r="H24" s="487" t="str">
        <f t="shared" ref="H24" si="39">IF(VLOOKUP(F24,OfficerSkillsFull,17,FALSE) = 0,"",VLOOKUP(F24,OfficerSkillsFull,17,FALSE)) &amp; " | " &amp; IF(VLOOKUP(F24,OfficerSkillsFull,18,FALSE) = 0,"",VLOOKUP(F24,OfficerSkillsFull,18,FALSE))</f>
        <v xml:space="preserve"> | </v>
      </c>
      <c r="I24" s="487" t="str">
        <f t="shared" ref="I24" si="40">IF(VLOOKUP(F24,OfficerSkillsFull,19,FALSE) = 0,"",VLOOKUP(F24,OfficerSkillsFull,19,FALSE)) &amp; " | " &amp; IF(VLOOKUP(F24,OfficerSkillsFull,20,FALSE) = 0,"",VLOOKUP(F24,OfficerSkillsFull,20,FALSE))</f>
        <v xml:space="preserve"> | </v>
      </c>
      <c r="J24" s="67" t="str">
        <f t="shared" si="7"/>
        <v>CM: Increase Repair Cost Efficient of ship OA: Decrease Kinetic Damage dealt by Hostiles</v>
      </c>
      <c r="K24" s="81" t="str">
        <f t="shared" ca="1" si="8"/>
        <v/>
      </c>
      <c r="L24" s="81" t="str">
        <f t="shared" ref="L24" ca="1" si="41">IF(VLOOKUP(F24,RankLookup,3,FALSE)=0,"",VLOOKUP(F24,OfficerSkillsFull,3+VLOOKUP(F24,RankLookup,3,FALSE),FALSE))</f>
        <v/>
      </c>
    </row>
    <row r="25" spans="1:12" x14ac:dyDescent="0.25">
      <c r="A25" s="56" t="s">
        <v>45</v>
      </c>
      <c r="B25" s="56">
        <f t="shared" si="0"/>
        <v>4.5</v>
      </c>
      <c r="C25" s="56">
        <f t="shared" si="1"/>
        <v>3</v>
      </c>
      <c r="D25" s="56">
        <f t="shared" si="2"/>
        <v>3.5</v>
      </c>
      <c r="E25" s="56" t="str">
        <f t="shared" si="3"/>
        <v>Captain: weak damage buff with condition; Officer: too much effort to activate - not worth it</v>
      </c>
      <c r="F25" s="29" t="s">
        <v>45</v>
      </c>
      <c r="G25" s="98" t="str">
        <f t="shared" si="4"/>
        <v xml:space="preserve"> | </v>
      </c>
      <c r="H25" s="98" t="str">
        <f t="shared" si="5"/>
        <v xml:space="preserve"> | Y</v>
      </c>
      <c r="I25" s="98" t="str">
        <f t="shared" si="6"/>
        <v xml:space="preserve"> | </v>
      </c>
      <c r="J25" s="67" t="str">
        <f t="shared" si="7"/>
        <v>CM: Increase Damage if opponent Hull Health under 60% OA: Chance to delay opponent's weapon fire for 1 round with a Critical Hit on Hull Breach</v>
      </c>
      <c r="K25" s="81" t="str">
        <f t="shared" ca="1" si="8"/>
        <v/>
      </c>
      <c r="L25" s="81" t="str">
        <f t="shared" ca="1" si="9"/>
        <v/>
      </c>
    </row>
    <row r="26" spans="1:12" x14ac:dyDescent="0.25">
      <c r="A26" s="56" t="s">
        <v>80</v>
      </c>
      <c r="B26" s="56">
        <f t="shared" si="0"/>
        <v>3</v>
      </c>
      <c r="C26" s="56">
        <f t="shared" si="1"/>
        <v>1</v>
      </c>
      <c r="D26" s="56">
        <f t="shared" si="2"/>
        <v>2</v>
      </c>
      <c r="E26" s="56" t="str">
        <f t="shared" si="3"/>
        <v>Captain: activation condition makes it very impractical; Offficer: needs at least Rank 3+ and 5000+ Health stats</v>
      </c>
      <c r="F26" s="29" t="s">
        <v>80</v>
      </c>
      <c r="G26" s="110" t="str">
        <f t="shared" si="4"/>
        <v xml:space="preserve">Y | </v>
      </c>
      <c r="H26" s="110" t="str">
        <f t="shared" si="5"/>
        <v xml:space="preserve"> | </v>
      </c>
      <c r="I26" s="110" t="str">
        <f t="shared" si="6"/>
        <v xml:space="preserve"> | </v>
      </c>
      <c r="J26" s="67" t="str">
        <f t="shared" si="7"/>
        <v>CM: Chance to cause Burning for 3 rounds when Hull Health is lower than 80% OA: Increase Armour Piercing by Health</v>
      </c>
      <c r="K26" s="81" t="str">
        <f t="shared" ca="1" si="8"/>
        <v/>
      </c>
      <c r="L26" s="81" t="str">
        <f t="shared" ca="1" si="9"/>
        <v/>
      </c>
    </row>
    <row r="27" spans="1:12" x14ac:dyDescent="0.25">
      <c r="A27" s="56" t="s">
        <v>20</v>
      </c>
      <c r="B27" s="56">
        <f t="shared" si="0"/>
        <v>1</v>
      </c>
      <c r="C27" s="56">
        <f t="shared" si="1"/>
        <v>1</v>
      </c>
      <c r="D27" s="56">
        <f t="shared" si="2"/>
        <v>1</v>
      </c>
      <c r="E27" s="56" t="str">
        <f t="shared" si="3"/>
        <v>Captain: Don´t bother - tiny increase; Officer: Energy Dmg reduction - MAX as fast as possible</v>
      </c>
      <c r="F27" s="29" t="s">
        <v>20</v>
      </c>
      <c r="G27" s="98" t="str">
        <f t="shared" si="4"/>
        <v xml:space="preserve"> | </v>
      </c>
      <c r="H27" s="98" t="str">
        <f t="shared" si="5"/>
        <v xml:space="preserve"> | </v>
      </c>
      <c r="I27" s="98" t="str">
        <f t="shared" si="6"/>
        <v xml:space="preserve"> | </v>
      </c>
      <c r="J27" s="67" t="str">
        <f t="shared" si="7"/>
        <v>CM: Increase Mitigations against Hostiles OA: Decrease Energy damage dealt by Hostiles</v>
      </c>
      <c r="K27" s="81" t="str">
        <f t="shared" ca="1" si="8"/>
        <v/>
      </c>
      <c r="L27" s="81" t="str">
        <f t="shared" ca="1" si="9"/>
        <v/>
      </c>
    </row>
    <row r="28" spans="1:12" x14ac:dyDescent="0.25">
      <c r="A28" s="56" t="s">
        <v>85</v>
      </c>
      <c r="B28" s="56">
        <f t="shared" si="0"/>
        <v>2</v>
      </c>
      <c r="C28" s="56">
        <f t="shared" si="1"/>
        <v>2.5</v>
      </c>
      <c r="D28" s="56">
        <f t="shared" si="2"/>
        <v>2</v>
      </c>
      <c r="E28" s="56" t="str">
        <f t="shared" si="3"/>
        <v>Captain: useless; Officer: pair him with blue (cpt) Stamets on a Discovery - no where else!</v>
      </c>
      <c r="F28" s="29" t="s">
        <v>85</v>
      </c>
      <c r="G28" s="98" t="str">
        <f t="shared" si="4"/>
        <v xml:space="preserve"> | </v>
      </c>
      <c r="H28" s="98" t="str">
        <f t="shared" si="5"/>
        <v xml:space="preserve"> | </v>
      </c>
      <c r="I28" s="98" t="str">
        <f t="shared" si="6"/>
        <v xml:space="preserve"> | </v>
      </c>
      <c r="J28" s="67" t="str">
        <f t="shared" si="7"/>
        <v>CM: Health to Armour when defending on a Capture Node OA: Increase to Jumping and Summoning Cost Efficiency</v>
      </c>
      <c r="K28" s="81" t="str">
        <f t="shared" ca="1" si="8"/>
        <v/>
      </c>
      <c r="L28" s="81" t="str">
        <f t="shared" ca="1" si="9"/>
        <v/>
      </c>
    </row>
    <row r="29" spans="1:12" x14ac:dyDescent="0.25">
      <c r="A29" s="56" t="s">
        <v>91</v>
      </c>
      <c r="B29" s="56">
        <f t="shared" si="0"/>
        <v>4</v>
      </c>
      <c r="C29" s="56">
        <f t="shared" si="1"/>
        <v>4.5</v>
      </c>
      <c r="D29" s="56">
        <f t="shared" si="2"/>
        <v>4</v>
      </c>
      <c r="E29" s="56" t="str">
        <f t="shared" si="3"/>
        <v>Captain: useless; Officer: on Interceptor only - xp bonus</v>
      </c>
      <c r="F29" s="29" t="s">
        <v>91</v>
      </c>
      <c r="G29" s="98" t="str">
        <f t="shared" si="4"/>
        <v xml:space="preserve"> | </v>
      </c>
      <c r="H29" s="98" t="str">
        <f t="shared" si="5"/>
        <v xml:space="preserve"> | </v>
      </c>
      <c r="I29" s="98" t="str">
        <f t="shared" si="6"/>
        <v xml:space="preserve"> | </v>
      </c>
      <c r="J29" s="67" t="str">
        <f t="shared" si="7"/>
        <v>CM: Increase Weapon Damage when attacked by a player OA: Increase Ship XP earned on Interceptors</v>
      </c>
      <c r="K29" s="81" t="str">
        <f t="shared" ca="1" si="8"/>
        <v/>
      </c>
      <c r="L29" s="81" t="str">
        <f t="shared" ca="1" si="9"/>
        <v/>
      </c>
    </row>
    <row r="30" spans="1:12" x14ac:dyDescent="0.25">
      <c r="A30" s="56" t="s">
        <v>732</v>
      </c>
      <c r="B30" s="56">
        <f t="shared" si="0"/>
        <v>4</v>
      </c>
      <c r="C30" s="56">
        <f t="shared" si="1"/>
        <v>3.5</v>
      </c>
      <c r="D30" s="56">
        <f t="shared" si="2"/>
        <v>3.5</v>
      </c>
      <c r="E30" s="56" t="str">
        <f t="shared" si="3"/>
        <v>Captain: Little crit Bonus, not worth taking; Officer ability: Because it's a BASE Bonus, too weak. Should Start at 300% or 500%</v>
      </c>
      <c r="F30" s="29" t="s">
        <v>732</v>
      </c>
      <c r="G30" s="98" t="str">
        <f t="shared" si="4"/>
        <v xml:space="preserve"> | </v>
      </c>
      <c r="H30" s="98" t="str">
        <f t="shared" si="5"/>
        <v xml:space="preserve"> | </v>
      </c>
      <c r="I30" s="98" t="str">
        <f t="shared" si="6"/>
        <v xml:space="preserve"> | </v>
      </c>
      <c r="J30" s="67" t="str">
        <f t="shared" si="7"/>
        <v>CM: When fighting Hostiles and Armadas, restore Shield by % of crew's Health OA: When fighting Non-Player targets, including Mission Hostiles, Increase Penetration.</v>
      </c>
      <c r="K30" s="81" t="str">
        <f t="shared" ca="1" si="8"/>
        <v/>
      </c>
      <c r="L30" s="81" t="str">
        <f t="shared" ca="1" si="9"/>
        <v/>
      </c>
    </row>
    <row r="31" spans="1:12" x14ac:dyDescent="0.25">
      <c r="A31" s="56" t="s">
        <v>1354</v>
      </c>
      <c r="B31" s="56">
        <f t="shared" si="0"/>
        <v>2</v>
      </c>
      <c r="C31" s="56">
        <f t="shared" si="1"/>
        <v>3.5</v>
      </c>
      <c r="D31" s="56">
        <f t="shared" si="2"/>
        <v>2.5</v>
      </c>
      <c r="E31" s="56" t="str">
        <f t="shared" si="3"/>
        <v>Captain: Potential to be great for one member of an armada team; Officer: Increase to damage against Romulan Hostiles and Armadas</v>
      </c>
      <c r="F31" s="29" t="s">
        <v>1354</v>
      </c>
      <c r="G31" s="98" t="str">
        <f t="shared" si="4"/>
        <v xml:space="preserve"> | </v>
      </c>
      <c r="H31" s="98" t="str">
        <f t="shared" si="5"/>
        <v xml:space="preserve"> | </v>
      </c>
      <c r="I31" s="98" t="str">
        <f t="shared" si="6"/>
        <v xml:space="preserve"> | </v>
      </c>
      <c r="J31" s="67" t="str">
        <f t="shared" si="7"/>
        <v>CM: Reduces the Crit Chance of Armada Targets OA: Increases Weapon Damage against Romulan Hostiles and Armadas</v>
      </c>
      <c r="K31" s="81" t="str">
        <f t="shared" ca="1" si="8"/>
        <v/>
      </c>
      <c r="L31" s="81" t="str">
        <f t="shared" ca="1" si="9"/>
        <v/>
      </c>
    </row>
    <row r="32" spans="1:12" x14ac:dyDescent="0.25">
      <c r="A32" s="56" t="s">
        <v>48</v>
      </c>
      <c r="B32" s="56">
        <f t="shared" si="0"/>
        <v>2</v>
      </c>
      <c r="C32" s="56">
        <f t="shared" si="1"/>
        <v>1.5</v>
      </c>
      <c r="D32" s="56">
        <f t="shared" si="2"/>
        <v>1.5</v>
      </c>
      <c r="E32" s="56" t="str">
        <f t="shared" si="3"/>
        <v>Captain: even with full synergy, only small increase; Officer: stacks up fast, make sure you can take the hits</v>
      </c>
      <c r="F32" s="29" t="s">
        <v>48</v>
      </c>
      <c r="G32" s="98" t="str">
        <f t="shared" si="4"/>
        <v xml:space="preserve"> | </v>
      </c>
      <c r="H32" s="98" t="str">
        <f t="shared" si="5"/>
        <v xml:space="preserve"> | </v>
      </c>
      <c r="I32" s="98" t="str">
        <f t="shared" si="6"/>
        <v xml:space="preserve"> | </v>
      </c>
      <c r="J32" s="67" t="str">
        <f t="shared" si="7"/>
        <v>CM: Increase Accuracy, Armor Piercing and Shield Piercing against stronger ships. OA: Increase Damage each time the ship gets hit</v>
      </c>
      <c r="K32" s="81" t="str">
        <f t="shared" ca="1" si="8"/>
        <v/>
      </c>
      <c r="L32" s="81" t="str">
        <f t="shared" ca="1" si="9"/>
        <v/>
      </c>
    </row>
    <row r="33" spans="1:12" x14ac:dyDescent="0.25">
      <c r="A33" s="56" t="s">
        <v>34</v>
      </c>
      <c r="B33" s="56">
        <f t="shared" si="0"/>
        <v>3</v>
      </c>
      <c r="C33" s="56">
        <f t="shared" si="1"/>
        <v>2</v>
      </c>
      <c r="D33" s="56">
        <f t="shared" si="2"/>
        <v>2.5</v>
      </c>
      <c r="E33" s="56" t="str">
        <f t="shared" si="3"/>
        <v>Officer: Tooltip is now correct, he increases your Defense Mitigation; try to max him; DOES NOT WORK for Armadas</v>
      </c>
      <c r="F33" s="29" t="s">
        <v>34</v>
      </c>
      <c r="G33" s="98" t="str">
        <f t="shared" si="4"/>
        <v xml:space="preserve"> | Y</v>
      </c>
      <c r="H33" s="98" t="str">
        <f t="shared" si="5"/>
        <v xml:space="preserve"> | </v>
      </c>
      <c r="I33" s="98" t="str">
        <f t="shared" si="6"/>
        <v xml:space="preserve"> | </v>
      </c>
      <c r="J33" s="67" t="str">
        <f t="shared" si="7"/>
        <v>CM: Increase Officers Health for 1 minute after winning a battle OA: Increases Mitigation by % of Officer Health whilst opponent is burning (Tooltip incorrect)</v>
      </c>
      <c r="K33" s="81" t="str">
        <f t="shared" ca="1" si="8"/>
        <v/>
      </c>
      <c r="L33" s="81" t="str">
        <f t="shared" ca="1" si="9"/>
        <v/>
      </c>
    </row>
    <row r="34" spans="1:12" x14ac:dyDescent="0.25">
      <c r="A34" s="56" t="s">
        <v>19</v>
      </c>
      <c r="B34" s="56">
        <f t="shared" si="0"/>
        <v>2.5</v>
      </c>
      <c r="C34" s="56">
        <f t="shared" si="1"/>
        <v>4</v>
      </c>
      <c r="D34" s="56">
        <f t="shared" si="2"/>
        <v>3</v>
      </c>
      <c r="E34" s="56" t="str">
        <f t="shared" si="3"/>
        <v>Officer: buggy Warp Speed boost, unequip her-save setup-re-equip her to get the speed back</v>
      </c>
      <c r="F34" s="29" t="s">
        <v>19</v>
      </c>
      <c r="G34" s="98" t="str">
        <f t="shared" si="4"/>
        <v xml:space="preserve"> | </v>
      </c>
      <c r="H34" s="98" t="str">
        <f t="shared" si="5"/>
        <v xml:space="preserve"> | </v>
      </c>
      <c r="I34" s="98" t="str">
        <f t="shared" si="6"/>
        <v xml:space="preserve"> | </v>
      </c>
      <c r="J34" s="67" t="str">
        <f t="shared" ref="J34:J65" si="42">IF(VLOOKUP(F34,OfficerSkillsFull,33,FALSE)="Y", "BDA: " &amp; VLOOKUP(F34,OfficerSkillsFull,34,FALSE), "CM: " &amp; VLOOKUP(F34,OfficerSkillsFull,9,FALSE)) &amp; " OA: " &amp; VLOOKUP(F34,OfficerSkillsFull,3,FALSE)</f>
        <v>CM: Increase Dilithium mining rate OA: Increase Warp Speed when Cargo is full</v>
      </c>
      <c r="K34" s="81" t="str">
        <f t="shared" ref="K34:K65" ca="1" si="43">IF(VLOOKUP(F34,RankLookup,3,FALSE)=0,"",IF(VLOOKUP(F34,OfficerSkillsFull,33,FALSE)="Y",VLOOKUP(F34,OfficerSkillsFull,34+VLOOKUP(F34,RankLookup,3,FALSE),FALSE),VLOOKUP(F34,OfficerSkillsFull,10,FALSE)))</f>
        <v/>
      </c>
      <c r="L34" s="81" t="str">
        <f t="shared" ca="1" si="9"/>
        <v/>
      </c>
    </row>
    <row r="35" spans="1:12" x14ac:dyDescent="0.25">
      <c r="A35" s="56" t="s">
        <v>254</v>
      </c>
      <c r="B35" s="56">
        <f t="shared" si="0"/>
        <v>3</v>
      </c>
      <c r="C35" s="56">
        <f t="shared" si="1"/>
        <v>2</v>
      </c>
      <c r="D35" s="56">
        <f t="shared" si="2"/>
        <v>2.5</v>
      </c>
      <c r="E35" s="56" t="str">
        <f t="shared" si="3"/>
        <v>Captain: Useful 3 Star all-around Mining boost; Officer: Protected Cargo ability (exact copy of T'Pring)</v>
      </c>
      <c r="F35" s="29" t="s">
        <v>254</v>
      </c>
      <c r="G35" s="98" t="str">
        <f t="shared" si="4"/>
        <v xml:space="preserve"> | </v>
      </c>
      <c r="H35" s="98" t="str">
        <f t="shared" si="5"/>
        <v xml:space="preserve"> | </v>
      </c>
      <c r="I35" s="98" t="str">
        <f t="shared" si="6"/>
        <v xml:space="preserve"> | </v>
      </c>
      <c r="J35" s="67" t="str">
        <f t="shared" si="42"/>
        <v>CM: Increase G3 Crystal, Gas and Mining Speed OA: Increase Protected Cargo</v>
      </c>
      <c r="K35" s="81" t="str">
        <f t="shared" ca="1" si="43"/>
        <v/>
      </c>
      <c r="L35" s="81" t="str">
        <f t="shared" ca="1" si="9"/>
        <v/>
      </c>
    </row>
    <row r="36" spans="1:12" x14ac:dyDescent="0.25">
      <c r="A36" s="56" t="s">
        <v>1644</v>
      </c>
      <c r="B36" s="56">
        <f t="shared" si="0"/>
        <v>3</v>
      </c>
      <c r="C36" s="56">
        <f t="shared" si="1"/>
        <v>3.5</v>
      </c>
      <c r="D36" s="56">
        <f t="shared" si="2"/>
        <v>3</v>
      </c>
      <c r="E36" s="56" t="str">
        <f t="shared" si="3"/>
        <v>Captain: vs. Borg only; Powerful "Attack stat boost"</v>
      </c>
      <c r="F36" s="29" t="s">
        <v>1644</v>
      </c>
      <c r="G36" s="98" t="str">
        <f t="shared" si="4"/>
        <v xml:space="preserve"> | </v>
      </c>
      <c r="H36" s="98" t="str">
        <f t="shared" si="5"/>
        <v xml:space="preserve"> | </v>
      </c>
      <c r="I36" s="98" t="str">
        <f t="shared" si="6"/>
        <v xml:space="preserve"> | </v>
      </c>
      <c r="J36" s="67" t="str">
        <f t="shared" si="42"/>
        <v>CM: Increase Critical Hit chance against Borg OA: Increase Attack of all Officers on the ship</v>
      </c>
      <c r="K36" s="81" t="str">
        <f t="shared" ca="1" si="43"/>
        <v/>
      </c>
      <c r="L36" s="81" t="str">
        <f t="shared" ca="1" si="9"/>
        <v/>
      </c>
    </row>
    <row r="37" spans="1:12" x14ac:dyDescent="0.25">
      <c r="A37" s="56" t="s">
        <v>1651</v>
      </c>
      <c r="B37" s="56">
        <f t="shared" si="0"/>
        <v>1</v>
      </c>
      <c r="C37" s="56">
        <f t="shared" si="1"/>
        <v>4</v>
      </c>
      <c r="D37" s="56">
        <f t="shared" si="2"/>
        <v>2.5</v>
      </c>
      <c r="E37" s="56" t="str">
        <f t="shared" si="3"/>
        <v>Captain: Better version of Barot's Crystal bonus; Officer: Warp speed bost, not worth the cost to upgrade whilst you have other Borg officers still to do.</v>
      </c>
      <c r="F37" s="29" t="s">
        <v>1651</v>
      </c>
      <c r="G37" s="436" t="str">
        <f t="shared" si="4"/>
        <v xml:space="preserve"> | </v>
      </c>
      <c r="H37" s="436" t="str">
        <f t="shared" si="5"/>
        <v xml:space="preserve"> | </v>
      </c>
      <c r="I37" s="436" t="str">
        <f t="shared" si="6"/>
        <v xml:space="preserve"> | </v>
      </c>
      <c r="J37" s="67" t="str">
        <f t="shared" si="42"/>
        <v>CM: Increase Mining Speed (Crystal) OA: Increase Warp Speed</v>
      </c>
      <c r="K37" s="81" t="str">
        <f t="shared" ca="1" si="43"/>
        <v/>
      </c>
      <c r="L37" s="81" t="str">
        <f t="shared" ca="1" si="9"/>
        <v/>
      </c>
    </row>
    <row r="38" spans="1:12" x14ac:dyDescent="0.25">
      <c r="A38" s="56" t="s">
        <v>96</v>
      </c>
      <c r="B38" s="56">
        <f t="shared" si="0"/>
        <v>2.5</v>
      </c>
      <c r="C38" s="56">
        <f t="shared" si="1"/>
        <v>3</v>
      </c>
      <c r="D38" s="56">
        <f t="shared" si="2"/>
        <v>2.5</v>
      </c>
      <c r="E38" s="56" t="str">
        <f t="shared" si="3"/>
        <v>Captian &amp; Officer: capure node only!! Officer: has potential, needs more testing</v>
      </c>
      <c r="F38" s="29" t="s">
        <v>96</v>
      </c>
      <c r="G38" s="98" t="str">
        <f t="shared" si="4"/>
        <v xml:space="preserve"> | </v>
      </c>
      <c r="H38" s="98" t="str">
        <f t="shared" si="5"/>
        <v xml:space="preserve"> | </v>
      </c>
      <c r="I38" s="98" t="str">
        <f t="shared" si="6"/>
        <v xml:space="preserve"> | </v>
      </c>
      <c r="J38" s="67" t="str">
        <f t="shared" si="42"/>
        <v>CM: When attacking a player during takeover. Decrease opponent's Officer Defence OA: When attacking a player on a capture node, Increase number of shots at start of each round.</v>
      </c>
      <c r="K38" s="81" t="str">
        <f t="shared" ca="1" si="43"/>
        <v/>
      </c>
      <c r="L38" s="83" t="str">
        <f t="shared" ca="1" si="9"/>
        <v/>
      </c>
    </row>
    <row r="39" spans="1:12" x14ac:dyDescent="0.25">
      <c r="A39" s="56" t="s">
        <v>107</v>
      </c>
      <c r="B39" s="56">
        <f t="shared" si="0"/>
        <v>3</v>
      </c>
      <c r="C39" s="56">
        <f t="shared" si="1"/>
        <v>3</v>
      </c>
      <c r="D39" s="56">
        <f t="shared" si="2"/>
        <v>3</v>
      </c>
      <c r="E39" s="56" t="str">
        <f t="shared" si="3"/>
        <v>Captian: stacking dmg buff; Officer: needs to be maxed!! then combine with Cpt Pike to get to 100% chance</v>
      </c>
      <c r="F39" s="29" t="s">
        <v>107</v>
      </c>
      <c r="G39" s="98" t="str">
        <f t="shared" si="4"/>
        <v xml:space="preserve"> | </v>
      </c>
      <c r="H39" s="98" t="str">
        <f t="shared" si="5"/>
        <v xml:space="preserve"> | </v>
      </c>
      <c r="I39" s="98" t="str">
        <f t="shared" si="6"/>
        <v xml:space="preserve"> | </v>
      </c>
      <c r="J39" s="67" t="str">
        <f t="shared" si="42"/>
        <v>CM: Increase Damage when taking SHP damage OA: Chance to heal 5% shields when they are depleted</v>
      </c>
      <c r="K39" s="81" t="str">
        <f t="shared" ca="1" si="43"/>
        <v/>
      </c>
      <c r="L39" s="81" t="str">
        <f t="shared" ca="1" si="9"/>
        <v/>
      </c>
    </row>
    <row r="40" spans="1:12" x14ac:dyDescent="0.25">
      <c r="A40" s="56" t="s">
        <v>1975</v>
      </c>
      <c r="B40" s="56">
        <f t="shared" ref="B40" si="44">VLOOKUP(A40,OfficerScores,10,FALSE)</f>
        <v>1</v>
      </c>
      <c r="C40" s="56">
        <f t="shared" ref="C40" si="45">VLOOKUP(A40,OfficerScores,18,FALSE)</f>
        <v>3.5</v>
      </c>
      <c r="D40" s="56">
        <f t="shared" ref="D40" si="46">VLOOKUP(A40,OfficerScores,19,FALSE)</f>
        <v>2</v>
      </c>
      <c r="E40" s="56" t="str">
        <f t="shared" ref="E40" si="47">VLOOKUP(A40,OfficerScores,20,FALSE)</f>
        <v>Captain: Average mining speed boost; Officer: **REDUCES** protected cargo. Amount of reduction decreases when ranked up.</v>
      </c>
      <c r="F40" s="29" t="s">
        <v>1975</v>
      </c>
      <c r="G40" s="487" t="str">
        <f t="shared" ref="G40" si="48">IF(VLOOKUP(F40,OfficerSkillsFull,15,FALSE) = 0,"",VLOOKUP(F40,OfficerSkillsFull,15,FALSE)) &amp; " | " &amp; IF(VLOOKUP(F40,OfficerSkillsFull,16,FALSE) = 0,"",VLOOKUP(F40,OfficerSkillsFull,16,FALSE))</f>
        <v xml:space="preserve"> | </v>
      </c>
      <c r="H40" s="487" t="str">
        <f t="shared" ref="H40" si="49">IF(VLOOKUP(F40,OfficerSkillsFull,17,FALSE) = 0,"",VLOOKUP(F40,OfficerSkillsFull,17,FALSE)) &amp; " | " &amp; IF(VLOOKUP(F40,OfficerSkillsFull,18,FALSE) = 0,"",VLOOKUP(F40,OfficerSkillsFull,18,FALSE))</f>
        <v xml:space="preserve"> | </v>
      </c>
      <c r="I40" s="487" t="str">
        <f t="shared" ref="I40" si="50">IF(VLOOKUP(F40,OfficerSkillsFull,19,FALSE) = 0,"",VLOOKUP(F40,OfficerSkillsFull,19,FALSE)) &amp; " | " &amp; IF(VLOOKUP(F40,OfficerSkillsFull,20,FALSE) = 0,"",VLOOKUP(F40,OfficerSkillsFull,20,FALSE))</f>
        <v xml:space="preserve"> | </v>
      </c>
      <c r="J40" s="67" t="str">
        <f t="shared" si="42"/>
        <v>CM: Increase base mining speed OA: Reduce Protected Cargo</v>
      </c>
      <c r="K40" s="81" t="str">
        <f t="shared" ca="1" si="43"/>
        <v/>
      </c>
      <c r="L40" s="81" t="str">
        <f t="shared" ref="L40" ca="1" si="51">IF(VLOOKUP(F40,RankLookup,3,FALSE)=0,"",VLOOKUP(F40,OfficerSkillsFull,3+VLOOKUP(F40,RankLookup,3,FALSE),FALSE))</f>
        <v/>
      </c>
    </row>
    <row r="41" spans="1:12" x14ac:dyDescent="0.25">
      <c r="A41" s="56" t="s">
        <v>1640</v>
      </c>
      <c r="B41" s="56">
        <f t="shared" si="0"/>
        <v>1</v>
      </c>
      <c r="C41" s="56">
        <f t="shared" si="1"/>
        <v>1</v>
      </c>
      <c r="D41" s="56">
        <f t="shared" si="2"/>
        <v>1</v>
      </c>
      <c r="E41" s="56" t="str">
        <f t="shared" si="3"/>
        <v>Captain: Increase Mitigation - very powerful; Officer: Increases loot from Hostiles &amp; Armadas</v>
      </c>
      <c r="F41" s="29" t="s">
        <v>1640</v>
      </c>
      <c r="G41" s="98" t="str">
        <f t="shared" si="4"/>
        <v xml:space="preserve"> | </v>
      </c>
      <c r="H41" s="98" t="str">
        <f t="shared" si="5"/>
        <v xml:space="preserve"> | </v>
      </c>
      <c r="I41" s="98" t="str">
        <f t="shared" si="6"/>
        <v xml:space="preserve"> | </v>
      </c>
      <c r="J41" s="67" t="str">
        <f t="shared" si="42"/>
        <v>CM: Increase Mitigation by Officer Health OA: Increase Resources dropped</v>
      </c>
      <c r="K41" s="81" t="str">
        <f t="shared" ca="1" si="43"/>
        <v/>
      </c>
      <c r="L41" s="81" t="str">
        <f t="shared" ca="1" si="9"/>
        <v/>
      </c>
    </row>
    <row r="42" spans="1:12" x14ac:dyDescent="0.25">
      <c r="A42" s="56" t="s">
        <v>1638</v>
      </c>
      <c r="B42" s="56">
        <f t="shared" ref="B42:B75" si="52">VLOOKUP(A42,OfficerScores,10,FALSE)</f>
        <v>1</v>
      </c>
      <c r="C42" s="56">
        <f t="shared" ref="C42:C75" si="53">VLOOKUP(A42,OfficerScores,18,FALSE)</f>
        <v>1</v>
      </c>
      <c r="D42" s="56">
        <f t="shared" ref="D42:D75" si="54">VLOOKUP(A42,OfficerScores,19,FALSE)</f>
        <v>1</v>
      </c>
      <c r="E42" s="56" t="str">
        <f t="shared" ref="E42:E75" si="55">VLOOKUP(A42,OfficerScores,20,FALSE)</f>
        <v>Captain: Better version of Stonn Ore bonus; Officer: At rank 1 already better than a maxed Stonn.</v>
      </c>
      <c r="F42" s="29" t="s">
        <v>1638</v>
      </c>
      <c r="G42" s="98" t="str">
        <f t="shared" ref="G42:G75" si="56">IF(VLOOKUP(F42,OfficerSkillsFull,15,FALSE) = 0,"",VLOOKUP(F42,OfficerSkillsFull,15,FALSE)) &amp; " | " &amp; IF(VLOOKUP(F42,OfficerSkillsFull,16,FALSE) = 0,"",VLOOKUP(F42,OfficerSkillsFull,16,FALSE))</f>
        <v xml:space="preserve"> | </v>
      </c>
      <c r="H42" s="98" t="str">
        <f t="shared" ref="H42:H75" si="57">IF(VLOOKUP(F42,OfficerSkillsFull,17,FALSE) = 0,"",VLOOKUP(F42,OfficerSkillsFull,17,FALSE)) &amp; " | " &amp; IF(VLOOKUP(F42,OfficerSkillsFull,18,FALSE) = 0,"",VLOOKUP(F42,OfficerSkillsFull,18,FALSE))</f>
        <v xml:space="preserve"> | </v>
      </c>
      <c r="I42" s="98" t="str">
        <f t="shared" ref="I42:I75" si="58">IF(VLOOKUP(F42,OfficerSkillsFull,19,FALSE) = 0,"",VLOOKUP(F42,OfficerSkillsFull,19,FALSE)) &amp; " | " &amp; IF(VLOOKUP(F42,OfficerSkillsFull,20,FALSE) = 0,"",VLOOKUP(F42,OfficerSkillsFull,20,FALSE))</f>
        <v xml:space="preserve"> | </v>
      </c>
      <c r="J42" s="67" t="str">
        <f t="shared" si="42"/>
        <v>CM: Increase Ore mining speed OA: Increase Cargo Size</v>
      </c>
      <c r="K42" s="81" t="str">
        <f t="shared" ca="1" si="43"/>
        <v/>
      </c>
      <c r="L42" s="81" t="str">
        <f t="shared" ref="L42:L75" ca="1" si="59">IF(VLOOKUP(F42,RankLookup,3,FALSE)=0,"",VLOOKUP(F42,OfficerSkillsFull,3+VLOOKUP(F42,RankLookup,3,FALSE),FALSE))</f>
        <v/>
      </c>
    </row>
    <row r="43" spans="1:12" x14ac:dyDescent="0.25">
      <c r="A43" s="56" t="s">
        <v>5</v>
      </c>
      <c r="B43" s="56">
        <f t="shared" si="52"/>
        <v>3.5</v>
      </c>
      <c r="C43" s="56">
        <f t="shared" si="53"/>
        <v>2</v>
      </c>
      <c r="D43" s="56">
        <f t="shared" si="54"/>
        <v>2.5</v>
      </c>
      <c r="E43" s="56" t="str">
        <f t="shared" si="55"/>
        <v>Officer: max Gaila to reduce critical dmg, multiple player can combine her ability up to 0 damage crits</v>
      </c>
      <c r="F43" s="29" t="s">
        <v>5</v>
      </c>
      <c r="G43" s="110" t="str">
        <f t="shared" si="56"/>
        <v xml:space="preserve"> | </v>
      </c>
      <c r="H43" s="110" t="str">
        <f t="shared" si="57"/>
        <v xml:space="preserve"> | </v>
      </c>
      <c r="I43" s="110" t="str">
        <f t="shared" si="58"/>
        <v xml:space="preserve"> | </v>
      </c>
      <c r="J43" s="67" t="str">
        <f t="shared" si="42"/>
        <v>CM: Increase Parsteel rewards from Hostiles OA: Decrease Critical Damage from Hostiles</v>
      </c>
      <c r="K43" s="81" t="str">
        <f t="shared" ca="1" si="43"/>
        <v/>
      </c>
      <c r="L43" s="81" t="str">
        <f t="shared" ca="1" si="59"/>
        <v/>
      </c>
    </row>
    <row r="44" spans="1:12" x14ac:dyDescent="0.25">
      <c r="A44" s="56" t="s">
        <v>733</v>
      </c>
      <c r="B44" s="56">
        <f t="shared" si="52"/>
        <v>3</v>
      </c>
      <c r="C44" s="56">
        <f t="shared" si="53"/>
        <v>4</v>
      </c>
      <c r="D44" s="56">
        <f t="shared" si="54"/>
        <v>3.5</v>
      </c>
      <c r="E44" s="56" t="str">
        <f t="shared" si="55"/>
        <v>Captain: Loot Bonus, take it or leave it... Terrible terrible Officer ability - use L'Nar instead!</v>
      </c>
      <c r="F44" s="29" t="s">
        <v>733</v>
      </c>
      <c r="G44" s="283" t="str">
        <f t="shared" si="56"/>
        <v xml:space="preserve"> | </v>
      </c>
      <c r="H44" s="283" t="str">
        <f t="shared" si="57"/>
        <v xml:space="preserve"> | </v>
      </c>
      <c r="I44" s="283" t="str">
        <f t="shared" si="58"/>
        <v xml:space="preserve"> | </v>
      </c>
      <c r="J44" s="67" t="str">
        <f t="shared" si="42"/>
        <v>CM: Increase Rewards from Armadas OA: Increase Weapon Damage against Klingon Hostiles and Armadas</v>
      </c>
      <c r="K44" s="81" t="str">
        <f t="shared" ca="1" si="43"/>
        <v/>
      </c>
      <c r="L44" s="81" t="str">
        <f t="shared" ca="1" si="59"/>
        <v/>
      </c>
    </row>
    <row r="45" spans="1:12" x14ac:dyDescent="0.25">
      <c r="A45" s="56" t="s">
        <v>108</v>
      </c>
      <c r="B45" s="56">
        <f t="shared" si="52"/>
        <v>1</v>
      </c>
      <c r="C45" s="56">
        <f t="shared" si="53"/>
        <v>1</v>
      </c>
      <c r="D45" s="56">
        <f t="shared" si="54"/>
        <v>1</v>
      </c>
      <c r="E45" s="56" t="str">
        <f t="shared" si="55"/>
        <v>Captain: PvP only; not effective; Officer: best Burning in the game , needs to get to Rank 3+</v>
      </c>
      <c r="F45" s="29" t="s">
        <v>108</v>
      </c>
      <c r="G45" s="98" t="str">
        <f t="shared" si="56"/>
        <v>Y | Y</v>
      </c>
      <c r="H45" s="98" t="str">
        <f t="shared" si="57"/>
        <v xml:space="preserve"> | </v>
      </c>
      <c r="I45" s="98" t="str">
        <f t="shared" si="58"/>
        <v xml:space="preserve"> | </v>
      </c>
      <c r="J45" s="67" t="str">
        <f t="shared" si="42"/>
        <v>CM: Decrease opponents officers attack when opponent is burning OA: Chance to deal Burning for two rounds at the start of each round</v>
      </c>
      <c r="K45" s="81" t="str">
        <f t="shared" ca="1" si="43"/>
        <v/>
      </c>
      <c r="L45" s="81" t="str">
        <f t="shared" ca="1" si="59"/>
        <v/>
      </c>
    </row>
    <row r="46" spans="1:12" x14ac:dyDescent="0.25">
      <c r="A46" s="56" t="s">
        <v>1846</v>
      </c>
      <c r="B46" s="56">
        <f t="shared" ref="B46" si="60">VLOOKUP(A46,OfficerScores,10,FALSE)</f>
        <v>1</v>
      </c>
      <c r="C46" s="56">
        <f t="shared" ref="C46" si="61">VLOOKUP(A46,OfficerScores,18,FALSE)</f>
        <v>1</v>
      </c>
      <c r="D46" s="56">
        <f t="shared" ref="D46" si="62">VLOOKUP(A46,OfficerScores,19,FALSE)</f>
        <v>1</v>
      </c>
      <c r="E46" s="56" t="str">
        <f t="shared" ref="E46" si="63">VLOOKUP(A46,OfficerScores,20,FALSE)</f>
        <v>Captain: Nice 100% increase to protected cargo, currently no synergy officers; Officer: First officer to increase warp by a percentage instead of a fixed amount.</v>
      </c>
      <c r="F46" s="29" t="s">
        <v>1846</v>
      </c>
      <c r="G46" s="462" t="str">
        <f t="shared" ref="G46" si="64">IF(VLOOKUP(F46,OfficerSkillsFull,15,FALSE) = 0,"",VLOOKUP(F46,OfficerSkillsFull,15,FALSE)) &amp; " | " &amp; IF(VLOOKUP(F46,OfficerSkillsFull,16,FALSE) = 0,"",VLOOKUP(F46,OfficerSkillsFull,16,FALSE))</f>
        <v xml:space="preserve"> | </v>
      </c>
      <c r="H46" s="462" t="str">
        <f t="shared" ref="H46" si="65">IF(VLOOKUP(F46,OfficerSkillsFull,17,FALSE) = 0,"",VLOOKUP(F46,OfficerSkillsFull,17,FALSE)) &amp; " | " &amp; IF(VLOOKUP(F46,OfficerSkillsFull,18,FALSE) = 0,"",VLOOKUP(F46,OfficerSkillsFull,18,FALSE))</f>
        <v xml:space="preserve"> | </v>
      </c>
      <c r="I46" s="462" t="str">
        <f t="shared" ref="I46" si="66">IF(VLOOKUP(F46,OfficerSkillsFull,19,FALSE) = 0,"",VLOOKUP(F46,OfficerSkillsFull,19,FALSE)) &amp; " | " &amp; IF(VLOOKUP(F46,OfficerSkillsFull,20,FALSE) = 0,"",VLOOKUP(F46,OfficerSkillsFull,20,FALSE))</f>
        <v xml:space="preserve"> | </v>
      </c>
      <c r="J46" s="67" t="str">
        <f t="shared" si="42"/>
        <v>CM: Increase Protected Cargo OA: Increase Warp Range</v>
      </c>
      <c r="K46" s="81" t="str">
        <f t="shared" ca="1" si="43"/>
        <v/>
      </c>
      <c r="L46" s="81" t="str">
        <f t="shared" ref="L46" ca="1" si="67">IF(VLOOKUP(F46,RankLookup,3,FALSE)=0,"",VLOOKUP(F46,OfficerSkillsFull,3+VLOOKUP(F46,RankLookup,3,FALSE),FALSE))</f>
        <v/>
      </c>
    </row>
    <row r="47" spans="1:12" x14ac:dyDescent="0.25">
      <c r="A47" s="56" t="s">
        <v>28</v>
      </c>
      <c r="B47" s="56">
        <f t="shared" si="52"/>
        <v>4</v>
      </c>
      <c r="C47" s="56">
        <f t="shared" si="53"/>
        <v>4</v>
      </c>
      <c r="D47" s="56">
        <f t="shared" si="54"/>
        <v>4</v>
      </c>
      <c r="E47" s="56" t="str">
        <f t="shared" si="55"/>
        <v>Captain &amp; Officer abiliies: surprisingly good on a Stella versus Ecplise Hostiles and even Armadas</v>
      </c>
      <c r="F47" s="29" t="s">
        <v>28</v>
      </c>
      <c r="G47" s="98" t="str">
        <f t="shared" si="56"/>
        <v xml:space="preserve"> | </v>
      </c>
      <c r="H47" s="98" t="str">
        <f t="shared" si="57"/>
        <v xml:space="preserve"> | </v>
      </c>
      <c r="I47" s="98" t="str">
        <f t="shared" si="58"/>
        <v xml:space="preserve"> | </v>
      </c>
      <c r="J47" s="67" t="str">
        <f t="shared" si="42"/>
        <v>CM: Increase Critical Hit Chance against Hostiles OA: Increase Cristical Hit Damage against Hostiles</v>
      </c>
      <c r="K47" s="81" t="str">
        <f t="shared" ca="1" si="43"/>
        <v/>
      </c>
      <c r="L47" s="81" t="str">
        <f t="shared" ca="1" si="59"/>
        <v/>
      </c>
    </row>
    <row r="48" spans="1:12" x14ac:dyDescent="0.25">
      <c r="A48" s="56" t="s">
        <v>95</v>
      </c>
      <c r="B48" s="56">
        <f t="shared" si="52"/>
        <v>3</v>
      </c>
      <c r="C48" s="56">
        <f t="shared" si="53"/>
        <v>3.5</v>
      </c>
      <c r="D48" s="56">
        <f t="shared" si="54"/>
        <v>3</v>
      </c>
      <c r="E48" s="56" t="str">
        <f t="shared" si="55"/>
        <v>Captain: first Round buff; Officer: XP boost - never needed him</v>
      </c>
      <c r="F48" s="29" t="s">
        <v>95</v>
      </c>
      <c r="G48" s="98" t="str">
        <f t="shared" si="56"/>
        <v xml:space="preserve"> | </v>
      </c>
      <c r="H48" s="98" t="str">
        <f t="shared" si="57"/>
        <v xml:space="preserve"> | </v>
      </c>
      <c r="I48" s="98" t="str">
        <f t="shared" si="58"/>
        <v xml:space="preserve"> | </v>
      </c>
      <c r="J48" s="67" t="str">
        <f t="shared" si="42"/>
        <v>CM: Inctease Critical Hit Chance against Hostiles for first round OA: Increase Ship XP gained while fighting</v>
      </c>
      <c r="K48" s="81" t="str">
        <f t="shared" ca="1" si="43"/>
        <v/>
      </c>
      <c r="L48" s="81" t="str">
        <f t="shared" ca="1" si="59"/>
        <v/>
      </c>
    </row>
    <row r="49" spans="1:13" x14ac:dyDescent="0.25">
      <c r="A49" s="56" t="s">
        <v>67</v>
      </c>
      <c r="B49" s="56">
        <f t="shared" si="52"/>
        <v>2</v>
      </c>
      <c r="C49" s="56">
        <f t="shared" si="53"/>
        <v>2</v>
      </c>
      <c r="D49" s="56">
        <f t="shared" si="54"/>
        <v>2</v>
      </c>
      <c r="E49" s="56" t="str">
        <f t="shared" si="55"/>
        <v>Captain: short fight ability; Officer: Very good "Hull Breach" source; When Klingon algined easy to Level</v>
      </c>
      <c r="F49" s="29" t="s">
        <v>67</v>
      </c>
      <c r="G49" s="98" t="str">
        <f t="shared" si="56"/>
        <v xml:space="preserve"> | </v>
      </c>
      <c r="H49" s="98" t="str">
        <f t="shared" si="57"/>
        <v xml:space="preserve">Y | </v>
      </c>
      <c r="I49" s="98" t="str">
        <f t="shared" si="58"/>
        <v xml:space="preserve"> | </v>
      </c>
      <c r="J49" s="67" t="str">
        <f t="shared" si="42"/>
        <v>CM: Increase Critical Hit Chances for first 2 rounds OA: Chance to cause Hull Breach for 3 rounds when hitting with Critical Hit</v>
      </c>
      <c r="K49" s="81" t="str">
        <f t="shared" ca="1" si="43"/>
        <v/>
      </c>
      <c r="L49" s="81" t="str">
        <f t="shared" ca="1" si="59"/>
        <v/>
      </c>
    </row>
    <row r="50" spans="1:13" x14ac:dyDescent="0.25">
      <c r="A50" s="56" t="s">
        <v>1848</v>
      </c>
      <c r="B50" s="56">
        <f t="shared" ref="B50" si="68">VLOOKUP(A50,OfficerScores,10,FALSE)</f>
        <v>3.5</v>
      </c>
      <c r="C50" s="56">
        <f t="shared" ref="C50" si="69">VLOOKUP(A50,OfficerScores,18,FALSE)</f>
        <v>3</v>
      </c>
      <c r="D50" s="56">
        <f t="shared" ref="D50" si="70">VLOOKUP(A50,OfficerScores,19,FALSE)</f>
        <v>3</v>
      </c>
      <c r="E50" s="56" t="str">
        <f t="shared" ref="E50" si="71">VLOOKUP(A50,OfficerScores,20,FALSE)</f>
        <v>Captain: Small increase to Energy weapon damage; Officer: Anti Trinitiy officer to counter Shield Penetration, increases Shield Deflection based on officer Health</v>
      </c>
      <c r="F50" s="29" t="s">
        <v>1848</v>
      </c>
      <c r="G50" s="462" t="str">
        <f t="shared" ref="G50" si="72">IF(VLOOKUP(F50,OfficerSkillsFull,15,FALSE) = 0,"",VLOOKUP(F50,OfficerSkillsFull,15,FALSE)) &amp; " | " &amp; IF(VLOOKUP(F50,OfficerSkillsFull,16,FALSE) = 0,"",VLOOKUP(F50,OfficerSkillsFull,16,FALSE))</f>
        <v xml:space="preserve"> | </v>
      </c>
      <c r="H50" s="462" t="str">
        <f t="shared" ref="H50" si="73">IF(VLOOKUP(F50,OfficerSkillsFull,17,FALSE) = 0,"",VLOOKUP(F50,OfficerSkillsFull,17,FALSE)) &amp; " | " &amp; IF(VLOOKUP(F50,OfficerSkillsFull,18,FALSE) = 0,"",VLOOKUP(F50,OfficerSkillsFull,18,FALSE))</f>
        <v xml:space="preserve"> | </v>
      </c>
      <c r="I50" s="462" t="str">
        <f t="shared" ref="I50" si="74">IF(VLOOKUP(F50,OfficerSkillsFull,19,FALSE) = 0,"",VLOOKUP(F50,OfficerSkillsFull,19,FALSE)) &amp; " | " &amp; IF(VLOOKUP(F50,OfficerSkillsFull,20,FALSE) = 0,"",VLOOKUP(F50,OfficerSkillsFull,20,FALSE))</f>
        <v xml:space="preserve"> | </v>
      </c>
      <c r="J50" s="67" t="str">
        <f t="shared" si="42"/>
        <v>CM: Increase Energy Weapon Damage OA: Increase ship's Shield Deflection by Health of crew</v>
      </c>
      <c r="K50" s="81" t="str">
        <f t="shared" ca="1" si="43"/>
        <v/>
      </c>
      <c r="L50" s="81" t="str">
        <f t="shared" ref="L50" ca="1" si="75">IF(VLOOKUP(F50,RankLookup,3,FALSE)=0,"",VLOOKUP(F50,OfficerSkillsFull,3+VLOOKUP(F50,RankLookup,3,FALSE),FALSE))</f>
        <v/>
      </c>
    </row>
    <row r="51" spans="1:13" x14ac:dyDescent="0.25">
      <c r="A51" s="56" t="s">
        <v>73</v>
      </c>
      <c r="B51" s="56">
        <f t="shared" si="52"/>
        <v>3.5</v>
      </c>
      <c r="C51" s="56">
        <f t="shared" si="53"/>
        <v>4.5</v>
      </c>
      <c r="D51" s="56">
        <f t="shared" si="54"/>
        <v>4</v>
      </c>
      <c r="E51" s="56" t="str">
        <f t="shared" si="55"/>
        <v>Do not bother with this officer</v>
      </c>
      <c r="F51" s="29" t="s">
        <v>73</v>
      </c>
      <c r="G51" s="98" t="str">
        <f t="shared" si="56"/>
        <v xml:space="preserve"> | </v>
      </c>
      <c r="H51" s="98" t="str">
        <f t="shared" si="57"/>
        <v xml:space="preserve"> | </v>
      </c>
      <c r="I51" s="98" t="str">
        <f t="shared" si="58"/>
        <v xml:space="preserve"> | </v>
      </c>
      <c r="J51" s="67" t="str">
        <f t="shared" si="42"/>
        <v>CM: Increase Warp Speed of ship OA: Increase Exoerience gained on Survey Ships</v>
      </c>
      <c r="K51" s="81" t="str">
        <f t="shared" ca="1" si="43"/>
        <v/>
      </c>
      <c r="L51" s="81" t="str">
        <f t="shared" ca="1" si="59"/>
        <v/>
      </c>
    </row>
    <row r="52" spans="1:13" x14ac:dyDescent="0.25">
      <c r="A52" s="56" t="s">
        <v>98</v>
      </c>
      <c r="B52" s="56">
        <f t="shared" si="52"/>
        <v>1</v>
      </c>
      <c r="C52" s="56">
        <f t="shared" si="53"/>
        <v>1</v>
      </c>
      <c r="D52" s="56">
        <f t="shared" si="54"/>
        <v>1</v>
      </c>
      <c r="E52" s="56" t="str">
        <f t="shared" si="55"/>
        <v>Officer: (first Round only!) good for offensive and Defense; allows you HEAVY damage attacks in the first round</v>
      </c>
      <c r="F52" s="29" t="s">
        <v>98</v>
      </c>
      <c r="G52" s="98" t="str">
        <f t="shared" si="56"/>
        <v xml:space="preserve"> | </v>
      </c>
      <c r="H52" s="98" t="str">
        <f t="shared" si="57"/>
        <v xml:space="preserve"> | </v>
      </c>
      <c r="I52" s="98" t="str">
        <f t="shared" si="58"/>
        <v xml:space="preserve"> | </v>
      </c>
      <c r="J52" s="67" t="str">
        <f t="shared" si="42"/>
        <v>CM: Increase Damage against Explorers OA: Ignore % of opponents shield for the first round of combat</v>
      </c>
      <c r="K52" s="81" t="str">
        <f t="shared" ca="1" si="43"/>
        <v/>
      </c>
      <c r="L52" s="81" t="str">
        <f t="shared" ca="1" si="59"/>
        <v/>
      </c>
    </row>
    <row r="53" spans="1:13" x14ac:dyDescent="0.25">
      <c r="A53" s="56" t="s">
        <v>109</v>
      </c>
      <c r="B53" s="56">
        <f t="shared" si="52"/>
        <v>3</v>
      </c>
      <c r="C53" s="56">
        <f t="shared" si="53"/>
        <v>3</v>
      </c>
      <c r="D53" s="56">
        <f t="shared" si="54"/>
        <v>3</v>
      </c>
      <c r="E53" s="56" t="str">
        <f t="shared" si="55"/>
        <v>Captain: Shields absorb additional damage (only 2 rounds!) ; Officer : small chance of double shot (first round only!)</v>
      </c>
      <c r="F53" s="29" t="s">
        <v>109</v>
      </c>
      <c r="G53" s="110" t="str">
        <f t="shared" si="56"/>
        <v xml:space="preserve"> | </v>
      </c>
      <c r="H53" s="110" t="str">
        <f t="shared" si="57"/>
        <v xml:space="preserve"> | </v>
      </c>
      <c r="I53" s="110" t="str">
        <f t="shared" si="58"/>
        <v xml:space="preserve"> | </v>
      </c>
      <c r="J53" s="67" t="str">
        <f t="shared" si="42"/>
        <v>CM: Chance to have 98% Shield Mitigation for the first two combat rounds OA: Chance of Double Shots in the first round</v>
      </c>
      <c r="K53" s="81" t="str">
        <f t="shared" ca="1" si="43"/>
        <v/>
      </c>
      <c r="L53" s="81" t="str">
        <f t="shared" ca="1" si="59"/>
        <v/>
      </c>
    </row>
    <row r="54" spans="1:13" x14ac:dyDescent="0.25">
      <c r="A54" s="56" t="s">
        <v>4</v>
      </c>
      <c r="B54" s="56">
        <f t="shared" si="52"/>
        <v>2.5</v>
      </c>
      <c r="C54" s="56">
        <f t="shared" si="53"/>
        <v>4</v>
      </c>
      <c r="D54" s="56">
        <f t="shared" si="54"/>
        <v>3</v>
      </c>
      <c r="E54" s="56" t="str">
        <f t="shared" si="55"/>
        <v>Officer: pretty good Warp speed buff for your Miners - or for quick PvP action</v>
      </c>
      <c r="F54" s="29" t="s">
        <v>4</v>
      </c>
      <c r="G54" s="98" t="str">
        <f t="shared" si="56"/>
        <v xml:space="preserve"> | </v>
      </c>
      <c r="H54" s="98" t="str">
        <f t="shared" si="57"/>
        <v xml:space="preserve"> | </v>
      </c>
      <c r="I54" s="98" t="str">
        <f t="shared" si="58"/>
        <v xml:space="preserve"> | </v>
      </c>
      <c r="J54" s="67" t="str">
        <f t="shared" si="42"/>
        <v>CM: Increase Parsteel mining OA: Increase Warp Speed when Cargo is empty</v>
      </c>
      <c r="K54" s="81" t="str">
        <f t="shared" ca="1" si="43"/>
        <v/>
      </c>
      <c r="L54" s="81" t="str">
        <f t="shared" ca="1" si="59"/>
        <v/>
      </c>
    </row>
    <row r="55" spans="1:13" x14ac:dyDescent="0.25">
      <c r="A55" s="56" t="s">
        <v>93</v>
      </c>
      <c r="B55" s="56">
        <f t="shared" si="52"/>
        <v>3.5</v>
      </c>
      <c r="C55" s="56">
        <f t="shared" si="53"/>
        <v>4.5</v>
      </c>
      <c r="D55" s="56">
        <f t="shared" si="54"/>
        <v>4</v>
      </c>
      <c r="E55" s="56" t="str">
        <f t="shared" si="55"/>
        <v>Do not bother with this officer</v>
      </c>
      <c r="F55" s="29" t="s">
        <v>93</v>
      </c>
      <c r="G55" s="98" t="str">
        <f t="shared" si="56"/>
        <v xml:space="preserve"> | </v>
      </c>
      <c r="H55" s="98" t="str">
        <f t="shared" si="57"/>
        <v xml:space="preserve"> | </v>
      </c>
      <c r="I55" s="98" t="str">
        <f t="shared" si="58"/>
        <v xml:space="preserve"> | </v>
      </c>
      <c r="J55" s="67" t="str">
        <f t="shared" si="42"/>
        <v>CM: Increase mitigation when Hull Health is below 60% of Health at start of battle OA: Increase Ship XP on Explorers</v>
      </c>
      <c r="K55" s="81" t="str">
        <f t="shared" ca="1" si="43"/>
        <v/>
      </c>
      <c r="L55" s="81" t="str">
        <f t="shared" ca="1" si="59"/>
        <v/>
      </c>
    </row>
    <row r="56" spans="1:13" x14ac:dyDescent="0.25">
      <c r="A56" s="56" t="s">
        <v>1564</v>
      </c>
      <c r="B56" s="56">
        <f t="shared" si="52"/>
        <v>1</v>
      </c>
      <c r="C56" s="56">
        <f t="shared" si="53"/>
        <v>1</v>
      </c>
      <c r="D56" s="56">
        <f t="shared" si="54"/>
        <v>1</v>
      </c>
      <c r="E56" s="56" t="str">
        <f t="shared" si="55"/>
        <v>Captain: Weak increase to Piercing, especially compared to Charvanek; Officer: Great increase to critical, straight out of the box; good for early round wins.</v>
      </c>
      <c r="F56" s="29" t="s">
        <v>1564</v>
      </c>
      <c r="G56" s="98" t="str">
        <f t="shared" si="56"/>
        <v xml:space="preserve"> | </v>
      </c>
      <c r="H56" s="98" t="str">
        <f t="shared" si="57"/>
        <v xml:space="preserve"> | </v>
      </c>
      <c r="I56" s="98" t="str">
        <f t="shared" si="58"/>
        <v xml:space="preserve"> | </v>
      </c>
      <c r="J56" s="67" t="str">
        <f t="shared" si="42"/>
        <v>CM: When fighting other players, increases Armor Piercing by % of Crew Attack whenever ship scores a critical hit OA: For the first 8 rounds of combat against other players, increases the Critical Hit Chance of the ship</v>
      </c>
      <c r="K56" s="81" t="str">
        <f t="shared" ca="1" si="43"/>
        <v/>
      </c>
      <c r="L56" s="81" t="str">
        <f t="shared" ca="1" si="59"/>
        <v/>
      </c>
    </row>
    <row r="57" spans="1:13" x14ac:dyDescent="0.25">
      <c r="A57" s="56" t="s">
        <v>16</v>
      </c>
      <c r="B57" s="56">
        <f t="shared" si="52"/>
        <v>3.5</v>
      </c>
      <c r="C57" s="56">
        <f t="shared" si="53"/>
        <v>3.5</v>
      </c>
      <c r="D57" s="56">
        <f t="shared" si="54"/>
        <v>3.5</v>
      </c>
      <c r="E57" s="56" t="str">
        <f t="shared" si="55"/>
        <v>Captain: incorrect Dmg Buff tooltip - double it; Officer very weak base increase</v>
      </c>
      <c r="F57" s="29" t="s">
        <v>16</v>
      </c>
      <c r="G57" s="98" t="str">
        <f t="shared" si="56"/>
        <v xml:space="preserve"> | </v>
      </c>
      <c r="H57" s="98" t="str">
        <f t="shared" si="57"/>
        <v xml:space="preserve"> | </v>
      </c>
      <c r="I57" s="98" t="str">
        <f t="shared" si="58"/>
        <v xml:space="preserve"> | </v>
      </c>
      <c r="J57" s="67" t="str">
        <f t="shared" si="42"/>
        <v>CM: Increase Damage OA: Increase Mitigation</v>
      </c>
      <c r="K57" s="81" t="str">
        <f t="shared" ca="1" si="43"/>
        <v/>
      </c>
      <c r="L57" s="81" t="str">
        <f t="shared" ca="1" si="59"/>
        <v/>
      </c>
    </row>
    <row r="58" spans="1:13" x14ac:dyDescent="0.25">
      <c r="A58" s="56" t="s">
        <v>122</v>
      </c>
      <c r="B58" s="56">
        <f t="shared" si="52"/>
        <v>4</v>
      </c>
      <c r="C58" s="56">
        <f t="shared" si="53"/>
        <v>4</v>
      </c>
      <c r="D58" s="56">
        <f t="shared" si="54"/>
        <v>4</v>
      </c>
      <c r="E58" s="56" t="str">
        <f t="shared" si="55"/>
        <v>Captain: super weak piercing increase; Officer: super weak base Armor increase</v>
      </c>
      <c r="F58" s="29" t="s">
        <v>122</v>
      </c>
      <c r="G58" s="98" t="str">
        <f t="shared" si="56"/>
        <v xml:space="preserve"> | </v>
      </c>
      <c r="H58" s="98" t="str">
        <f t="shared" si="57"/>
        <v xml:space="preserve"> | </v>
      </c>
      <c r="I58" s="98" t="str">
        <f t="shared" si="58"/>
        <v xml:space="preserve"> | </v>
      </c>
      <c r="J58" s="67" t="str">
        <f t="shared" si="42"/>
        <v>CM: Increase Shield Piercing OA: Increase Armor on a battleship</v>
      </c>
      <c r="K58" s="81" t="str">
        <f t="shared" ca="1" si="43"/>
        <v/>
      </c>
      <c r="L58" s="81" t="str">
        <f t="shared" ca="1" si="59"/>
        <v/>
      </c>
    </row>
    <row r="59" spans="1:13" x14ac:dyDescent="0.25">
      <c r="A59" s="56" t="s">
        <v>104</v>
      </c>
      <c r="B59" s="56">
        <f t="shared" si="52"/>
        <v>2</v>
      </c>
      <c r="C59" s="56">
        <f t="shared" si="53"/>
        <v>2</v>
      </c>
      <c r="D59" s="56">
        <f t="shared" si="54"/>
        <v>2</v>
      </c>
      <c r="E59" s="56" t="str">
        <f t="shared" si="55"/>
        <v>Captiain: Increase loot, similar to Five Of Eleven BUT: for Franky only; Officer: Great increase in firepower against Swarms on any Franky.</v>
      </c>
      <c r="F59" s="29" t="s">
        <v>104</v>
      </c>
      <c r="G59" s="98" t="str">
        <f t="shared" si="56"/>
        <v xml:space="preserve"> | </v>
      </c>
      <c r="H59" s="98" t="str">
        <f t="shared" si="57"/>
        <v xml:space="preserve"> | </v>
      </c>
      <c r="I59" s="98" t="str">
        <f t="shared" si="58"/>
        <v xml:space="preserve"> | </v>
      </c>
      <c r="J59" s="67" t="str">
        <f t="shared" si="42"/>
        <v>CM: Increase Resources from hostiles when in any Franklin OA: Increase number of shots against Swarms in any Franklin</v>
      </c>
      <c r="K59" s="81" t="str">
        <f t="shared" ca="1" si="43"/>
        <v/>
      </c>
      <c r="L59" s="81" t="str">
        <f t="shared" ca="1" si="59"/>
        <v/>
      </c>
    </row>
    <row r="60" spans="1:13" x14ac:dyDescent="0.25">
      <c r="A60" s="56" t="s">
        <v>869</v>
      </c>
      <c r="B60" s="56">
        <f t="shared" si="52"/>
        <v>1</v>
      </c>
      <c r="C60" s="56">
        <f t="shared" si="53"/>
        <v>2</v>
      </c>
      <c r="D60" s="56">
        <f t="shared" si="54"/>
        <v>1.5</v>
      </c>
      <c r="E60" s="56" t="str">
        <f t="shared" si="55"/>
        <v>Captain: Same as Pike's but written correctly! Officer: Increased crit damage to Hostiles and Armadas</v>
      </c>
      <c r="F60" s="56" t="s">
        <v>869</v>
      </c>
      <c r="G60" s="98" t="str">
        <f t="shared" si="56"/>
        <v xml:space="preserve"> | </v>
      </c>
      <c r="H60" s="98" t="str">
        <f t="shared" si="57"/>
        <v xml:space="preserve"> | </v>
      </c>
      <c r="I60" s="98" t="str">
        <f t="shared" si="58"/>
        <v xml:space="preserve"> | </v>
      </c>
      <c r="J60" s="67" t="str">
        <f t="shared" si="42"/>
        <v>CM: Increase Officer Abilities that trigger in combat by 2 x % OA: Increase Critical Damage against Hostiles and Armadas</v>
      </c>
      <c r="K60" s="81" t="str">
        <f t="shared" ca="1" si="43"/>
        <v/>
      </c>
      <c r="L60" s="81" t="str">
        <f t="shared" ca="1" si="59"/>
        <v/>
      </c>
      <c r="M60" s="67"/>
    </row>
    <row r="61" spans="1:13" x14ac:dyDescent="0.25">
      <c r="A61" s="56" t="s">
        <v>59</v>
      </c>
      <c r="B61" s="56">
        <f t="shared" si="52"/>
        <v>2.5</v>
      </c>
      <c r="C61" s="56">
        <f t="shared" si="53"/>
        <v>4</v>
      </c>
      <c r="D61" s="56">
        <f t="shared" si="54"/>
        <v>3</v>
      </c>
      <c r="E61" s="56" t="str">
        <f t="shared" si="55"/>
        <v>Captain: only Defense Plattforms protection -but- only 1 round; Officer: Damage reduction too small</v>
      </c>
      <c r="F61" s="29" t="s">
        <v>59</v>
      </c>
      <c r="G61" s="98" t="str">
        <f t="shared" si="56"/>
        <v xml:space="preserve"> | </v>
      </c>
      <c r="H61" s="98" t="str">
        <f t="shared" si="57"/>
        <v xml:space="preserve"> | </v>
      </c>
      <c r="I61" s="98" t="str">
        <f t="shared" si="58"/>
        <v xml:space="preserve"> | </v>
      </c>
      <c r="J61" s="67" t="str">
        <f t="shared" si="42"/>
        <v>CM: Chance to drastically increase ship mitigation against Stations for first round OA: Decrease all opponents ships and defence platform damage in Station Combat</v>
      </c>
      <c r="K61" s="81" t="str">
        <f t="shared" ca="1" si="43"/>
        <v/>
      </c>
      <c r="L61" s="81" t="str">
        <f t="shared" ca="1" si="59"/>
        <v/>
      </c>
      <c r="M61" s="78">
        <v>1</v>
      </c>
    </row>
    <row r="62" spans="1:13" x14ac:dyDescent="0.25">
      <c r="A62" s="56" t="s">
        <v>32</v>
      </c>
      <c r="B62" s="56">
        <f t="shared" si="52"/>
        <v>1.5</v>
      </c>
      <c r="C62" s="56">
        <f t="shared" si="53"/>
        <v>3.5</v>
      </c>
      <c r="D62" s="56">
        <f t="shared" si="54"/>
        <v>2.5</v>
      </c>
      <c r="E62" s="56" t="str">
        <f t="shared" si="55"/>
        <v>Captain: Protected Cargo up to 100% - very usefull; Officer: independent Credits are to valuable to max him</v>
      </c>
      <c r="F62" s="29" t="s">
        <v>32</v>
      </c>
      <c r="G62" s="98" t="str">
        <f t="shared" si="56"/>
        <v xml:space="preserve"> | </v>
      </c>
      <c r="H62" s="98" t="str">
        <f t="shared" si="57"/>
        <v xml:space="preserve"> | </v>
      </c>
      <c r="I62" s="98" t="str">
        <f t="shared" si="58"/>
        <v xml:space="preserve"> | </v>
      </c>
      <c r="J62" s="67" t="str">
        <f t="shared" si="42"/>
        <v>CM: Increase Protected Cargo OA: Increase Data Mining Speed</v>
      </c>
      <c r="K62" s="81" t="str">
        <f t="shared" ca="1" si="43"/>
        <v/>
      </c>
      <c r="L62" s="81" t="str">
        <f t="shared" ca="1" si="59"/>
        <v/>
      </c>
    </row>
    <row r="63" spans="1:13" x14ac:dyDescent="0.25">
      <c r="A63" s="56" t="s">
        <v>70</v>
      </c>
      <c r="B63" s="56">
        <f t="shared" si="52"/>
        <v>3</v>
      </c>
      <c r="C63" s="56">
        <f t="shared" si="53"/>
        <v>2</v>
      </c>
      <c r="D63" s="56">
        <f t="shared" si="54"/>
        <v>2.5</v>
      </c>
      <c r="E63" s="56" t="str">
        <f t="shared" si="55"/>
        <v>Captain: **Tooltip Error** ONLY 2 Rounds of Hull Breach; Officer: get him to Rank 3+</v>
      </c>
      <c r="F63" s="29" t="s">
        <v>70</v>
      </c>
      <c r="G63" s="376" t="str">
        <f t="shared" si="56"/>
        <v xml:space="preserve"> | </v>
      </c>
      <c r="H63" s="376" t="str">
        <f t="shared" si="57"/>
        <v xml:space="preserve">Y | </v>
      </c>
      <c r="I63" s="376" t="str">
        <f t="shared" si="58"/>
        <v xml:space="preserve"> | </v>
      </c>
      <c r="J63" s="67" t="str">
        <f t="shared" si="42"/>
        <v>CM: Chance to cause Hull Breach at the start of combat OA: Increase Accuracy by Crews Attack</v>
      </c>
      <c r="K63" s="81" t="str">
        <f t="shared" ca="1" si="43"/>
        <v/>
      </c>
      <c r="L63" s="81" t="str">
        <f t="shared" ca="1" si="59"/>
        <v/>
      </c>
    </row>
    <row r="64" spans="1:13" x14ac:dyDescent="0.25">
      <c r="A64" s="56" t="s">
        <v>56</v>
      </c>
      <c r="B64" s="56">
        <f t="shared" si="52"/>
        <v>4</v>
      </c>
      <c r="C64" s="56">
        <f t="shared" si="53"/>
        <v>3.5</v>
      </c>
      <c r="D64" s="56">
        <f t="shared" si="54"/>
        <v>3.5</v>
      </c>
      <c r="E64" s="56" t="str">
        <f t="shared" si="55"/>
        <v>Capain: Crit Bonus too low; Officer: Base attacks only, works best with Cpt Khan's criticals</v>
      </c>
      <c r="F64" s="29" t="s">
        <v>56</v>
      </c>
      <c r="G64" s="98" t="str">
        <f t="shared" si="56"/>
        <v xml:space="preserve"> | </v>
      </c>
      <c r="H64" s="98" t="str">
        <f t="shared" si="57"/>
        <v xml:space="preserve"> | </v>
      </c>
      <c r="I64" s="98" t="str">
        <f t="shared" si="58"/>
        <v xml:space="preserve"> | </v>
      </c>
      <c r="J64" s="67" t="str">
        <f t="shared" si="42"/>
        <v>CM: Increase Critical Hit Chances against Defence Platforms OA: Increase Critical Hit Damage in Station Combat</v>
      </c>
      <c r="K64" s="81" t="str">
        <f t="shared" ca="1" si="43"/>
        <v/>
      </c>
      <c r="L64" s="81" t="str">
        <f t="shared" ca="1" si="59"/>
        <v/>
      </c>
    </row>
    <row r="65" spans="1:12" x14ac:dyDescent="0.25">
      <c r="A65" s="56" t="s">
        <v>6</v>
      </c>
      <c r="B65" s="56">
        <f t="shared" si="52"/>
        <v>5</v>
      </c>
      <c r="C65" s="56">
        <f t="shared" si="53"/>
        <v>5</v>
      </c>
      <c r="D65" s="56">
        <f t="shared" si="54"/>
        <v>5</v>
      </c>
      <c r="E65" s="56" t="str">
        <f t="shared" si="55"/>
        <v>Officer: Ability now works</v>
      </c>
      <c r="F65" s="29" t="s">
        <v>6</v>
      </c>
      <c r="G65" s="98" t="str">
        <f t="shared" si="56"/>
        <v xml:space="preserve"> | </v>
      </c>
      <c r="H65" s="98" t="str">
        <f t="shared" si="57"/>
        <v xml:space="preserve"> | </v>
      </c>
      <c r="I65" s="98" t="str">
        <f t="shared" si="58"/>
        <v xml:space="preserve"> | </v>
      </c>
      <c r="J65" s="67" t="str">
        <f t="shared" si="42"/>
        <v>CM: Increase Tritanium mining rate OA: Decrease Damage taken when mining (*Bugged*)</v>
      </c>
      <c r="K65" s="81" t="str">
        <f t="shared" ca="1" si="43"/>
        <v/>
      </c>
      <c r="L65" s="81" t="str">
        <f t="shared" ca="1" si="59"/>
        <v/>
      </c>
    </row>
    <row r="66" spans="1:12" x14ac:dyDescent="0.25">
      <c r="A66" s="56" t="s">
        <v>99</v>
      </c>
      <c r="B66" s="56">
        <f t="shared" si="52"/>
        <v>5</v>
      </c>
      <c r="C66" s="56">
        <f t="shared" si="53"/>
        <v>4.5</v>
      </c>
      <c r="D66" s="56">
        <f t="shared" si="54"/>
        <v>4.5</v>
      </c>
      <c r="E66" s="56" t="str">
        <f t="shared" si="55"/>
        <v>Captain &amp; Officer; station only; one of the best blue Defense stats if maxed</v>
      </c>
      <c r="F66" s="29" t="s">
        <v>99</v>
      </c>
      <c r="G66" s="98" t="str">
        <f t="shared" si="56"/>
        <v xml:space="preserve"> | </v>
      </c>
      <c r="H66" s="98" t="str">
        <f t="shared" si="57"/>
        <v xml:space="preserve"> | </v>
      </c>
      <c r="I66" s="98" t="str">
        <f t="shared" si="58"/>
        <v xml:space="preserve"> | </v>
      </c>
      <c r="J66" s="67" t="str">
        <f t="shared" ref="J66:J97" si="76">IF(VLOOKUP(F66,OfficerSkillsFull,33,FALSE)="Y", "BDA: " &amp; VLOOKUP(F66,OfficerSkillsFull,34,FALSE), "CM: " &amp; VLOOKUP(F66,OfficerSkillsFull,9,FALSE)) &amp; " OA: " &amp; VLOOKUP(F66,OfficerSkillsFull,3,FALSE)</f>
        <v>CM: Increase Hull Health as long as ship is in the station OA: Increase Shield Health as long as ship is in the station</v>
      </c>
      <c r="K66" s="81" t="str">
        <f t="shared" ref="K66:K97" ca="1" si="77">IF(VLOOKUP(F66,RankLookup,3,FALSE)=0,"",IF(VLOOKUP(F66,OfficerSkillsFull,33,FALSE)="Y",VLOOKUP(F66,OfficerSkillsFull,34+VLOOKUP(F66,RankLookup,3,FALSE),FALSE),VLOOKUP(F66,OfficerSkillsFull,10,FALSE)))</f>
        <v/>
      </c>
      <c r="L66" s="81" t="str">
        <f t="shared" ca="1" si="59"/>
        <v/>
      </c>
    </row>
    <row r="67" spans="1:12" x14ac:dyDescent="0.25">
      <c r="A67" s="56" t="s">
        <v>49</v>
      </c>
      <c r="B67" s="56">
        <f t="shared" si="52"/>
        <v>2</v>
      </c>
      <c r="C67" s="56">
        <f t="shared" si="53"/>
        <v>2.5</v>
      </c>
      <c r="D67" s="56">
        <f t="shared" si="54"/>
        <v>2</v>
      </c>
      <c r="E67" s="56" t="str">
        <f t="shared" si="55"/>
        <v>Captain: useless!; Officer: crit Bonus gets further boosted by Hull Breach</v>
      </c>
      <c r="F67" s="29" t="s">
        <v>49</v>
      </c>
      <c r="G67" s="212" t="str">
        <f t="shared" si="56"/>
        <v xml:space="preserve"> | </v>
      </c>
      <c r="H67" s="212" t="str">
        <f t="shared" si="57"/>
        <v xml:space="preserve"> | </v>
      </c>
      <c r="I67" s="212" t="str">
        <f t="shared" si="58"/>
        <v xml:space="preserve"> | </v>
      </c>
      <c r="J67" s="67" t="str">
        <f t="shared" si="76"/>
        <v>CM: Increase Dodge when the Shields are deleted OA: Increase Critical Damage with Kinetic Weapons</v>
      </c>
      <c r="K67" s="81" t="str">
        <f t="shared" ca="1" si="77"/>
        <v/>
      </c>
      <c r="L67" s="81" t="str">
        <f t="shared" ca="1" si="59"/>
        <v/>
      </c>
    </row>
    <row r="68" spans="1:12" x14ac:dyDescent="0.25">
      <c r="A68" s="56" t="s">
        <v>66</v>
      </c>
      <c r="B68" s="56">
        <f t="shared" si="52"/>
        <v>1</v>
      </c>
      <c r="C68" s="56">
        <f t="shared" si="53"/>
        <v>1</v>
      </c>
      <c r="D68" s="56">
        <f t="shared" si="54"/>
        <v>1</v>
      </c>
      <c r="E68" s="56" t="str">
        <f t="shared" si="55"/>
        <v>Captain: BEST Base attack captain; Officer: best critical chance bonus in game</v>
      </c>
      <c r="F68" s="29" t="s">
        <v>66</v>
      </c>
      <c r="G68" s="98" t="str">
        <f t="shared" si="56"/>
        <v xml:space="preserve"> | </v>
      </c>
      <c r="H68" s="98" t="str">
        <f t="shared" si="57"/>
        <v xml:space="preserve"> | </v>
      </c>
      <c r="I68" s="98" t="str">
        <f t="shared" si="58"/>
        <v xml:space="preserve"> | </v>
      </c>
      <c r="J68" s="67" t="str">
        <f t="shared" si="76"/>
        <v>CM: Chance to dramatically Decrease opponent's station and ship mitigation for 2 rounds OA: Increase Critical Chances every time the ship gets hit</v>
      </c>
      <c r="K68" s="81" t="str">
        <f t="shared" ca="1" si="77"/>
        <v/>
      </c>
      <c r="L68" s="81" t="str">
        <f t="shared" ca="1" si="59"/>
        <v/>
      </c>
    </row>
    <row r="69" spans="1:12" x14ac:dyDescent="0.25">
      <c r="A69" s="56" t="s">
        <v>68</v>
      </c>
      <c r="B69" s="56">
        <f t="shared" si="52"/>
        <v>1</v>
      </c>
      <c r="C69" s="56">
        <f t="shared" si="53"/>
        <v>1</v>
      </c>
      <c r="D69" s="56">
        <f t="shared" si="54"/>
        <v>1</v>
      </c>
      <c r="E69" s="56" t="str">
        <f t="shared" si="55"/>
        <v>Captain: can generate Temporary Hit points; Officer: BEST morale source in game</v>
      </c>
      <c r="F69" s="29" t="s">
        <v>68</v>
      </c>
      <c r="G69" s="98" t="str">
        <f t="shared" si="56"/>
        <v xml:space="preserve"> | </v>
      </c>
      <c r="H69" s="98" t="str">
        <f t="shared" si="57"/>
        <v xml:space="preserve"> | </v>
      </c>
      <c r="I69" s="98" t="str">
        <f t="shared" si="58"/>
        <v>Y | Y</v>
      </c>
      <c r="J69" s="67" t="str">
        <f t="shared" si="76"/>
        <v>CM: Increase all officer stats when the ship has Morale OA: Chance to inspire Morale to his ship for 2 rounds</v>
      </c>
      <c r="K69" s="81" t="str">
        <f t="shared" ca="1" si="77"/>
        <v/>
      </c>
      <c r="L69" s="81" t="str">
        <f t="shared" ca="1" si="59"/>
        <v/>
      </c>
    </row>
    <row r="70" spans="1:12" x14ac:dyDescent="0.25">
      <c r="A70" s="56" t="s">
        <v>35</v>
      </c>
      <c r="B70" s="56">
        <f t="shared" si="52"/>
        <v>1.5</v>
      </c>
      <c r="C70" s="56">
        <f t="shared" si="53"/>
        <v>4</v>
      </c>
      <c r="D70" s="56">
        <f t="shared" si="54"/>
        <v>2.5</v>
      </c>
      <c r="E70" s="56" t="str">
        <f t="shared" si="55"/>
        <v>Captain: best solo officer speed source!; Officer: critical Damage increase against EVERYTHING</v>
      </c>
      <c r="F70" s="29" t="s">
        <v>35</v>
      </c>
      <c r="G70" s="98" t="str">
        <f t="shared" si="56"/>
        <v xml:space="preserve"> | </v>
      </c>
      <c r="H70" s="98" t="str">
        <f t="shared" si="57"/>
        <v xml:space="preserve"> | </v>
      </c>
      <c r="I70" s="98" t="str">
        <f t="shared" si="58"/>
        <v xml:space="preserve"> | </v>
      </c>
      <c r="J70" s="67" t="str">
        <f t="shared" si="76"/>
        <v>CM: Increase Impulse Speed OA: Increase Critical Hit Damage</v>
      </c>
      <c r="K70" s="81" t="str">
        <f t="shared" ca="1" si="77"/>
        <v/>
      </c>
      <c r="L70" s="81" t="str">
        <f t="shared" ca="1" si="59"/>
        <v/>
      </c>
    </row>
    <row r="71" spans="1:12" x14ac:dyDescent="0.25">
      <c r="A71" s="56" t="s">
        <v>11</v>
      </c>
      <c r="B71" s="56">
        <f t="shared" si="52"/>
        <v>4.5</v>
      </c>
      <c r="C71" s="56">
        <f t="shared" si="53"/>
        <v>5</v>
      </c>
      <c r="D71" s="56">
        <f t="shared" si="54"/>
        <v>4.5</v>
      </c>
      <c r="E71" s="56" t="str">
        <f t="shared" si="55"/>
        <v>Captain &amp; Officer: PvP only, very weak effects</v>
      </c>
      <c r="F71" s="29" t="s">
        <v>11</v>
      </c>
      <c r="G71" s="98" t="str">
        <f t="shared" si="56"/>
        <v xml:space="preserve"> | </v>
      </c>
      <c r="H71" s="98" t="str">
        <f t="shared" si="57"/>
        <v xml:space="preserve"> | </v>
      </c>
      <c r="I71" s="98" t="str">
        <f t="shared" si="58"/>
        <v xml:space="preserve"> | </v>
      </c>
      <c r="J71" s="67" t="str">
        <f t="shared" si="76"/>
        <v>CM: Increase Weapon Damage  of Battleships against players OA: Decrease Kinetic Weapon Damage from enemy players</v>
      </c>
      <c r="K71" s="81" t="str">
        <f t="shared" ca="1" si="77"/>
        <v/>
      </c>
      <c r="L71" s="81" t="str">
        <f t="shared" ca="1" si="59"/>
        <v/>
      </c>
    </row>
    <row r="72" spans="1:12" x14ac:dyDescent="0.25">
      <c r="A72" s="56" t="s">
        <v>36</v>
      </c>
      <c r="B72" s="56">
        <f t="shared" si="52"/>
        <v>4.5</v>
      </c>
      <c r="C72" s="56">
        <f t="shared" si="53"/>
        <v>4.5</v>
      </c>
      <c r="D72" s="56">
        <f t="shared" si="54"/>
        <v>4.5</v>
      </c>
      <c r="E72" s="56" t="str">
        <f t="shared" si="55"/>
        <v>Captain: very small dmg bonus; Officer: don´t bother too much effort for a tiny dmg bonus</v>
      </c>
      <c r="F72" s="29" t="s">
        <v>36</v>
      </c>
      <c r="G72" s="98" t="str">
        <f t="shared" si="56"/>
        <v xml:space="preserve"> | </v>
      </c>
      <c r="H72" s="98" t="str">
        <f t="shared" si="57"/>
        <v xml:space="preserve"> | Y</v>
      </c>
      <c r="I72" s="98" t="str">
        <f t="shared" si="58"/>
        <v xml:space="preserve"> | </v>
      </c>
      <c r="J72" s="67" t="str">
        <f t="shared" si="76"/>
        <v>CM: Increase Repair speed on this ship if it is an Interceptor OA: Increase Kinetic damage while opponent has Hull Breach</v>
      </c>
      <c r="K72" s="81" t="str">
        <f t="shared" ca="1" si="77"/>
        <v/>
      </c>
      <c r="L72" s="81" t="str">
        <f t="shared" ca="1" si="59"/>
        <v/>
      </c>
    </row>
    <row r="73" spans="1:12" x14ac:dyDescent="0.25">
      <c r="A73" s="56" t="s">
        <v>69</v>
      </c>
      <c r="B73" s="56">
        <f t="shared" si="52"/>
        <v>3.5</v>
      </c>
      <c r="C73" s="56">
        <f t="shared" si="53"/>
        <v>3</v>
      </c>
      <c r="D73" s="56">
        <f t="shared" si="54"/>
        <v>3</v>
      </c>
      <c r="E73" s="56" t="str">
        <f t="shared" si="55"/>
        <v>Captain &amp; Officer: PvP only, very weak effects, very good "Lower Deck" Officer</v>
      </c>
      <c r="F73" s="29" t="s">
        <v>69</v>
      </c>
      <c r="G73" s="98" t="str">
        <f t="shared" si="56"/>
        <v xml:space="preserve"> | </v>
      </c>
      <c r="H73" s="98" t="str">
        <f t="shared" si="57"/>
        <v xml:space="preserve"> | </v>
      </c>
      <c r="I73" s="98" t="str">
        <f t="shared" si="58"/>
        <v xml:space="preserve"> | </v>
      </c>
      <c r="J73" s="67" t="str">
        <f t="shared" si="76"/>
        <v>CM: Decrease opponents Captain's Maneuver effectiveness OA: Decrease all the stats of the opponents Bridge Officers</v>
      </c>
      <c r="K73" s="81" t="str">
        <f t="shared" ca="1" si="77"/>
        <v/>
      </c>
      <c r="L73" s="81" t="str">
        <f t="shared" ca="1" si="59"/>
        <v/>
      </c>
    </row>
    <row r="74" spans="1:12" x14ac:dyDescent="0.25">
      <c r="A74" s="56" t="s">
        <v>60</v>
      </c>
      <c r="B74" s="56">
        <f t="shared" si="52"/>
        <v>3.5</v>
      </c>
      <c r="C74" s="56">
        <f t="shared" si="53"/>
        <v>2.5</v>
      </c>
      <c r="D74" s="56">
        <f t="shared" si="54"/>
        <v>3</v>
      </c>
      <c r="E74" s="56" t="str">
        <f t="shared" si="55"/>
        <v>Captain: do not bother; Officer: need to max</v>
      </c>
      <c r="F74" s="29" t="s">
        <v>60</v>
      </c>
      <c r="G74" s="98" t="str">
        <f t="shared" si="56"/>
        <v xml:space="preserve"> | </v>
      </c>
      <c r="H74" s="98" t="str">
        <f t="shared" si="57"/>
        <v xml:space="preserve"> | </v>
      </c>
      <c r="I74" s="98" t="str">
        <f t="shared" si="58"/>
        <v xml:space="preserve"> | </v>
      </c>
      <c r="J74" s="67" t="str">
        <f t="shared" si="76"/>
        <v>CM: Chance to causing Hull Breach for 1 round when receiving Shield Damage OA: Increase Damage to Federation ships by % of crew's Defence</v>
      </c>
      <c r="K74" s="81" t="str">
        <f t="shared" ca="1" si="77"/>
        <v/>
      </c>
      <c r="L74" s="81" t="str">
        <f t="shared" ca="1" si="59"/>
        <v/>
      </c>
    </row>
    <row r="75" spans="1:12" x14ac:dyDescent="0.25">
      <c r="A75" s="56" t="s">
        <v>61</v>
      </c>
      <c r="B75" s="56">
        <f t="shared" si="52"/>
        <v>2</v>
      </c>
      <c r="C75" s="56">
        <f t="shared" si="53"/>
        <v>3</v>
      </c>
      <c r="D75" s="56">
        <f t="shared" si="54"/>
        <v>2.5</v>
      </c>
      <c r="E75" s="56" t="str">
        <f t="shared" si="55"/>
        <v>Captain: increases Attack, Defense, Health stats during Combat - so many uses!; Officer: do not bother</v>
      </c>
      <c r="F75" s="29" t="s">
        <v>61</v>
      </c>
      <c r="G75" s="98" t="str">
        <f t="shared" si="56"/>
        <v xml:space="preserve"> | Y</v>
      </c>
      <c r="H75" s="98" t="str">
        <f t="shared" si="57"/>
        <v xml:space="preserve"> | </v>
      </c>
      <c r="I75" s="98" t="str">
        <f t="shared" si="58"/>
        <v xml:space="preserve"> | </v>
      </c>
      <c r="J75" s="67" t="str">
        <f t="shared" si="76"/>
        <v>CM: Increase Officer Stats each round OA: Increase mitigation when opponent is burning</v>
      </c>
      <c r="K75" s="81" t="str">
        <f t="shared" ca="1" si="77"/>
        <v/>
      </c>
      <c r="L75" s="81" t="str">
        <f t="shared" ca="1" si="59"/>
        <v/>
      </c>
    </row>
    <row r="76" spans="1:12" x14ac:dyDescent="0.25">
      <c r="A76" s="56" t="s">
        <v>100</v>
      </c>
      <c r="B76" s="56">
        <f t="shared" ref="B76:B109" si="78">VLOOKUP(A76,OfficerScores,10,FALSE)</f>
        <v>2.5</v>
      </c>
      <c r="C76" s="56">
        <f t="shared" ref="C76:C109" si="79">VLOOKUP(A76,OfficerScores,18,FALSE)</f>
        <v>2.5</v>
      </c>
      <c r="D76" s="56">
        <f t="shared" ref="D76:D109" si="80">VLOOKUP(A76,OfficerScores,19,FALSE)</f>
        <v>2.5</v>
      </c>
      <c r="E76" s="56" t="str">
        <f t="shared" ref="E76:E109" si="81">VLOOKUP(A76,OfficerScores,20,FALSE)</f>
        <v>Captain: Tooltip completly wrong "after winning battle" not just "after destroying a ship"- High Damage possibilies; Officer: high Impulse bonus</v>
      </c>
      <c r="F76" s="29" t="s">
        <v>100</v>
      </c>
      <c r="G76" s="98" t="str">
        <f t="shared" ref="G76:G109" si="82">IF(VLOOKUP(F76,OfficerSkillsFull,15,FALSE) = 0,"",VLOOKUP(F76,OfficerSkillsFull,15,FALSE)) &amp; " | " &amp; IF(VLOOKUP(F76,OfficerSkillsFull,16,FALSE) = 0,"",VLOOKUP(F76,OfficerSkillsFull,16,FALSE))</f>
        <v xml:space="preserve"> | </v>
      </c>
      <c r="H76" s="98" t="str">
        <f t="shared" ref="H76:H109" si="83">IF(VLOOKUP(F76,OfficerSkillsFull,17,FALSE) = 0,"",VLOOKUP(F76,OfficerSkillsFull,17,FALSE)) &amp; " | " &amp; IF(VLOOKUP(F76,OfficerSkillsFull,18,FALSE) = 0,"",VLOOKUP(F76,OfficerSkillsFull,18,FALSE))</f>
        <v xml:space="preserve"> | </v>
      </c>
      <c r="I76" s="98" t="str">
        <f t="shared" ref="I76:I109" si="84">IF(VLOOKUP(F76,OfficerSkillsFull,19,FALSE) = 0,"",VLOOKUP(F76,OfficerSkillsFull,19,FALSE)) &amp; " | " &amp; IF(VLOOKUP(F76,OfficerSkillsFull,20,FALSE) = 0,"",VLOOKUP(F76,OfficerSkillsFull,20,FALSE))</f>
        <v xml:space="preserve"> | </v>
      </c>
      <c r="J76" s="67" t="str">
        <f t="shared" si="76"/>
        <v>CM: Chance to automatically recharge first kinetic hit OA: Increase Impulse speed after destroying a ship</v>
      </c>
      <c r="K76" s="81" t="str">
        <f t="shared" ca="1" si="77"/>
        <v/>
      </c>
      <c r="L76" s="81" t="str">
        <f t="shared" ref="L76:L109" ca="1" si="85">IF(VLOOKUP(F76,RankLookup,3,FALSE)=0,"",VLOOKUP(F76,OfficerSkillsFull,3+VLOOKUP(F76,RankLookup,3,FALSE),FALSE))</f>
        <v/>
      </c>
    </row>
    <row r="77" spans="1:12" x14ac:dyDescent="0.25">
      <c r="A77" s="56" t="s">
        <v>94</v>
      </c>
      <c r="B77" s="56">
        <f t="shared" si="78"/>
        <v>2</v>
      </c>
      <c r="C77" s="56">
        <f t="shared" si="79"/>
        <v>4.5</v>
      </c>
      <c r="D77" s="56">
        <f t="shared" si="80"/>
        <v>3</v>
      </c>
      <c r="E77" s="56" t="str">
        <f t="shared" si="81"/>
        <v>Hard to get! - Captain ability useful against Eclipse Armadas, can keep you alive for 100 Rounds</v>
      </c>
      <c r="F77" s="29" t="s">
        <v>94</v>
      </c>
      <c r="G77" s="98" t="str">
        <f t="shared" si="82"/>
        <v xml:space="preserve"> | </v>
      </c>
      <c r="H77" s="98" t="str">
        <f t="shared" si="83"/>
        <v xml:space="preserve"> | </v>
      </c>
      <c r="I77" s="98" t="str">
        <f t="shared" si="84"/>
        <v xml:space="preserve"> | </v>
      </c>
      <c r="J77" s="67" t="str">
        <f t="shared" si="76"/>
        <v>CM: Restore Hull Health when under 35% of starting value OA: Increase Ship XP on Battleships</v>
      </c>
      <c r="K77" s="81" t="str">
        <f t="shared" ca="1" si="77"/>
        <v/>
      </c>
      <c r="L77" s="81" t="str">
        <f t="shared" ca="1" si="85"/>
        <v/>
      </c>
    </row>
    <row r="78" spans="1:12" x14ac:dyDescent="0.25">
      <c r="A78" s="56" t="s">
        <v>86</v>
      </c>
      <c r="B78" s="56">
        <f t="shared" si="78"/>
        <v>4.5</v>
      </c>
      <c r="C78" s="56">
        <f t="shared" si="79"/>
        <v>4.5</v>
      </c>
      <c r="D78" s="56">
        <f t="shared" si="80"/>
        <v>4.5</v>
      </c>
      <c r="E78" s="56" t="str">
        <f t="shared" si="81"/>
        <v>Do not bother with this officer</v>
      </c>
      <c r="F78" s="29" t="s">
        <v>86</v>
      </c>
      <c r="G78" s="98" t="str">
        <f t="shared" si="82"/>
        <v xml:space="preserve"> | </v>
      </c>
      <c r="H78" s="98" t="str">
        <f t="shared" si="83"/>
        <v xml:space="preserve"> | </v>
      </c>
      <c r="I78" s="98" t="str">
        <f t="shared" si="84"/>
        <v xml:space="preserve"> | </v>
      </c>
      <c r="J78" s="67" t="str">
        <f t="shared" si="76"/>
        <v>CM: Increase Officers Defence for 1 min after winning OA: Increase Armor by % of total Attack at the start of combat</v>
      </c>
      <c r="K78" s="81" t="str">
        <f t="shared" ca="1" si="77"/>
        <v/>
      </c>
      <c r="L78" s="81" t="str">
        <f t="shared" ca="1" si="85"/>
        <v/>
      </c>
    </row>
    <row r="79" spans="1:12" x14ac:dyDescent="0.25">
      <c r="A79" s="56" t="s">
        <v>58</v>
      </c>
      <c r="B79" s="56">
        <f t="shared" si="78"/>
        <v>2.5</v>
      </c>
      <c r="C79" s="56">
        <f t="shared" si="79"/>
        <v>3</v>
      </c>
      <c r="D79" s="56">
        <f t="shared" si="80"/>
        <v>2.5</v>
      </c>
      <c r="E79" s="56" t="str">
        <f t="shared" si="81"/>
        <v>Captain: nope; Officer: good hull increase; One of the highest possible (blue Officer) stats for Health</v>
      </c>
      <c r="F79" s="29" t="s">
        <v>58</v>
      </c>
      <c r="G79" s="98" t="str">
        <f t="shared" si="82"/>
        <v xml:space="preserve"> | </v>
      </c>
      <c r="H79" s="98" t="str">
        <f t="shared" si="83"/>
        <v xml:space="preserve"> | </v>
      </c>
      <c r="I79" s="98" t="str">
        <f t="shared" si="84"/>
        <v xml:space="preserve"> | </v>
      </c>
      <c r="J79" s="67" t="str">
        <f t="shared" si="76"/>
        <v>CM: Increase repair speed on this ship if it is a Battleship OA: Increase ship's max Hull Health if it is a Battleship</v>
      </c>
      <c r="K79" s="81" t="str">
        <f t="shared" ca="1" si="77"/>
        <v/>
      </c>
      <c r="L79" s="81" t="str">
        <f t="shared" ca="1" si="85"/>
        <v/>
      </c>
    </row>
    <row r="80" spans="1:12" x14ac:dyDescent="0.25">
      <c r="A80" s="56" t="s">
        <v>37</v>
      </c>
      <c r="B80" s="56">
        <f t="shared" si="78"/>
        <v>4</v>
      </c>
      <c r="C80" s="56">
        <f t="shared" si="79"/>
        <v>2.5</v>
      </c>
      <c r="D80" s="56">
        <f t="shared" si="80"/>
        <v>3</v>
      </c>
      <c r="E80" s="56" t="str">
        <f t="shared" si="81"/>
        <v>Captain: do not bother; Officer: need to max</v>
      </c>
      <c r="F80" s="29" t="s">
        <v>37</v>
      </c>
      <c r="G80" s="98" t="str">
        <f t="shared" si="82"/>
        <v xml:space="preserve"> | </v>
      </c>
      <c r="H80" s="98" t="str">
        <f t="shared" si="83"/>
        <v xml:space="preserve"> | </v>
      </c>
      <c r="I80" s="98" t="str">
        <f t="shared" si="84"/>
        <v xml:space="preserve"> | </v>
      </c>
      <c r="J80" s="67" t="str">
        <f t="shared" si="76"/>
        <v>CM: Increase Health of Bridge Officers OA: Increase Damage Against Klingon ships by % of crew's Attack</v>
      </c>
      <c r="K80" s="81" t="str">
        <f t="shared" ca="1" si="77"/>
        <v/>
      </c>
      <c r="L80" s="81" t="str">
        <f t="shared" ca="1" si="85"/>
        <v/>
      </c>
    </row>
    <row r="81" spans="1:12" x14ac:dyDescent="0.25">
      <c r="A81" s="56" t="s">
        <v>103</v>
      </c>
      <c r="B81" s="56">
        <f t="shared" si="78"/>
        <v>1.5</v>
      </c>
      <c r="C81" s="56">
        <f t="shared" si="79"/>
        <v>1.5</v>
      </c>
      <c r="D81" s="56">
        <f t="shared" si="80"/>
        <v>1.5</v>
      </c>
      <c r="E81" s="56" t="str">
        <f t="shared" si="81"/>
        <v>Captain: PvP only - decent dmg reduction; Officer: best possible "Hull Breach" source - recommend Rank 3</v>
      </c>
      <c r="F81" s="29" t="s">
        <v>103</v>
      </c>
      <c r="G81" s="98" t="str">
        <f t="shared" si="82"/>
        <v xml:space="preserve"> | </v>
      </c>
      <c r="H81" s="98" t="str">
        <f t="shared" si="83"/>
        <v>Y | Y</v>
      </c>
      <c r="I81" s="98" t="str">
        <f t="shared" si="84"/>
        <v xml:space="preserve"> | </v>
      </c>
      <c r="J81" s="67" t="str">
        <f t="shared" si="76"/>
        <v>CM: Decrease opponents damge if they have Hull Breach OA: Chance to inflict Hull Breach</v>
      </c>
      <c r="K81" s="81" t="str">
        <f t="shared" ca="1" si="77"/>
        <v/>
      </c>
      <c r="L81" s="81" t="str">
        <f t="shared" ca="1" si="85"/>
        <v/>
      </c>
    </row>
    <row r="82" spans="1:12" x14ac:dyDescent="0.25">
      <c r="A82" s="56" t="s">
        <v>1934</v>
      </c>
      <c r="B82" s="56">
        <f t="shared" ref="B82" si="86">VLOOKUP(A82,OfficerScores,10,FALSE)</f>
        <v>5</v>
      </c>
      <c r="C82" s="56">
        <f t="shared" ref="C82" si="87">VLOOKUP(A82,OfficerScores,18,FALSE)</f>
        <v>5</v>
      </c>
      <c r="D82" s="56">
        <f t="shared" ref="D82" si="88">VLOOKUP(A82,OfficerScores,19,FALSE)</f>
        <v>5</v>
      </c>
      <c r="E82" s="56" t="str">
        <f t="shared" ref="E82" si="89">VLOOKUP(A82,OfficerScores,20,FALSE)</f>
        <v>Captain: Decrease Cloaking cooldown; Officer: Decreases player opponent's damage by a small amount to base.</v>
      </c>
      <c r="F82" s="29" t="s">
        <v>1934</v>
      </c>
      <c r="G82" s="479" t="str">
        <f t="shared" ref="G82" si="90">IF(VLOOKUP(F82,OfficerSkillsFull,15,FALSE) = 0,"",VLOOKUP(F82,OfficerSkillsFull,15,FALSE)) &amp; " | " &amp; IF(VLOOKUP(F82,OfficerSkillsFull,16,FALSE) = 0,"",VLOOKUP(F82,OfficerSkillsFull,16,FALSE))</f>
        <v xml:space="preserve"> | </v>
      </c>
      <c r="H82" s="479" t="str">
        <f t="shared" ref="H82" si="91">IF(VLOOKUP(F82,OfficerSkillsFull,17,FALSE) = 0,"",VLOOKUP(F82,OfficerSkillsFull,17,FALSE)) &amp; " | " &amp; IF(VLOOKUP(F82,OfficerSkillsFull,18,FALSE) = 0,"",VLOOKUP(F82,OfficerSkillsFull,18,FALSE))</f>
        <v xml:space="preserve"> | </v>
      </c>
      <c r="I82" s="479" t="str">
        <f t="shared" ref="I82" si="92">IF(VLOOKUP(F82,OfficerSkillsFull,19,FALSE) = 0,"",VLOOKUP(F82,OfficerSkillsFull,19,FALSE)) &amp; " | " &amp; IF(VLOOKUP(F82,OfficerSkillsFull,20,FALSE) = 0,"",VLOOKUP(F82,OfficerSkillsFull,20,FALSE))</f>
        <v xml:space="preserve"> | </v>
      </c>
      <c r="J82" s="67" t="str">
        <f t="shared" si="76"/>
        <v>CM: When on a ship that can use cloaking, Lursa decreases the cloaking cooldown OA: When attacking other players, Lursa decreases the opponent's Weapon Damage</v>
      </c>
      <c r="K82" s="81" t="str">
        <f t="shared" ca="1" si="77"/>
        <v/>
      </c>
      <c r="L82" s="81" t="str">
        <f t="shared" ref="L82" ca="1" si="93">IF(VLOOKUP(F82,RankLookup,3,FALSE)=0,"",VLOOKUP(F82,OfficerSkillsFull,3+VLOOKUP(F82,RankLookup,3,FALSE),FALSE))</f>
        <v/>
      </c>
    </row>
    <row r="83" spans="1:12" x14ac:dyDescent="0.25">
      <c r="A83" s="56" t="s">
        <v>251</v>
      </c>
      <c r="B83" s="56">
        <f t="shared" si="78"/>
        <v>2</v>
      </c>
      <c r="C83" s="56">
        <f t="shared" si="79"/>
        <v>2.5</v>
      </c>
      <c r="D83" s="56">
        <f t="shared" si="80"/>
        <v>2</v>
      </c>
      <c r="E83" s="56" t="str">
        <f t="shared" si="81"/>
        <v>Captain: 10% to 50% mining speed increase for everything is always useful; Officer: Iso-mining only</v>
      </c>
      <c r="F83" s="29" t="s">
        <v>251</v>
      </c>
      <c r="G83" s="98" t="str">
        <f t="shared" si="82"/>
        <v xml:space="preserve"> | </v>
      </c>
      <c r="H83" s="98" t="str">
        <f t="shared" si="83"/>
        <v xml:space="preserve"> | </v>
      </c>
      <c r="I83" s="98" t="str">
        <f t="shared" si="84"/>
        <v xml:space="preserve"> | </v>
      </c>
      <c r="J83" s="67" t="str">
        <f t="shared" si="76"/>
        <v>CM: Increase Mining Speed (All) OA: Increase Mining Speed (Isogen)</v>
      </c>
      <c r="K83" s="81" t="str">
        <f t="shared" ca="1" si="77"/>
        <v/>
      </c>
      <c r="L83" s="81" t="str">
        <f t="shared" ca="1" si="85"/>
        <v/>
      </c>
    </row>
    <row r="84" spans="1:12" x14ac:dyDescent="0.25">
      <c r="A84" s="56" t="s">
        <v>51</v>
      </c>
      <c r="B84" s="56">
        <f t="shared" si="78"/>
        <v>3</v>
      </c>
      <c r="C84" s="56">
        <f t="shared" si="79"/>
        <v>3</v>
      </c>
      <c r="D84" s="56">
        <f t="shared" si="80"/>
        <v>3</v>
      </c>
      <c r="E84" s="56" t="str">
        <f t="shared" si="81"/>
        <v>Captain: do not bother; Officer: loses ALOT of effiency in PvP</v>
      </c>
      <c r="F84" s="29" t="s">
        <v>51</v>
      </c>
      <c r="G84" s="98" t="str">
        <f t="shared" si="82"/>
        <v xml:space="preserve"> | </v>
      </c>
      <c r="H84" s="98" t="str">
        <f t="shared" si="83"/>
        <v xml:space="preserve"> | Y</v>
      </c>
      <c r="I84" s="98" t="str">
        <f t="shared" si="84"/>
        <v xml:space="preserve"> | </v>
      </c>
      <c r="J84" s="67" t="str">
        <f t="shared" si="76"/>
        <v>CM: Increase Damage against Interceptors OA: Decrease opponent's dodge every round when it has Hull Breach</v>
      </c>
      <c r="K84" s="81" t="str">
        <f t="shared" ca="1" si="77"/>
        <v/>
      </c>
      <c r="L84" s="81" t="str">
        <f t="shared" ca="1" si="85"/>
        <v/>
      </c>
    </row>
    <row r="85" spans="1:12" x14ac:dyDescent="0.25">
      <c r="A85" s="56" t="s">
        <v>83</v>
      </c>
      <c r="B85" s="56">
        <f t="shared" si="78"/>
        <v>2.5</v>
      </c>
      <c r="C85" s="56">
        <f t="shared" si="79"/>
        <v>1.5</v>
      </c>
      <c r="D85" s="56">
        <f t="shared" si="80"/>
        <v>2</v>
      </c>
      <c r="E85" s="56" t="str">
        <f t="shared" si="81"/>
        <v>Captain: can be hard to activate him; Officer: get the Officer to Rank 3 before you use him</v>
      </c>
      <c r="F85" s="29" t="s">
        <v>83</v>
      </c>
      <c r="G85" s="98" t="str">
        <f t="shared" si="82"/>
        <v xml:space="preserve"> | </v>
      </c>
      <c r="H85" s="98" t="str">
        <f t="shared" si="83"/>
        <v xml:space="preserve"> | </v>
      </c>
      <c r="I85" s="98" t="str">
        <f t="shared" si="84"/>
        <v xml:space="preserve">Y | </v>
      </c>
      <c r="J85" s="67" t="str">
        <f t="shared" si="76"/>
        <v>CM: Chance to inspire morale when opponent's HHP is under 80% OA: Increase Shield piercing by crew's Defence</v>
      </c>
      <c r="K85" s="81" t="str">
        <f t="shared" ca="1" si="77"/>
        <v/>
      </c>
      <c r="L85" s="81" t="str">
        <f t="shared" ca="1" si="85"/>
        <v/>
      </c>
    </row>
    <row r="86" spans="1:12" x14ac:dyDescent="0.25">
      <c r="A86" s="56" t="s">
        <v>62</v>
      </c>
      <c r="B86" s="56">
        <f t="shared" si="78"/>
        <v>3</v>
      </c>
      <c r="C86" s="56">
        <f t="shared" si="79"/>
        <v>3.5</v>
      </c>
      <c r="D86" s="56">
        <f t="shared" si="80"/>
        <v>3</v>
      </c>
      <c r="E86" s="56" t="str">
        <f t="shared" si="81"/>
        <v>Do not bother with this officer</v>
      </c>
      <c r="F86" s="29" t="s">
        <v>62</v>
      </c>
      <c r="G86" s="98" t="str">
        <f t="shared" si="82"/>
        <v xml:space="preserve"> | </v>
      </c>
      <c r="H86" s="98" t="str">
        <f t="shared" si="83"/>
        <v xml:space="preserve"> | </v>
      </c>
      <c r="I86" s="98" t="str">
        <f t="shared" si="84"/>
        <v xml:space="preserve"> | </v>
      </c>
      <c r="J86" s="67" t="str">
        <f t="shared" si="76"/>
        <v>CM: Increase Ships repair speed OA: Increase ships Captain's stats</v>
      </c>
      <c r="K86" s="81" t="str">
        <f t="shared" ca="1" si="77"/>
        <v/>
      </c>
      <c r="L86" s="81" t="str">
        <f t="shared" ca="1" si="85"/>
        <v/>
      </c>
    </row>
    <row r="87" spans="1:12" x14ac:dyDescent="0.25">
      <c r="A87" s="56" t="s">
        <v>1849</v>
      </c>
      <c r="B87" s="56">
        <f t="shared" ref="B87" si="94">VLOOKUP(A87,OfficerScores,10,FALSE)</f>
        <v>4</v>
      </c>
      <c r="C87" s="56">
        <f t="shared" ref="C87" si="95">VLOOKUP(A87,OfficerScores,18,FALSE)</f>
        <v>2.5</v>
      </c>
      <c r="D87" s="56">
        <f t="shared" ref="D87" si="96">VLOOKUP(A87,OfficerScores,19,FALSE)</f>
        <v>3</v>
      </c>
      <c r="E87" s="56" t="str">
        <f t="shared" ref="E87" si="97">VLOOKUP(A87,OfficerScores,20,FALSE)</f>
        <v>Captain: Small increase to Kinetic weapon damage; Officer: Anti Trinitiy officer to counter Accuracy, increases Dodge based on officer defence.</v>
      </c>
      <c r="F87" s="29" t="s">
        <v>1849</v>
      </c>
      <c r="G87" s="462" t="str">
        <f t="shared" ref="G87" si="98">IF(VLOOKUP(F87,OfficerSkillsFull,15,FALSE) = 0,"",VLOOKUP(F87,OfficerSkillsFull,15,FALSE)) &amp; " | " &amp; IF(VLOOKUP(F87,OfficerSkillsFull,16,FALSE) = 0,"",VLOOKUP(F87,OfficerSkillsFull,16,FALSE))</f>
        <v xml:space="preserve"> | </v>
      </c>
      <c r="H87" s="462" t="str">
        <f t="shared" ref="H87" si="99">IF(VLOOKUP(F87,OfficerSkillsFull,17,FALSE) = 0,"",VLOOKUP(F87,OfficerSkillsFull,17,FALSE)) &amp; " | " &amp; IF(VLOOKUP(F87,OfficerSkillsFull,18,FALSE) = 0,"",VLOOKUP(F87,OfficerSkillsFull,18,FALSE))</f>
        <v xml:space="preserve"> | </v>
      </c>
      <c r="I87" s="462" t="str">
        <f t="shared" ref="I87" si="100">IF(VLOOKUP(F87,OfficerSkillsFull,19,FALSE) = 0,"",VLOOKUP(F87,OfficerSkillsFull,19,FALSE)) &amp; " | " &amp; IF(VLOOKUP(F87,OfficerSkillsFull,20,FALSE) = 0,"",VLOOKUP(F87,OfficerSkillsFull,20,FALSE))</f>
        <v xml:space="preserve"> | </v>
      </c>
      <c r="J87" s="67" t="str">
        <f t="shared" si="76"/>
        <v>CM: Increase Kinetic Weapon Damage OA: Increase ship's Dodge by Defence of crew</v>
      </c>
      <c r="K87" s="81" t="str">
        <f t="shared" ca="1" si="77"/>
        <v/>
      </c>
      <c r="L87" s="81" t="str">
        <f t="shared" ref="L87" ca="1" si="101">IF(VLOOKUP(F87,RankLookup,3,FALSE)=0,"",VLOOKUP(F87,OfficerSkillsFull,3+VLOOKUP(F87,RankLookup,3,FALSE),FALSE))</f>
        <v/>
      </c>
    </row>
    <row r="88" spans="1:12" x14ac:dyDescent="0.25">
      <c r="A88" s="56" t="s">
        <v>52</v>
      </c>
      <c r="B88" s="56">
        <f t="shared" si="78"/>
        <v>5</v>
      </c>
      <c r="C88" s="56">
        <f t="shared" si="79"/>
        <v>5</v>
      </c>
      <c r="D88" s="56">
        <f t="shared" si="80"/>
        <v>5</v>
      </c>
      <c r="E88" s="56" t="str">
        <f t="shared" si="81"/>
        <v>Do not bother with this officer</v>
      </c>
      <c r="F88" s="29" t="s">
        <v>52</v>
      </c>
      <c r="G88" s="98" t="str">
        <f t="shared" si="82"/>
        <v xml:space="preserve"> | </v>
      </c>
      <c r="H88" s="98" t="str">
        <f t="shared" si="83"/>
        <v xml:space="preserve"> | </v>
      </c>
      <c r="I88" s="98" t="str">
        <f t="shared" si="84"/>
        <v xml:space="preserve"> | </v>
      </c>
      <c r="J88" s="67" t="str">
        <f t="shared" si="76"/>
        <v>CM: Increase Armor Piercing, Shield Piercing and Accuracy when defending the Station OA: Increase Mitigation when defending the Station</v>
      </c>
      <c r="K88" s="81" t="str">
        <f t="shared" ca="1" si="77"/>
        <v/>
      </c>
      <c r="L88" s="81" t="str">
        <f t="shared" ca="1" si="85"/>
        <v/>
      </c>
    </row>
    <row r="89" spans="1:12" x14ac:dyDescent="0.25">
      <c r="A89" s="56" t="s">
        <v>105</v>
      </c>
      <c r="B89" s="56">
        <f t="shared" si="78"/>
        <v>2</v>
      </c>
      <c r="C89" s="56">
        <f t="shared" si="79"/>
        <v>2.5</v>
      </c>
      <c r="D89" s="56">
        <f t="shared" si="80"/>
        <v>2</v>
      </c>
      <c r="E89" s="56" t="str">
        <f t="shared" si="81"/>
        <v>Captain: speed boost; Officer: get Rank 5; Ship Firing Pattern is important , feed alot of Attack 30.000+</v>
      </c>
      <c r="F89" s="29" t="s">
        <v>105</v>
      </c>
      <c r="G89" s="98" t="str">
        <f t="shared" si="82"/>
        <v xml:space="preserve"> | </v>
      </c>
      <c r="H89" s="98" t="str">
        <f t="shared" si="83"/>
        <v xml:space="preserve"> | </v>
      </c>
      <c r="I89" s="98" t="str">
        <f t="shared" si="84"/>
        <v xml:space="preserve"> | </v>
      </c>
      <c r="J89" s="67" t="str">
        <f t="shared" si="76"/>
        <v xml:space="preserve">CM: Increase Impulse Speed OA: Decrease opponent's SHP by % Crew's Attack </v>
      </c>
      <c r="K89" s="81" t="str">
        <f t="shared" ca="1" si="77"/>
        <v/>
      </c>
      <c r="L89" s="81" t="str">
        <f t="shared" ca="1" si="85"/>
        <v/>
      </c>
    </row>
    <row r="90" spans="1:12" x14ac:dyDescent="0.25">
      <c r="A90" s="56" t="s">
        <v>63</v>
      </c>
      <c r="B90" s="56">
        <f t="shared" si="78"/>
        <v>3.5</v>
      </c>
      <c r="C90" s="56">
        <f t="shared" si="79"/>
        <v>2.5</v>
      </c>
      <c r="D90" s="56">
        <f t="shared" si="80"/>
        <v>3</v>
      </c>
      <c r="E90" s="56" t="str">
        <f t="shared" si="81"/>
        <v>Captain: one Round Burning; Officer: max the officer</v>
      </c>
      <c r="F90" s="29" t="s">
        <v>63</v>
      </c>
      <c r="G90" s="98" t="str">
        <f t="shared" si="82"/>
        <v xml:space="preserve">Y | </v>
      </c>
      <c r="H90" s="98" t="str">
        <f t="shared" si="83"/>
        <v xml:space="preserve"> | </v>
      </c>
      <c r="I90" s="98" t="str">
        <f t="shared" si="84"/>
        <v xml:space="preserve"> | </v>
      </c>
      <c r="J90" s="67" t="str">
        <f t="shared" si="76"/>
        <v>CM: Chance to cause burning for 1 round when ship is hit OA: Increase Damage against Federation by % of crew's Defence</v>
      </c>
      <c r="K90" s="81" t="str">
        <f t="shared" ca="1" si="77"/>
        <v/>
      </c>
      <c r="L90" s="81" t="str">
        <f t="shared" ca="1" si="85"/>
        <v/>
      </c>
    </row>
    <row r="91" spans="1:12" x14ac:dyDescent="0.25">
      <c r="A91" s="56" t="s">
        <v>81</v>
      </c>
      <c r="B91" s="56">
        <f t="shared" si="78"/>
        <v>3.5</v>
      </c>
      <c r="C91" s="56">
        <f t="shared" si="79"/>
        <v>3</v>
      </c>
      <c r="D91" s="56">
        <f t="shared" si="80"/>
        <v>3</v>
      </c>
      <c r="E91" s="56" t="str">
        <f t="shared" si="81"/>
        <v>Captain: **Buggy** - affects only Bridge Crew; Officer: Terrible any Dmg bonus resets each round</v>
      </c>
      <c r="F91" s="29" t="s">
        <v>81</v>
      </c>
      <c r="G91" s="98" t="str">
        <f t="shared" si="82"/>
        <v xml:space="preserve"> | </v>
      </c>
      <c r="H91" s="98" t="str">
        <f t="shared" si="83"/>
        <v xml:space="preserve"> | </v>
      </c>
      <c r="I91" s="98" t="str">
        <f t="shared" si="84"/>
        <v xml:space="preserve"> | </v>
      </c>
      <c r="J91" s="67" t="str">
        <f t="shared" si="76"/>
        <v>CM: Increasae all officer stats on board when defending a station OA: Increase Damage for 1 round when hit by a critical</v>
      </c>
      <c r="K91" s="81" t="str">
        <f t="shared" ca="1" si="77"/>
        <v/>
      </c>
      <c r="L91" s="81" t="str">
        <f t="shared" ca="1" si="85"/>
        <v/>
      </c>
    </row>
    <row r="92" spans="1:12" x14ac:dyDescent="0.25">
      <c r="A92" s="56" t="s">
        <v>64</v>
      </c>
      <c r="B92" s="56">
        <f t="shared" si="78"/>
        <v>1</v>
      </c>
      <c r="C92" s="56">
        <f t="shared" si="79"/>
        <v>2</v>
      </c>
      <c r="D92" s="56">
        <f t="shared" si="80"/>
        <v>1.5</v>
      </c>
      <c r="E92" s="56" t="str">
        <f t="shared" si="81"/>
        <v>Captain: good shield glitch - any fight doubles your shield capacity; Officer: increase your defense mitigation</v>
      </c>
      <c r="F92" s="29" t="s">
        <v>64</v>
      </c>
      <c r="G92" s="98" t="str">
        <f t="shared" si="82"/>
        <v xml:space="preserve"> | </v>
      </c>
      <c r="H92" s="98" t="str">
        <f t="shared" si="83"/>
        <v xml:space="preserve"> | </v>
      </c>
      <c r="I92" s="98" t="str">
        <f t="shared" si="84"/>
        <v xml:space="preserve"> | </v>
      </c>
      <c r="J92" s="67" t="str">
        <f t="shared" si="76"/>
        <v>CM: % Shield healed after winning OA: Decrease hostile penetration</v>
      </c>
      <c r="K92" s="81" t="str">
        <f t="shared" ca="1" si="77"/>
        <v/>
      </c>
      <c r="L92" s="81" t="str">
        <f t="shared" ca="1" si="85"/>
        <v/>
      </c>
    </row>
    <row r="93" spans="1:12" x14ac:dyDescent="0.25">
      <c r="A93" s="56" t="s">
        <v>38</v>
      </c>
      <c r="B93" s="56">
        <f t="shared" si="78"/>
        <v>4.5</v>
      </c>
      <c r="C93" s="56">
        <f t="shared" si="79"/>
        <v>4.5</v>
      </c>
      <c r="D93" s="56">
        <f t="shared" si="80"/>
        <v>4.5</v>
      </c>
      <c r="E93" s="56" t="str">
        <f t="shared" si="81"/>
        <v>Captain: only small Armor Piercing bonus; Officer: officer base attack value boost (** Broken Bridge Only**)</v>
      </c>
      <c r="F93" s="29" t="s">
        <v>38</v>
      </c>
      <c r="G93" s="98" t="str">
        <f t="shared" si="82"/>
        <v xml:space="preserve"> | </v>
      </c>
      <c r="H93" s="98" t="str">
        <f t="shared" si="83"/>
        <v xml:space="preserve"> | </v>
      </c>
      <c r="I93" s="98" t="str">
        <f t="shared" si="84"/>
        <v xml:space="preserve"> | </v>
      </c>
      <c r="J93" s="67" t="str">
        <f t="shared" si="76"/>
        <v>CM: Increase Armor Piercing OA: Increase Attack of crew (**Broken Bridge Only**)</v>
      </c>
      <c r="K93" s="81" t="str">
        <f t="shared" ca="1" si="77"/>
        <v/>
      </c>
      <c r="L93" s="81" t="str">
        <f t="shared" ca="1" si="85"/>
        <v/>
      </c>
    </row>
    <row r="94" spans="1:12" x14ac:dyDescent="0.25">
      <c r="A94" s="56" t="s">
        <v>106</v>
      </c>
      <c r="B94" s="56">
        <f t="shared" si="78"/>
        <v>3.5</v>
      </c>
      <c r="C94" s="56">
        <f t="shared" si="79"/>
        <v>3.5</v>
      </c>
      <c r="D94" s="56">
        <f t="shared" si="80"/>
        <v>3.5</v>
      </c>
      <c r="E94" s="56" t="str">
        <f t="shared" si="81"/>
        <v>Captain: terrible Armada damage reduction ; Officer: only usefull with a maxed Eurydice</v>
      </c>
      <c r="F94" s="29" t="s">
        <v>106</v>
      </c>
      <c r="G94" s="98" t="str">
        <f t="shared" si="82"/>
        <v xml:space="preserve"> | </v>
      </c>
      <c r="H94" s="98" t="str">
        <f t="shared" si="83"/>
        <v xml:space="preserve"> | </v>
      </c>
      <c r="I94" s="98" t="str">
        <f t="shared" si="84"/>
        <v xml:space="preserve"> | </v>
      </c>
      <c r="J94" s="67" t="str">
        <f t="shared" si="76"/>
        <v>CM: Decrease Armada Target Weapon Damage when taking damage OA: Increase damage when shields are depleted</v>
      </c>
      <c r="K94" s="81" t="str">
        <f t="shared" ca="1" si="77"/>
        <v/>
      </c>
      <c r="L94" s="81" t="str">
        <f t="shared" ca="1" si="85"/>
        <v/>
      </c>
    </row>
    <row r="95" spans="1:12" x14ac:dyDescent="0.25">
      <c r="A95" s="56" t="s">
        <v>77</v>
      </c>
      <c r="B95" s="56">
        <f t="shared" si="78"/>
        <v>4</v>
      </c>
      <c r="C95" s="56">
        <f t="shared" si="79"/>
        <v>4</v>
      </c>
      <c r="D95" s="56">
        <f t="shared" si="80"/>
        <v>4</v>
      </c>
      <c r="E95" s="56" t="str">
        <f t="shared" si="81"/>
        <v>Do not bother with this officer</v>
      </c>
      <c r="F95" s="29" t="s">
        <v>77</v>
      </c>
      <c r="G95" s="98" t="str">
        <f t="shared" si="82"/>
        <v xml:space="preserve"> | </v>
      </c>
      <c r="H95" s="98" t="str">
        <f t="shared" si="83"/>
        <v xml:space="preserve"> | Y</v>
      </c>
      <c r="I95" s="98" t="str">
        <f t="shared" si="84"/>
        <v xml:space="preserve"> | </v>
      </c>
      <c r="J95" s="67" t="str">
        <f t="shared" si="76"/>
        <v>CM: Increase Critical Damage when own ship has Hull Breach OA: Increase mitigation when own ship has hull breach</v>
      </c>
      <c r="K95" s="81" t="str">
        <f t="shared" ca="1" si="77"/>
        <v/>
      </c>
      <c r="L95" s="81" t="str">
        <f t="shared" ca="1" si="85"/>
        <v/>
      </c>
    </row>
    <row r="96" spans="1:12" x14ac:dyDescent="0.25">
      <c r="A96" s="56" t="s">
        <v>50</v>
      </c>
      <c r="B96" s="56">
        <f t="shared" si="78"/>
        <v>3</v>
      </c>
      <c r="C96" s="56">
        <f t="shared" si="79"/>
        <v>2</v>
      </c>
      <c r="D96" s="56">
        <f t="shared" si="80"/>
        <v>2.5</v>
      </c>
      <c r="E96" s="56" t="str">
        <f t="shared" si="81"/>
        <v>Captain: you never use it; Officer: Burning Source, every other round - very good Health stats</v>
      </c>
      <c r="F96" s="29" t="s">
        <v>50</v>
      </c>
      <c r="G96" s="98" t="str">
        <f t="shared" si="82"/>
        <v>Y | Y</v>
      </c>
      <c r="H96" s="98" t="str">
        <f t="shared" si="83"/>
        <v xml:space="preserve"> | </v>
      </c>
      <c r="I96" s="98" t="str">
        <f t="shared" si="84"/>
        <v xml:space="preserve"> | </v>
      </c>
      <c r="J96" s="67" t="str">
        <f t="shared" si="76"/>
        <v>CM: Increase Damage when opponent's ship is Burning OA: Chance to cause Burning when hitting enemy</v>
      </c>
      <c r="K96" s="81" t="str">
        <f t="shared" ca="1" si="77"/>
        <v/>
      </c>
      <c r="L96" s="81" t="str">
        <f t="shared" ca="1" si="85"/>
        <v/>
      </c>
    </row>
    <row r="97" spans="1:12" x14ac:dyDescent="0.25">
      <c r="A97" s="56" t="s">
        <v>734</v>
      </c>
      <c r="B97" s="56">
        <f t="shared" si="78"/>
        <v>1.5</v>
      </c>
      <c r="C97" s="56">
        <f t="shared" si="79"/>
        <v>1</v>
      </c>
      <c r="D97" s="56">
        <f t="shared" si="80"/>
        <v>1</v>
      </c>
      <c r="E97" s="56" t="str">
        <f t="shared" si="81"/>
        <v>Same as Cadet McCoy</v>
      </c>
      <c r="F97" s="29" t="s">
        <v>734</v>
      </c>
      <c r="G97" s="98" t="str">
        <f t="shared" si="82"/>
        <v xml:space="preserve"> | </v>
      </c>
      <c r="H97" s="98" t="str">
        <f t="shared" si="83"/>
        <v xml:space="preserve"> | </v>
      </c>
      <c r="I97" s="98" t="str">
        <f t="shared" si="84"/>
        <v xml:space="preserve"> | </v>
      </c>
      <c r="J97" s="67" t="str">
        <f t="shared" si="76"/>
        <v>CM: Increase Health of all Officers on the ship OA: Increase Captains Maneuver</v>
      </c>
      <c r="K97" s="81" t="str">
        <f t="shared" ca="1" si="77"/>
        <v/>
      </c>
      <c r="L97" s="81" t="str">
        <f t="shared" ca="1" si="85"/>
        <v/>
      </c>
    </row>
    <row r="98" spans="1:12" x14ac:dyDescent="0.25">
      <c r="A98" s="56" t="s">
        <v>736</v>
      </c>
      <c r="B98" s="56">
        <f t="shared" si="78"/>
        <v>2</v>
      </c>
      <c r="C98" s="56">
        <f t="shared" si="79"/>
        <v>1.5</v>
      </c>
      <c r="D98" s="56">
        <f t="shared" si="80"/>
        <v>1.5</v>
      </c>
      <c r="E98" s="56" t="str">
        <f t="shared" si="81"/>
        <v>Same as Cadet Kirk</v>
      </c>
      <c r="F98" s="29" t="s">
        <v>736</v>
      </c>
      <c r="G98" s="98" t="str">
        <f t="shared" si="82"/>
        <v xml:space="preserve"> | </v>
      </c>
      <c r="H98" s="98" t="str">
        <f t="shared" si="83"/>
        <v xml:space="preserve"> | </v>
      </c>
      <c r="I98" s="98" t="str">
        <f t="shared" si="84"/>
        <v xml:space="preserve"> | </v>
      </c>
      <c r="J98" s="67" t="str">
        <f t="shared" ref="J98:J129" si="102">IF(VLOOKUP(F98,OfficerSkillsFull,33,FALSE)="Y", "BDA: " &amp; VLOOKUP(F98,OfficerSkillsFull,34,FALSE), "CM: " &amp; VLOOKUP(F98,OfficerSkillsFull,9,FALSE)) &amp; " OA: " &amp; VLOOKUP(F98,OfficerSkillsFull,3,FALSE)</f>
        <v>CM: Increase all Officer stats on Bridge OA: Increase Weapon Damage</v>
      </c>
      <c r="K98" s="81" t="str">
        <f t="shared" ref="K98:K129" ca="1" si="103">IF(VLOOKUP(F98,RankLookup,3,FALSE)=0,"",IF(VLOOKUP(F98,OfficerSkillsFull,33,FALSE)="Y",VLOOKUP(F98,OfficerSkillsFull,34+VLOOKUP(F98,RankLookup,3,FALSE),FALSE),VLOOKUP(F98,OfficerSkillsFull,10,FALSE)))</f>
        <v/>
      </c>
      <c r="L98" s="81" t="str">
        <f t="shared" ca="1" si="85"/>
        <v/>
      </c>
    </row>
    <row r="99" spans="1:12" x14ac:dyDescent="0.25">
      <c r="A99" s="56" t="s">
        <v>738</v>
      </c>
      <c r="B99" s="56">
        <f t="shared" si="78"/>
        <v>1</v>
      </c>
      <c r="C99" s="56">
        <f t="shared" si="79"/>
        <v>1</v>
      </c>
      <c r="D99" s="56">
        <f t="shared" si="80"/>
        <v>1</v>
      </c>
      <c r="E99" s="56" t="str">
        <f t="shared" si="81"/>
        <v>Same as Cadet Uhura</v>
      </c>
      <c r="F99" s="29" t="s">
        <v>738</v>
      </c>
      <c r="G99" s="98" t="str">
        <f t="shared" si="82"/>
        <v xml:space="preserve"> | </v>
      </c>
      <c r="H99" s="98" t="str">
        <f t="shared" si="83"/>
        <v xml:space="preserve"> | </v>
      </c>
      <c r="I99" s="98" t="str">
        <f t="shared" si="84"/>
        <v xml:space="preserve"> | </v>
      </c>
      <c r="J99" s="67" t="str">
        <f t="shared" si="102"/>
        <v>CM: Decrease opponents Weapon Damage OA: Increase Shield Health</v>
      </c>
      <c r="K99" s="81" t="str">
        <f t="shared" ca="1" si="103"/>
        <v/>
      </c>
      <c r="L99" s="81" t="str">
        <f t="shared" ca="1" si="85"/>
        <v/>
      </c>
    </row>
    <row r="100" spans="1:12" x14ac:dyDescent="0.25">
      <c r="A100" s="56" t="s">
        <v>740</v>
      </c>
      <c r="B100" s="56">
        <f t="shared" si="78"/>
        <v>4.5</v>
      </c>
      <c r="C100" s="56">
        <f t="shared" si="79"/>
        <v>5</v>
      </c>
      <c r="D100" s="56">
        <f t="shared" si="80"/>
        <v>4.5</v>
      </c>
      <c r="E100" s="56" t="str">
        <f t="shared" si="81"/>
        <v>Same as Cadet Sulu</v>
      </c>
      <c r="F100" s="29" t="s">
        <v>740</v>
      </c>
      <c r="G100" s="98" t="str">
        <f t="shared" si="82"/>
        <v xml:space="preserve"> | </v>
      </c>
      <c r="H100" s="98" t="str">
        <f t="shared" si="83"/>
        <v xml:space="preserve"> | </v>
      </c>
      <c r="I100" s="98" t="str">
        <f t="shared" si="84"/>
        <v xml:space="preserve"> | </v>
      </c>
      <c r="J100" s="67" t="str">
        <f t="shared" si="102"/>
        <v>CM: Increase Damage for first round OA: Increase Attack of all Officers on the ship (** Broken Bridge ONLY **)</v>
      </c>
      <c r="K100" s="81" t="str">
        <f t="shared" ca="1" si="103"/>
        <v/>
      </c>
      <c r="L100" s="81" t="str">
        <f t="shared" ca="1" si="85"/>
        <v/>
      </c>
    </row>
    <row r="101" spans="1:12" x14ac:dyDescent="0.25">
      <c r="A101" s="56" t="s">
        <v>742</v>
      </c>
      <c r="B101" s="56">
        <f t="shared" si="78"/>
        <v>3.5</v>
      </c>
      <c r="C101" s="56">
        <f t="shared" si="79"/>
        <v>3.5</v>
      </c>
      <c r="D101" s="56">
        <f t="shared" si="80"/>
        <v>3.5</v>
      </c>
      <c r="E101" s="56" t="str">
        <f t="shared" si="81"/>
        <v>Same as Instructor Spock</v>
      </c>
      <c r="F101" s="29" t="s">
        <v>742</v>
      </c>
      <c r="G101" s="98" t="str">
        <f t="shared" si="82"/>
        <v xml:space="preserve"> | </v>
      </c>
      <c r="H101" s="98" t="str">
        <f t="shared" si="83"/>
        <v xml:space="preserve"> | </v>
      </c>
      <c r="I101" s="98" t="str">
        <f t="shared" si="84"/>
        <v xml:space="preserve"> | </v>
      </c>
      <c r="J101" s="67" t="str">
        <f t="shared" si="102"/>
        <v>CM: Increase Damage OA: Increase Mitigation</v>
      </c>
      <c r="K101" s="81" t="str">
        <f t="shared" ca="1" si="103"/>
        <v/>
      </c>
      <c r="L101" s="81" t="str">
        <f t="shared" ca="1" si="85"/>
        <v/>
      </c>
    </row>
    <row r="102" spans="1:12" x14ac:dyDescent="0.25">
      <c r="A102" s="56" t="s">
        <v>1645</v>
      </c>
      <c r="B102" s="56">
        <f t="shared" si="78"/>
        <v>2.5</v>
      </c>
      <c r="C102" s="56">
        <f t="shared" si="79"/>
        <v>3.5</v>
      </c>
      <c r="D102" s="56">
        <f t="shared" si="80"/>
        <v>3</v>
      </c>
      <c r="E102" s="56" t="str">
        <f t="shared" si="81"/>
        <v>Captain: vs. Borg only; Powerful "Defense stat boost"</v>
      </c>
      <c r="F102" s="29" t="s">
        <v>1645</v>
      </c>
      <c r="G102" s="98" t="str">
        <f t="shared" si="82"/>
        <v xml:space="preserve"> | </v>
      </c>
      <c r="H102" s="98" t="str">
        <f t="shared" si="83"/>
        <v xml:space="preserve"> | </v>
      </c>
      <c r="I102" s="98" t="str">
        <f t="shared" si="84"/>
        <v xml:space="preserve"> | </v>
      </c>
      <c r="J102" s="67" t="str">
        <f t="shared" si="102"/>
        <v>CM: Decrease Borg critical hit chance OA: Increase Defence of all Officers on the ship</v>
      </c>
      <c r="K102" s="81" t="str">
        <f t="shared" ca="1" si="103"/>
        <v/>
      </c>
      <c r="L102" s="81" t="str">
        <f t="shared" ca="1" si="85"/>
        <v/>
      </c>
    </row>
    <row r="103" spans="1:12" x14ac:dyDescent="0.25">
      <c r="A103" s="56" t="s">
        <v>1630</v>
      </c>
      <c r="B103" s="56">
        <f t="shared" si="78"/>
        <v>3.5</v>
      </c>
      <c r="C103" s="56">
        <f t="shared" si="79"/>
        <v>3</v>
      </c>
      <c r="D103" s="56">
        <f t="shared" si="80"/>
        <v>3</v>
      </c>
      <c r="E103" s="56" t="str">
        <f t="shared" si="81"/>
        <v>Officer: Protected Cargo buff</v>
      </c>
      <c r="F103" s="29" t="s">
        <v>1630</v>
      </c>
      <c r="G103" s="98" t="str">
        <f t="shared" si="82"/>
        <v xml:space="preserve"> | </v>
      </c>
      <c r="H103" s="98" t="str">
        <f t="shared" si="83"/>
        <v xml:space="preserve"> | </v>
      </c>
      <c r="I103" s="98" t="str">
        <f t="shared" si="84"/>
        <v xml:space="preserve"> | </v>
      </c>
      <c r="J103" s="67" t="str">
        <f t="shared" si="102"/>
        <v>CM: Increate Shield Mitigation OA: Increase Protected Cargo</v>
      </c>
      <c r="K103" s="81" t="str">
        <f t="shared" ca="1" si="103"/>
        <v/>
      </c>
      <c r="L103" s="81" t="str">
        <f t="shared" ca="1" si="85"/>
        <v/>
      </c>
    </row>
    <row r="104" spans="1:12" x14ac:dyDescent="0.25">
      <c r="A104" s="56" t="s">
        <v>57</v>
      </c>
      <c r="B104" s="56">
        <f t="shared" si="78"/>
        <v>5</v>
      </c>
      <c r="C104" s="56">
        <f t="shared" si="79"/>
        <v>5</v>
      </c>
      <c r="D104" s="56">
        <f t="shared" si="80"/>
        <v>5</v>
      </c>
      <c r="E104" s="56" t="str">
        <f t="shared" si="81"/>
        <v>Do not bother with this officer</v>
      </c>
      <c r="F104" s="29" t="s">
        <v>57</v>
      </c>
      <c r="G104" s="110" t="str">
        <f t="shared" si="82"/>
        <v xml:space="preserve"> | </v>
      </c>
      <c r="H104" s="110" t="str">
        <f t="shared" si="83"/>
        <v xml:space="preserve"> | </v>
      </c>
      <c r="I104" s="110" t="str">
        <f t="shared" si="84"/>
        <v xml:space="preserve"> | </v>
      </c>
      <c r="J104" s="67" t="str">
        <f t="shared" si="102"/>
        <v>CM: Increase All Officers Attack OA: Increase Damage</v>
      </c>
      <c r="K104" s="83" t="str">
        <f t="shared" ca="1" si="103"/>
        <v/>
      </c>
      <c r="L104" s="81" t="str">
        <f t="shared" ca="1" si="85"/>
        <v/>
      </c>
    </row>
    <row r="105" spans="1:12" x14ac:dyDescent="0.25">
      <c r="A105" s="56" t="s">
        <v>26</v>
      </c>
      <c r="B105" s="56">
        <f t="shared" si="78"/>
        <v>5</v>
      </c>
      <c r="C105" s="56">
        <f t="shared" si="79"/>
        <v>5</v>
      </c>
      <c r="D105" s="56">
        <f t="shared" si="80"/>
        <v>5</v>
      </c>
      <c r="E105" s="56" t="str">
        <f t="shared" si="81"/>
        <v>Do not bother with this officer</v>
      </c>
      <c r="F105" s="29" t="s">
        <v>26</v>
      </c>
      <c r="G105" s="110" t="str">
        <f t="shared" si="82"/>
        <v xml:space="preserve"> | </v>
      </c>
      <c r="H105" s="110" t="str">
        <f t="shared" si="83"/>
        <v xml:space="preserve"> | </v>
      </c>
      <c r="I105" s="110" t="str">
        <f t="shared" si="84"/>
        <v xml:space="preserve"> | </v>
      </c>
      <c r="J105" s="67" t="str">
        <f t="shared" si="102"/>
        <v>CM: Increase All Officers Base Defence OA: Increase Hull Health</v>
      </c>
      <c r="K105" s="83" t="str">
        <f t="shared" ca="1" si="103"/>
        <v/>
      </c>
      <c r="L105" s="81" t="str">
        <f t="shared" ca="1" si="85"/>
        <v/>
      </c>
    </row>
    <row r="106" spans="1:12" x14ac:dyDescent="0.25">
      <c r="A106" s="56" t="s">
        <v>27</v>
      </c>
      <c r="B106" s="56">
        <f t="shared" si="78"/>
        <v>5</v>
      </c>
      <c r="C106" s="56">
        <f t="shared" si="79"/>
        <v>5</v>
      </c>
      <c r="D106" s="56">
        <f t="shared" si="80"/>
        <v>5</v>
      </c>
      <c r="E106" s="56" t="str">
        <f t="shared" si="81"/>
        <v>Do not bother with this officer</v>
      </c>
      <c r="F106" s="29" t="s">
        <v>27</v>
      </c>
      <c r="G106" s="110" t="str">
        <f t="shared" si="82"/>
        <v xml:space="preserve"> | </v>
      </c>
      <c r="H106" s="110" t="str">
        <f t="shared" si="83"/>
        <v xml:space="preserve"> | </v>
      </c>
      <c r="I106" s="110" t="str">
        <f t="shared" si="84"/>
        <v xml:space="preserve"> | </v>
      </c>
      <c r="J106" s="67" t="str">
        <f t="shared" si="102"/>
        <v>CM: Increase All Officers Base Health OA: Increase Warp Speed</v>
      </c>
      <c r="K106" s="81" t="str">
        <f t="shared" ca="1" si="103"/>
        <v/>
      </c>
      <c r="L106" s="81" t="str">
        <f t="shared" ca="1" si="85"/>
        <v/>
      </c>
    </row>
    <row r="107" spans="1:12" x14ac:dyDescent="0.25">
      <c r="A107" s="56" t="s">
        <v>55</v>
      </c>
      <c r="B107" s="56">
        <f t="shared" si="78"/>
        <v>4.5</v>
      </c>
      <c r="C107" s="56">
        <f t="shared" si="79"/>
        <v>4.5</v>
      </c>
      <c r="D107" s="56">
        <f t="shared" si="80"/>
        <v>4.5</v>
      </c>
      <c r="E107" s="56" t="str">
        <f t="shared" si="81"/>
        <v>Do not bother with this officer</v>
      </c>
      <c r="F107" s="29" t="s">
        <v>55</v>
      </c>
      <c r="G107" s="110" t="str">
        <f t="shared" si="82"/>
        <v xml:space="preserve"> | </v>
      </c>
      <c r="H107" s="110" t="str">
        <f t="shared" si="83"/>
        <v xml:space="preserve"> | </v>
      </c>
      <c r="I107" s="110" t="str">
        <f t="shared" si="84"/>
        <v xml:space="preserve"> | </v>
      </c>
      <c r="J107" s="67" t="str">
        <f t="shared" si="102"/>
        <v>CM: Increase damage to defence platforms OA: Increase Attack of all officers on the bridge</v>
      </c>
      <c r="K107" s="81" t="str">
        <f t="shared" ca="1" si="103"/>
        <v/>
      </c>
      <c r="L107" s="81" t="str">
        <f t="shared" ca="1" si="85"/>
        <v/>
      </c>
    </row>
    <row r="108" spans="1:12" x14ac:dyDescent="0.25">
      <c r="A108" s="56" t="s">
        <v>78</v>
      </c>
      <c r="B108" s="56">
        <f t="shared" si="78"/>
        <v>2</v>
      </c>
      <c r="C108" s="56">
        <f t="shared" si="79"/>
        <v>4</v>
      </c>
      <c r="D108" s="56">
        <f t="shared" si="80"/>
        <v>3</v>
      </c>
      <c r="E108" s="56" t="str">
        <f t="shared" si="81"/>
        <v>Captain: Speed Officer with very good Synergy; Officer: terrible ability</v>
      </c>
      <c r="F108" s="29" t="s">
        <v>78</v>
      </c>
      <c r="G108" s="110" t="str">
        <f t="shared" si="82"/>
        <v xml:space="preserve"> | </v>
      </c>
      <c r="H108" s="110" t="str">
        <f t="shared" si="83"/>
        <v xml:space="preserve">Y | </v>
      </c>
      <c r="I108" s="110" t="str">
        <f t="shared" si="84"/>
        <v xml:space="preserve"> | </v>
      </c>
      <c r="J108" s="67" t="str">
        <f t="shared" si="102"/>
        <v>CM: Incrrease Impulse Speed OA: Chance to apply Hull Breach on your own ship</v>
      </c>
      <c r="K108" s="81" t="str">
        <f t="shared" ca="1" si="103"/>
        <v/>
      </c>
      <c r="L108" s="81" t="str">
        <f t="shared" ca="1" si="85"/>
        <v/>
      </c>
    </row>
    <row r="109" spans="1:12" x14ac:dyDescent="0.25">
      <c r="A109" s="56" t="s">
        <v>90</v>
      </c>
      <c r="B109" s="56">
        <f t="shared" si="78"/>
        <v>2</v>
      </c>
      <c r="C109" s="56">
        <f t="shared" si="79"/>
        <v>3.5</v>
      </c>
      <c r="D109" s="56">
        <f t="shared" si="80"/>
        <v>2.5</v>
      </c>
      <c r="E109" s="56" t="str">
        <f t="shared" si="81"/>
        <v>Captain: Discovery only ability; Officer: terrible useless</v>
      </c>
      <c r="F109" s="29" t="s">
        <v>90</v>
      </c>
      <c r="G109" s="98" t="str">
        <f t="shared" si="82"/>
        <v xml:space="preserve"> | </v>
      </c>
      <c r="H109" s="98" t="str">
        <f t="shared" si="83"/>
        <v xml:space="preserve"> | </v>
      </c>
      <c r="I109" s="98" t="str">
        <f t="shared" si="84"/>
        <v xml:space="preserve"> | </v>
      </c>
      <c r="J109" s="67" t="str">
        <f t="shared" si="102"/>
        <v>CM: Increase Jump and Summoning Cost Efficiency OA: Decrease opponent's Armor Piercing when defending from a player</v>
      </c>
      <c r="K109" s="81" t="str">
        <f t="shared" ca="1" si="103"/>
        <v/>
      </c>
      <c r="L109" s="81" t="str">
        <f t="shared" ca="1" si="85"/>
        <v/>
      </c>
    </row>
    <row r="110" spans="1:12" x14ac:dyDescent="0.25">
      <c r="A110" s="56" t="s">
        <v>82</v>
      </c>
      <c r="B110" s="56">
        <f t="shared" ref="B110:B143" si="104">VLOOKUP(A110,OfficerScores,10,FALSE)</f>
        <v>1</v>
      </c>
      <c r="C110" s="56">
        <f t="shared" ref="C110:C143" si="105">VLOOKUP(A110,OfficerScores,18,FALSE)</f>
        <v>2</v>
      </c>
      <c r="D110" s="56">
        <f t="shared" ref="D110:D143" si="106">VLOOKUP(A110,OfficerScores,19,FALSE)</f>
        <v>1.5</v>
      </c>
      <c r="E110" s="56" t="str">
        <f t="shared" ref="E110:E143" si="107">VLOOKUP(A110,OfficerScores,20,FALSE)</f>
        <v>Captain: ONLY Combat abilities , you can do ALOT with him ; most popular for Cpt. Pike + Moreau + Chen</v>
      </c>
      <c r="F110" s="29" t="s">
        <v>82</v>
      </c>
      <c r="G110" s="98" t="str">
        <f t="shared" ref="G110:G143" si="108">IF(VLOOKUP(F110,OfficerSkillsFull,15,FALSE) = 0,"",VLOOKUP(F110,OfficerSkillsFull,15,FALSE)) &amp; " | " &amp; IF(VLOOKUP(F110,OfficerSkillsFull,16,FALSE) = 0,"",VLOOKUP(F110,OfficerSkillsFull,16,FALSE))</f>
        <v xml:space="preserve"> | </v>
      </c>
      <c r="H110" s="98" t="str">
        <f t="shared" ref="H110:H143" si="109">IF(VLOOKUP(F110,OfficerSkillsFull,17,FALSE) = 0,"",VLOOKUP(F110,OfficerSkillsFull,17,FALSE)) &amp; " | " &amp; IF(VLOOKUP(F110,OfficerSkillsFull,18,FALSE) = 0,"",VLOOKUP(F110,OfficerSkillsFull,18,FALSE))</f>
        <v xml:space="preserve"> | </v>
      </c>
      <c r="I110" s="98" t="str">
        <f t="shared" ref="I110:I143" si="110">IF(VLOOKUP(F110,OfficerSkillsFull,19,FALSE) = 0,"",VLOOKUP(F110,OfficerSkillsFull,19,FALSE)) &amp; " | " &amp; IF(VLOOKUP(F110,OfficerSkillsFull,20,FALSE) = 0,"",VLOOKUP(F110,OfficerSkillsFull,20,FALSE))</f>
        <v xml:space="preserve"> | </v>
      </c>
      <c r="J110" s="67" t="str">
        <f t="shared" si="102"/>
        <v>CM: Increase Officer Abilities that trigger in combat by 2 x % OA: Increase Ship XP earned</v>
      </c>
      <c r="K110" s="81" t="str">
        <f t="shared" ca="1" si="103"/>
        <v/>
      </c>
      <c r="L110" s="81" t="str">
        <f t="shared" ref="L110:L143" ca="1" si="111">IF(VLOOKUP(F110,RankLookup,3,FALSE)=0,"",VLOOKUP(F110,OfficerSkillsFull,3+VLOOKUP(F110,RankLookup,3,FALSE),FALSE))</f>
        <v/>
      </c>
    </row>
    <row r="111" spans="1:12" x14ac:dyDescent="0.25">
      <c r="A111" s="56" t="s">
        <v>76</v>
      </c>
      <c r="B111" s="56">
        <f t="shared" si="104"/>
        <v>4.5</v>
      </c>
      <c r="C111" s="56">
        <f t="shared" si="105"/>
        <v>4</v>
      </c>
      <c r="D111" s="56">
        <f t="shared" si="106"/>
        <v>4</v>
      </c>
      <c r="E111" s="56" t="str">
        <f t="shared" si="107"/>
        <v>Do not bother with this officer</v>
      </c>
      <c r="F111" s="29" t="s">
        <v>76</v>
      </c>
      <c r="G111" s="98" t="str">
        <f t="shared" si="108"/>
        <v xml:space="preserve"> | </v>
      </c>
      <c r="H111" s="98" t="str">
        <f t="shared" si="109"/>
        <v xml:space="preserve"> | Y</v>
      </c>
      <c r="I111" s="98" t="str">
        <f t="shared" si="110"/>
        <v xml:space="preserve"> | </v>
      </c>
      <c r="J111" s="67" t="str">
        <f t="shared" si="102"/>
        <v>CM: Decrease opponent's officer stats if own ship recieves a Hull Breach OA: Increase accuracy when own ship has Hull Breach</v>
      </c>
      <c r="K111" s="81" t="str">
        <f t="shared" ca="1" si="103"/>
        <v/>
      </c>
      <c r="L111" s="81" t="str">
        <f t="shared" ca="1" si="111"/>
        <v/>
      </c>
    </row>
    <row r="112" spans="1:12" x14ac:dyDescent="0.25">
      <c r="A112" s="56" t="s">
        <v>1978</v>
      </c>
      <c r="B112" s="56">
        <f t="shared" ref="B112" si="112">VLOOKUP(A112,OfficerScores,10,FALSE)</f>
        <v>1</v>
      </c>
      <c r="C112" s="56">
        <f t="shared" ref="C112" si="113">VLOOKUP(A112,OfficerScores,18,FALSE)</f>
        <v>1.5</v>
      </c>
      <c r="D112" s="56">
        <f t="shared" ref="D112" si="114">VLOOKUP(A112,OfficerScores,19,FALSE)</f>
        <v>1</v>
      </c>
      <c r="E112" s="56" t="str">
        <f t="shared" ref="E112" si="115">VLOOKUP(A112,OfficerScores,20,FALSE)</f>
        <v>Captain: Good Protected Cargo; Officer: Good mining booster, similar to 10 of 11.</v>
      </c>
      <c r="F112" s="29" t="s">
        <v>1978</v>
      </c>
      <c r="G112" s="487" t="str">
        <f t="shared" ref="G112" si="116">IF(VLOOKUP(F112,OfficerSkillsFull,15,FALSE) = 0,"",VLOOKUP(F112,OfficerSkillsFull,15,FALSE)) &amp; " | " &amp; IF(VLOOKUP(F112,OfficerSkillsFull,16,FALSE) = 0,"",VLOOKUP(F112,OfficerSkillsFull,16,FALSE))</f>
        <v xml:space="preserve"> | </v>
      </c>
      <c r="H112" s="487" t="str">
        <f t="shared" ref="H112" si="117">IF(VLOOKUP(F112,OfficerSkillsFull,17,FALSE) = 0,"",VLOOKUP(F112,OfficerSkillsFull,17,FALSE)) &amp; " | " &amp; IF(VLOOKUP(F112,OfficerSkillsFull,18,FALSE) = 0,"",VLOOKUP(F112,OfficerSkillsFull,18,FALSE))</f>
        <v xml:space="preserve"> | </v>
      </c>
      <c r="I112" s="487" t="str">
        <f t="shared" ref="I112" si="118">IF(VLOOKUP(F112,OfficerSkillsFull,19,FALSE) = 0,"",VLOOKUP(F112,OfficerSkillsFull,19,FALSE)) &amp; " | " &amp; IF(VLOOKUP(F112,OfficerSkillsFull,20,FALSE) = 0,"",VLOOKUP(F112,OfficerSkillsFull,20,FALSE))</f>
        <v xml:space="preserve"> | </v>
      </c>
      <c r="J112" s="67" t="str">
        <f t="shared" si="102"/>
        <v>CM: Increase Protected Cargo OA: Increase Mining Speed</v>
      </c>
      <c r="K112" s="81" t="str">
        <f t="shared" ca="1" si="103"/>
        <v/>
      </c>
      <c r="L112" s="81" t="str">
        <f t="shared" ref="L112" ca="1" si="119">IF(VLOOKUP(F112,RankLookup,3,FALSE)=0,"",VLOOKUP(F112,OfficerSkillsFull,3+VLOOKUP(F112,RankLookup,3,FALSE),FALSE))</f>
        <v/>
      </c>
    </row>
    <row r="113" spans="1:12" x14ac:dyDescent="0.25">
      <c r="A113" s="56" t="s">
        <v>79</v>
      </c>
      <c r="B113" s="56">
        <f t="shared" si="104"/>
        <v>4.5</v>
      </c>
      <c r="C113" s="56">
        <f t="shared" si="105"/>
        <v>4.5</v>
      </c>
      <c r="D113" s="56">
        <f t="shared" si="106"/>
        <v>4.5</v>
      </c>
      <c r="E113" s="56" t="str">
        <f t="shared" si="107"/>
        <v>Do not bother with this officer</v>
      </c>
      <c r="F113" s="29" t="s">
        <v>79</v>
      </c>
      <c r="G113" s="98" t="str">
        <f t="shared" si="108"/>
        <v xml:space="preserve"> | </v>
      </c>
      <c r="H113" s="98" t="str">
        <f t="shared" si="109"/>
        <v xml:space="preserve"> | Y</v>
      </c>
      <c r="I113" s="98" t="str">
        <f t="shared" si="110"/>
        <v xml:space="preserve"> | </v>
      </c>
      <c r="J113" s="67" t="str">
        <f t="shared" si="102"/>
        <v>CM: Increase damage when own ship has hull breach. OA: Increase Critical Hit chances when own ship hass Hull Breach</v>
      </c>
      <c r="K113" s="81" t="str">
        <f t="shared" ca="1" si="103"/>
        <v/>
      </c>
      <c r="L113" s="81" t="str">
        <f t="shared" ca="1" si="111"/>
        <v/>
      </c>
    </row>
    <row r="114" spans="1:12" x14ac:dyDescent="0.25">
      <c r="A114" s="56" t="s">
        <v>88</v>
      </c>
      <c r="B114" s="56">
        <f t="shared" si="104"/>
        <v>4.5</v>
      </c>
      <c r="C114" s="56">
        <f t="shared" si="105"/>
        <v>4</v>
      </c>
      <c r="D114" s="56">
        <f t="shared" si="106"/>
        <v>4</v>
      </c>
      <c r="E114" s="56" t="str">
        <f t="shared" si="107"/>
        <v>Captain: useless; Officer: you really should max her to get the 60% chance to activate</v>
      </c>
      <c r="F114" s="29" t="s">
        <v>88</v>
      </c>
      <c r="G114" s="98" t="str">
        <f t="shared" si="108"/>
        <v xml:space="preserve"> | </v>
      </c>
      <c r="H114" s="98" t="str">
        <f t="shared" si="109"/>
        <v xml:space="preserve"> | </v>
      </c>
      <c r="I114" s="98" t="str">
        <f t="shared" si="110"/>
        <v xml:space="preserve"> | </v>
      </c>
      <c r="J114" s="67" t="str">
        <f t="shared" si="102"/>
        <v>CM: Increase Captains Stats OA: Chance to increase damage by 300% of Officer Attack</v>
      </c>
      <c r="K114" s="81" t="str">
        <f t="shared" ca="1" si="103"/>
        <v/>
      </c>
      <c r="L114" s="81" t="str">
        <f t="shared" ca="1" si="111"/>
        <v/>
      </c>
    </row>
    <row r="115" spans="1:12" x14ac:dyDescent="0.25">
      <c r="A115" s="56" t="s">
        <v>2180</v>
      </c>
      <c r="B115" s="56">
        <f t="shared" ref="B115" si="120">VLOOKUP(A115,OfficerScores,10,FALSE)</f>
        <v>1.5</v>
      </c>
      <c r="C115" s="56">
        <f t="shared" ref="C115" si="121">VLOOKUP(A115,OfficerScores,18,FALSE)</f>
        <v>1.5</v>
      </c>
      <c r="D115" s="56">
        <f t="shared" ref="D115" si="122">VLOOKUP(A115,OfficerScores,19,FALSE)</f>
        <v>1.5</v>
      </c>
      <c r="E115" s="56" t="str">
        <f t="shared" ref="E115" si="123">VLOOKUP(A115,OfficerScores,20,FALSE)</f>
        <v>Captain: During base attacks, delays ALL opponents weapons by 1 round; Officer: Increased the number of all shots for whole battle</v>
      </c>
      <c r="F115" s="29" t="s">
        <v>2180</v>
      </c>
      <c r="G115" s="487" t="str">
        <f t="shared" ref="G115" si="124">IF(VLOOKUP(F115,OfficerSkillsFull,15,FALSE) = 0,"",VLOOKUP(F115,OfficerSkillsFull,15,FALSE)) &amp; " | " &amp; IF(VLOOKUP(F115,OfficerSkillsFull,16,FALSE) = 0,"",VLOOKUP(F115,OfficerSkillsFull,16,FALSE))</f>
        <v xml:space="preserve"> | </v>
      </c>
      <c r="H115" s="487" t="str">
        <f t="shared" ref="H115" si="125">IF(VLOOKUP(F115,OfficerSkillsFull,17,FALSE) = 0,"",VLOOKUP(F115,OfficerSkillsFull,17,FALSE)) &amp; " | " &amp; IF(VLOOKUP(F115,OfficerSkillsFull,18,FALSE) = 0,"",VLOOKUP(F115,OfficerSkillsFull,18,FALSE))</f>
        <v xml:space="preserve"> | </v>
      </c>
      <c r="I115" s="487" t="str">
        <f t="shared" ref="I115" si="126">IF(VLOOKUP(F115,OfficerSkillsFull,19,FALSE) = 0,"",VLOOKUP(F115,OfficerSkillsFull,19,FALSE)) &amp; " | " &amp; IF(VLOOKUP(F115,OfficerSkillsFull,20,FALSE) = 0,"",VLOOKUP(F115,OfficerSkillsFull,20,FALSE))</f>
        <v xml:space="preserve"> | </v>
      </c>
      <c r="J115" s="67" t="str">
        <f t="shared" si="102"/>
        <v>CM: When attacking a station, delays ship and pltatform weapons by 1 round OA: When attacking a station, increases number of shots of weapons</v>
      </c>
      <c r="K115" s="81" t="str">
        <f t="shared" ca="1" si="103"/>
        <v/>
      </c>
      <c r="L115" s="81" t="str">
        <f t="shared" ref="L115" ca="1" si="127">IF(VLOOKUP(F115,RankLookup,3,FALSE)=0,"",VLOOKUP(F115,OfficerSkillsFull,3+VLOOKUP(F115,RankLookup,3,FALSE),FALSE))</f>
        <v/>
      </c>
    </row>
    <row r="116" spans="1:12" x14ac:dyDescent="0.25">
      <c r="A116" s="56" t="s">
        <v>7</v>
      </c>
      <c r="B116" s="56">
        <f t="shared" si="104"/>
        <v>5</v>
      </c>
      <c r="C116" s="56">
        <f t="shared" si="105"/>
        <v>5</v>
      </c>
      <c r="D116" s="56">
        <f t="shared" si="106"/>
        <v>5</v>
      </c>
      <c r="E116" s="56" t="str">
        <f t="shared" si="107"/>
        <v>Do not bother with this officer</v>
      </c>
      <c r="F116" s="29" t="s">
        <v>7</v>
      </c>
      <c r="G116" s="98" t="str">
        <f t="shared" si="108"/>
        <v xml:space="preserve"> | </v>
      </c>
      <c r="H116" s="98" t="str">
        <f t="shared" si="109"/>
        <v xml:space="preserve"> | </v>
      </c>
      <c r="I116" s="98" t="str">
        <f t="shared" si="110"/>
        <v xml:space="preserve"> | </v>
      </c>
      <c r="J116" s="67" t="str">
        <f t="shared" si="102"/>
        <v>CM: Increase damage against players when in an Explorer OA: Increase Energy Weapon Damage against other ships</v>
      </c>
      <c r="K116" s="81" t="str">
        <f t="shared" ca="1" si="103"/>
        <v/>
      </c>
      <c r="L116" s="81" t="str">
        <f t="shared" ca="1" si="111"/>
        <v/>
      </c>
    </row>
    <row r="117" spans="1:12" x14ac:dyDescent="0.25">
      <c r="A117" s="56" t="s">
        <v>87</v>
      </c>
      <c r="B117" s="56">
        <f t="shared" si="104"/>
        <v>1</v>
      </c>
      <c r="C117" s="56">
        <f t="shared" si="105"/>
        <v>2.5</v>
      </c>
      <c r="D117" s="56">
        <f t="shared" si="106"/>
        <v>1.5</v>
      </c>
      <c r="E117" s="56" t="str">
        <f t="shared" si="107"/>
        <v>Captain &amp; Officer; PvP only, can kill criticals against you. Damage reduction is very small</v>
      </c>
      <c r="F117" s="29" t="s">
        <v>87</v>
      </c>
      <c r="G117" s="98" t="str">
        <f t="shared" si="108"/>
        <v xml:space="preserve"> | </v>
      </c>
      <c r="H117" s="98" t="str">
        <f t="shared" si="109"/>
        <v xml:space="preserve"> | </v>
      </c>
      <c r="I117" s="98" t="str">
        <f t="shared" si="110"/>
        <v xml:space="preserve"> | </v>
      </c>
      <c r="J117" s="67" t="str">
        <f t="shared" si="102"/>
        <v>CM: Decrease opponents Critical Hit Chance when receiving a critical hit OA: Decrease Opponent's Weapon damage</v>
      </c>
      <c r="K117" s="81" t="str">
        <f t="shared" ca="1" si="103"/>
        <v/>
      </c>
      <c r="L117" s="81" t="str">
        <f t="shared" ca="1" si="111"/>
        <v/>
      </c>
    </row>
    <row r="118" spans="1:12" x14ac:dyDescent="0.25">
      <c r="A118" s="56" t="s">
        <v>39</v>
      </c>
      <c r="B118" s="56">
        <f t="shared" si="104"/>
        <v>5</v>
      </c>
      <c r="C118" s="56">
        <f t="shared" si="105"/>
        <v>5</v>
      </c>
      <c r="D118" s="56">
        <f t="shared" si="106"/>
        <v>5</v>
      </c>
      <c r="E118" s="56" t="str">
        <f t="shared" si="107"/>
        <v>Do not bother with this officer</v>
      </c>
      <c r="F118" s="29" t="s">
        <v>39</v>
      </c>
      <c r="G118" s="98" t="str">
        <f t="shared" si="108"/>
        <v xml:space="preserve"> | </v>
      </c>
      <c r="H118" s="98" t="str">
        <f t="shared" si="109"/>
        <v xml:space="preserve"> | </v>
      </c>
      <c r="I118" s="98" t="str">
        <f t="shared" si="110"/>
        <v xml:space="preserve"> | </v>
      </c>
      <c r="J118" s="67" t="str">
        <f t="shared" si="102"/>
        <v>CM: Increase Ships repair speed OA: Increase ship's Hull Health</v>
      </c>
      <c r="K118" s="81" t="str">
        <f t="shared" ca="1" si="103"/>
        <v/>
      </c>
      <c r="L118" s="81" t="str">
        <f t="shared" ca="1" si="111"/>
        <v/>
      </c>
    </row>
    <row r="119" spans="1:12" x14ac:dyDescent="0.25">
      <c r="A119" s="56" t="s">
        <v>1653</v>
      </c>
      <c r="B119" s="56">
        <f t="shared" si="104"/>
        <v>2</v>
      </c>
      <c r="C119" s="56">
        <f t="shared" si="105"/>
        <v>2</v>
      </c>
      <c r="D119" s="56">
        <f t="shared" si="106"/>
        <v>2</v>
      </c>
      <c r="E119" s="56" t="str">
        <f t="shared" si="107"/>
        <v>Captain: Boost to critical when cloaked; Officer: Reduces opponent player's crit chance with every hit. Great anti Khan or Hon. Worf</v>
      </c>
      <c r="F119" s="29" t="s">
        <v>1653</v>
      </c>
      <c r="G119" s="436" t="str">
        <f t="shared" si="108"/>
        <v xml:space="preserve"> | </v>
      </c>
      <c r="H119" s="436" t="str">
        <f t="shared" si="109"/>
        <v xml:space="preserve"> | </v>
      </c>
      <c r="I119" s="436" t="str">
        <f t="shared" si="110"/>
        <v xml:space="preserve"> | </v>
      </c>
      <c r="J119" s="67" t="str">
        <f t="shared" si="102"/>
        <v>CM: Increase Critical Hit Damage while cloaked OA: Decrease enemy player's Critical Hit Chance every time the ship scores a hit</v>
      </c>
      <c r="K119" s="81" t="str">
        <f t="shared" ca="1" si="103"/>
        <v/>
      </c>
      <c r="L119" s="81" t="str">
        <f t="shared" ca="1" si="111"/>
        <v/>
      </c>
    </row>
    <row r="120" spans="1:12" x14ac:dyDescent="0.25">
      <c r="A120" s="56" t="s">
        <v>92</v>
      </c>
      <c r="B120" s="56">
        <f t="shared" si="104"/>
        <v>5</v>
      </c>
      <c r="C120" s="56">
        <f t="shared" si="105"/>
        <v>4</v>
      </c>
      <c r="D120" s="56">
        <f t="shared" si="106"/>
        <v>4.5</v>
      </c>
      <c r="E120" s="56" t="str">
        <f t="shared" si="107"/>
        <v>Captain: good effect, but hard to trigger; Officer: if maxed +90% critical damage is pretty usefull against Ecplise</v>
      </c>
      <c r="F120" s="29" t="s">
        <v>92</v>
      </c>
      <c r="G120" s="98" t="str">
        <f t="shared" si="108"/>
        <v xml:space="preserve"> | </v>
      </c>
      <c r="H120" s="98" t="str">
        <f t="shared" si="109"/>
        <v xml:space="preserve"> | </v>
      </c>
      <c r="I120" s="98" t="str">
        <f t="shared" si="110"/>
        <v xml:space="preserve"> | </v>
      </c>
      <c r="J120" s="67" t="str">
        <f t="shared" si="102"/>
        <v>CM: Decrease Eclipse hostile's Critical Hit Chance by 15% OA: Increase Critical Hit Damage aginst Eclipse Hostiles</v>
      </c>
      <c r="K120" s="81" t="str">
        <f t="shared" ca="1" si="103"/>
        <v/>
      </c>
      <c r="L120" s="81" t="str">
        <f t="shared" ca="1" si="111"/>
        <v/>
      </c>
    </row>
    <row r="121" spans="1:12" x14ac:dyDescent="0.25">
      <c r="A121" s="56" t="s">
        <v>1643</v>
      </c>
      <c r="B121" s="56">
        <f t="shared" si="104"/>
        <v>2</v>
      </c>
      <c r="C121" s="56">
        <f t="shared" si="105"/>
        <v>2</v>
      </c>
      <c r="D121" s="56">
        <f t="shared" si="106"/>
        <v>2</v>
      </c>
      <c r="E121" s="56" t="str">
        <f t="shared" si="107"/>
        <v>Captain: vs. Borg Probes only - very powerful, recommended on Vidar Tier 7 + top weapon upgrade</v>
      </c>
      <c r="F121" s="29" t="s">
        <v>1643</v>
      </c>
      <c r="G121" s="98" t="str">
        <f t="shared" si="108"/>
        <v xml:space="preserve"> | </v>
      </c>
      <c r="H121" s="98" t="str">
        <f t="shared" si="109"/>
        <v xml:space="preserve"> | </v>
      </c>
      <c r="I121" s="98" t="str">
        <f t="shared" si="110"/>
        <v xml:space="preserve"> | </v>
      </c>
      <c r="J121" s="67" t="str">
        <f t="shared" si="102"/>
        <v>CM: Chance to add 2 shots to each weapon when fighting Borg OA: Increase Health of all Officers on the ship</v>
      </c>
      <c r="K121" s="81" t="str">
        <f t="shared" ca="1" si="103"/>
        <v/>
      </c>
      <c r="L121" s="81" t="str">
        <f t="shared" ca="1" si="111"/>
        <v/>
      </c>
    </row>
    <row r="122" spans="1:12" x14ac:dyDescent="0.25">
      <c r="A122" s="56" t="s">
        <v>74</v>
      </c>
      <c r="B122" s="56">
        <f t="shared" si="104"/>
        <v>4.5</v>
      </c>
      <c r="C122" s="56">
        <f t="shared" si="105"/>
        <v>4.5</v>
      </c>
      <c r="D122" s="56">
        <f t="shared" si="106"/>
        <v>4.5</v>
      </c>
      <c r="E122" s="56" t="str">
        <f t="shared" si="107"/>
        <v>Captain &amp; Officer; needs your own ship to "Burn", almost never happens - Captain Bug , PvP opponent respawns</v>
      </c>
      <c r="F122" s="29" t="s">
        <v>74</v>
      </c>
      <c r="G122" s="98" t="str">
        <f t="shared" si="108"/>
        <v xml:space="preserve"> | Y</v>
      </c>
      <c r="H122" s="98" t="str">
        <f t="shared" si="109"/>
        <v xml:space="preserve"> | </v>
      </c>
      <c r="I122" s="98" t="str">
        <f t="shared" si="110"/>
        <v xml:space="preserve"> | </v>
      </c>
      <c r="J122" s="67" t="str">
        <f t="shared" si="102"/>
        <v>CM: Decrease opponent's Hull Health each round if own ship is burning OA: Increase Damage if own ship is burning</v>
      </c>
      <c r="K122" s="81" t="str">
        <f t="shared" ca="1" si="103"/>
        <v/>
      </c>
      <c r="L122" s="81" t="str">
        <f t="shared" ca="1" si="111"/>
        <v/>
      </c>
    </row>
    <row r="123" spans="1:12" x14ac:dyDescent="0.25">
      <c r="A123" s="56" t="s">
        <v>8</v>
      </c>
      <c r="B123" s="56">
        <f t="shared" si="104"/>
        <v>4.5</v>
      </c>
      <c r="C123" s="56">
        <f t="shared" si="105"/>
        <v>5</v>
      </c>
      <c r="D123" s="56">
        <f t="shared" si="106"/>
        <v>4.5</v>
      </c>
      <c r="E123" s="56" t="str">
        <f t="shared" si="107"/>
        <v>Captain: small tritanium loot increase; Officer: small Damage buff</v>
      </c>
      <c r="F123" s="29" t="s">
        <v>8</v>
      </c>
      <c r="G123" s="98" t="str">
        <f t="shared" si="108"/>
        <v xml:space="preserve"> | </v>
      </c>
      <c r="H123" s="98" t="str">
        <f t="shared" si="109"/>
        <v xml:space="preserve"> | </v>
      </c>
      <c r="I123" s="98" t="str">
        <f t="shared" si="110"/>
        <v xml:space="preserve"> | </v>
      </c>
      <c r="J123" s="67" t="str">
        <f t="shared" si="102"/>
        <v>CM: Increase Tritanium rewards from Hostiles OA: Increase Energy Damage against Hostiles</v>
      </c>
      <c r="K123" s="81" t="str">
        <f t="shared" ca="1" si="103"/>
        <v/>
      </c>
      <c r="L123" s="81" t="str">
        <f t="shared" ca="1" si="111"/>
        <v/>
      </c>
    </row>
    <row r="124" spans="1:12" x14ac:dyDescent="0.25">
      <c r="A124" s="56" t="s">
        <v>1642</v>
      </c>
      <c r="B124" s="56">
        <f t="shared" si="104"/>
        <v>2.5</v>
      </c>
      <c r="C124" s="56">
        <f t="shared" si="105"/>
        <v>3</v>
      </c>
      <c r="D124" s="56">
        <f t="shared" si="106"/>
        <v>2.5</v>
      </c>
      <c r="E124" s="56" t="str">
        <f t="shared" si="107"/>
        <v>Captain: useless; Officer: good vs Armadas - needs good attack stats</v>
      </c>
      <c r="F124" s="29" t="s">
        <v>1642</v>
      </c>
      <c r="G124" s="98" t="str">
        <f t="shared" si="108"/>
        <v xml:space="preserve"> | </v>
      </c>
      <c r="H124" s="98" t="str">
        <f t="shared" si="109"/>
        <v xml:space="preserve"> | </v>
      </c>
      <c r="I124" s="98" t="str">
        <f t="shared" si="110"/>
        <v xml:space="preserve"> | </v>
      </c>
      <c r="J124" s="67" t="str">
        <f t="shared" si="102"/>
        <v>CM: Decrease opponent SHP when hitting by Defence OA: Increase Penetration to Armadas by Attack</v>
      </c>
      <c r="K124" s="81" t="str">
        <f t="shared" ca="1" si="103"/>
        <v/>
      </c>
      <c r="L124" s="81" t="str">
        <f t="shared" ca="1" si="111"/>
        <v/>
      </c>
    </row>
    <row r="125" spans="1:12" x14ac:dyDescent="0.25">
      <c r="A125" s="56" t="s">
        <v>23</v>
      </c>
      <c r="B125" s="56">
        <f t="shared" si="104"/>
        <v>2</v>
      </c>
      <c r="C125" s="56">
        <f t="shared" si="105"/>
        <v>1</v>
      </c>
      <c r="D125" s="56">
        <f t="shared" si="106"/>
        <v>1.5</v>
      </c>
      <c r="E125" s="56" t="str">
        <f t="shared" si="107"/>
        <v>Captain: small Base Accuracy increase each round; Officer: should be atleast Rank 3, needs ALOT of Defense</v>
      </c>
      <c r="F125" s="29" t="s">
        <v>23</v>
      </c>
      <c r="G125" s="98" t="str">
        <f t="shared" si="108"/>
        <v xml:space="preserve"> | </v>
      </c>
      <c r="H125" s="98" t="str">
        <f t="shared" si="109"/>
        <v xml:space="preserve"> | </v>
      </c>
      <c r="I125" s="98" t="str">
        <f t="shared" si="110"/>
        <v xml:space="preserve"> | Y</v>
      </c>
      <c r="J125" s="67" t="str">
        <f t="shared" si="102"/>
        <v>CM: Increase Accuracy at the start of each round OA: Restore Shield by % of crew's Defence when having Morale</v>
      </c>
      <c r="K125" s="81" t="str">
        <f t="shared" ca="1" si="103"/>
        <v/>
      </c>
      <c r="L125" s="81" t="str">
        <f t="shared" ca="1" si="111"/>
        <v/>
      </c>
    </row>
    <row r="126" spans="1:12" x14ac:dyDescent="0.25">
      <c r="A126" s="56" t="s">
        <v>24</v>
      </c>
      <c r="B126" s="56">
        <f t="shared" si="104"/>
        <v>2</v>
      </c>
      <c r="C126" s="56">
        <f t="shared" si="105"/>
        <v>1.5</v>
      </c>
      <c r="D126" s="56">
        <f t="shared" si="106"/>
        <v>1.5</v>
      </c>
      <c r="E126" s="56" t="str">
        <f t="shared" si="107"/>
        <v>Officer: only officer that can increase the total Cargo Hold</v>
      </c>
      <c r="F126" s="29" t="s">
        <v>24</v>
      </c>
      <c r="G126" s="98" t="str">
        <f t="shared" si="108"/>
        <v xml:space="preserve"> | </v>
      </c>
      <c r="H126" s="98" t="str">
        <f t="shared" si="109"/>
        <v xml:space="preserve"> | </v>
      </c>
      <c r="I126" s="98" t="str">
        <f t="shared" si="110"/>
        <v xml:space="preserve"> | </v>
      </c>
      <c r="J126" s="67" t="str">
        <f t="shared" si="102"/>
        <v>CM: Increase Mining Speed (Ore) OA: Increase Cargo size</v>
      </c>
      <c r="K126" s="81" t="str">
        <f t="shared" ca="1" si="103"/>
        <v/>
      </c>
      <c r="L126" s="81" t="str">
        <f t="shared" ca="1" si="111"/>
        <v/>
      </c>
    </row>
    <row r="127" spans="1:12" x14ac:dyDescent="0.25">
      <c r="A127" s="56" t="s">
        <v>30</v>
      </c>
      <c r="B127" s="56">
        <f t="shared" si="104"/>
        <v>5</v>
      </c>
      <c r="C127" s="56">
        <f t="shared" si="105"/>
        <v>5</v>
      </c>
      <c r="D127" s="56">
        <f t="shared" si="106"/>
        <v>5</v>
      </c>
      <c r="E127" s="56" t="str">
        <f t="shared" si="107"/>
        <v>Captain: unreliable Morale source; Officer: only small energy damage increase</v>
      </c>
      <c r="F127" s="29" t="s">
        <v>30</v>
      </c>
      <c r="G127" s="98" t="str">
        <f t="shared" si="108"/>
        <v xml:space="preserve"> | </v>
      </c>
      <c r="H127" s="98" t="str">
        <f t="shared" si="109"/>
        <v xml:space="preserve"> | </v>
      </c>
      <c r="I127" s="98" t="str">
        <f t="shared" si="110"/>
        <v>Y | Y</v>
      </c>
      <c r="J127" s="67" t="str">
        <f t="shared" si="102"/>
        <v>CM: Chance to inspire Morale when being hit by a critical hit OA: Increase Energy Damage when ship has Morale</v>
      </c>
      <c r="K127" s="81" t="str">
        <f t="shared" ca="1" si="103"/>
        <v/>
      </c>
      <c r="L127" s="81" t="str">
        <f t="shared" ca="1" si="111"/>
        <v/>
      </c>
    </row>
    <row r="128" spans="1:12" x14ac:dyDescent="0.25">
      <c r="A128" s="56" t="s">
        <v>101</v>
      </c>
      <c r="B128" s="56">
        <f t="shared" si="104"/>
        <v>1</v>
      </c>
      <c r="C128" s="56">
        <f t="shared" si="105"/>
        <v>1</v>
      </c>
      <c r="D128" s="56">
        <f t="shared" si="106"/>
        <v>1</v>
      </c>
      <c r="E128" s="56" t="str">
        <f t="shared" si="107"/>
        <v>Not available; **Bugged** - removes Hull Points - BUT - returns them after battle - opponent respawns</v>
      </c>
      <c r="F128" s="29" t="s">
        <v>101</v>
      </c>
      <c r="G128" s="98" t="str">
        <f t="shared" si="108"/>
        <v xml:space="preserve"> | Y</v>
      </c>
      <c r="H128" s="98" t="str">
        <f t="shared" si="109"/>
        <v xml:space="preserve"> | </v>
      </c>
      <c r="I128" s="98" t="str">
        <f t="shared" si="110"/>
        <v xml:space="preserve"> | </v>
      </c>
      <c r="J128" s="67" t="str">
        <f t="shared" si="102"/>
        <v>CM: Increase damage against Battleships OA: Decrease the opponents Hull Health each turn while it is burning</v>
      </c>
      <c r="K128" s="81" t="str">
        <f t="shared" ca="1" si="103"/>
        <v/>
      </c>
      <c r="L128" s="81" t="str">
        <f t="shared" ca="1" si="111"/>
        <v/>
      </c>
    </row>
    <row r="129" spans="1:12" x14ac:dyDescent="0.25">
      <c r="A129" s="56" t="s">
        <v>1534</v>
      </c>
      <c r="B129" s="56">
        <f t="shared" si="104"/>
        <v>3.5</v>
      </c>
      <c r="C129" s="56">
        <f t="shared" si="105"/>
        <v>3</v>
      </c>
      <c r="D129" s="56">
        <f t="shared" si="106"/>
        <v>3</v>
      </c>
      <c r="E129" s="56" t="str">
        <f t="shared" si="107"/>
        <v>Captain: Eliminates critical chance on yellow bosses; Officer: Increases damage, might be good with Picard/Bev combo.</v>
      </c>
      <c r="F129" s="29" t="s">
        <v>1534</v>
      </c>
      <c r="G129" s="98" t="str">
        <f t="shared" si="108"/>
        <v xml:space="preserve"> | </v>
      </c>
      <c r="H129" s="98" t="str">
        <f t="shared" si="109"/>
        <v xml:space="preserve"> | </v>
      </c>
      <c r="I129" s="98" t="str">
        <f t="shared" si="110"/>
        <v xml:space="preserve"> | </v>
      </c>
      <c r="J129" s="67" t="str">
        <f t="shared" si="102"/>
        <v>CM: Reduces the Crit Chance of Mission Hostiles (yellow hostiles) OA: Increases all Weapon Damage against non-player targets</v>
      </c>
      <c r="K129" s="81" t="str">
        <f t="shared" ca="1" si="103"/>
        <v/>
      </c>
      <c r="L129" s="81" t="str">
        <f t="shared" ca="1" si="111"/>
        <v/>
      </c>
    </row>
    <row r="130" spans="1:12" x14ac:dyDescent="0.25">
      <c r="A130" s="56" t="s">
        <v>1647</v>
      </c>
      <c r="B130" s="56">
        <f t="shared" si="104"/>
        <v>1.5</v>
      </c>
      <c r="C130" s="56">
        <f t="shared" si="105"/>
        <v>2</v>
      </c>
      <c r="D130" s="56">
        <f t="shared" si="106"/>
        <v>1.5</v>
      </c>
      <c r="E130" s="56" t="str">
        <f t="shared" si="107"/>
        <v>Universal mining officer - must have!</v>
      </c>
      <c r="F130" s="29" t="s">
        <v>1647</v>
      </c>
      <c r="G130" s="98" t="str">
        <f t="shared" si="108"/>
        <v xml:space="preserve"> | </v>
      </c>
      <c r="H130" s="98" t="str">
        <f t="shared" si="109"/>
        <v xml:space="preserve"> | </v>
      </c>
      <c r="I130" s="98" t="str">
        <f t="shared" si="110"/>
        <v xml:space="preserve"> | </v>
      </c>
      <c r="J130" s="67" t="str">
        <f t="shared" ref="J130:J159" si="128">IF(VLOOKUP(F130,OfficerSkillsFull,33,FALSE)="Y", "BDA: " &amp; VLOOKUP(F130,OfficerSkillsFull,34,FALSE), "CM: " &amp; VLOOKUP(F130,OfficerSkillsFull,9,FALSE)) &amp; " OA: " &amp; VLOOKUP(F130,OfficerSkillsFull,3,FALSE)</f>
        <v>CM: Increase Mining Speed (Par, Trit, Dil) OA: Increase Mining Speed (All)</v>
      </c>
      <c r="K130" s="81" t="str">
        <f t="shared" ref="K130:K159" ca="1" si="129">IF(VLOOKUP(F130,RankLookup,3,FALSE)=0,"",IF(VLOOKUP(F130,OfficerSkillsFull,33,FALSE)="Y",VLOOKUP(F130,OfficerSkillsFull,34+VLOOKUP(F130,RankLookup,3,FALSE),FALSE),VLOOKUP(F130,OfficerSkillsFull,10,FALSE)))</f>
        <v/>
      </c>
      <c r="L130" s="81" t="str">
        <f t="shared" ca="1" si="111"/>
        <v/>
      </c>
    </row>
    <row r="131" spans="1:12" x14ac:dyDescent="0.25">
      <c r="A131" s="56" t="s">
        <v>1634</v>
      </c>
      <c r="B131" s="56">
        <f t="shared" si="104"/>
        <v>1</v>
      </c>
      <c r="C131" s="56">
        <f t="shared" si="105"/>
        <v>1</v>
      </c>
      <c r="D131" s="56">
        <f t="shared" si="106"/>
        <v>1</v>
      </c>
      <c r="E131" s="56" t="str">
        <f t="shared" si="107"/>
        <v>Captain: Better version of T'Pring's Gas bonus; Officer: At rank 1 already better than a maxed T'Pring.</v>
      </c>
      <c r="F131" s="29" t="s">
        <v>1634</v>
      </c>
      <c r="G131" s="98" t="str">
        <f t="shared" si="108"/>
        <v xml:space="preserve"> | </v>
      </c>
      <c r="H131" s="98" t="str">
        <f t="shared" si="109"/>
        <v xml:space="preserve"> | </v>
      </c>
      <c r="I131" s="98" t="str">
        <f t="shared" si="110"/>
        <v xml:space="preserve"> | </v>
      </c>
      <c r="J131" s="67" t="str">
        <f t="shared" si="128"/>
        <v>CM: Increases Gas mining speed OA: Increase Protected Cargo</v>
      </c>
      <c r="K131" s="81" t="str">
        <f t="shared" ca="1" si="129"/>
        <v/>
      </c>
      <c r="L131" s="81" t="str">
        <f t="shared" ca="1" si="111"/>
        <v/>
      </c>
    </row>
    <row r="132" spans="1:12" x14ac:dyDescent="0.25">
      <c r="A132" s="56" t="s">
        <v>75</v>
      </c>
      <c r="B132" s="56">
        <f t="shared" si="104"/>
        <v>4</v>
      </c>
      <c r="C132" s="56">
        <f t="shared" si="105"/>
        <v>3.5</v>
      </c>
      <c r="D132" s="56">
        <f t="shared" si="106"/>
        <v>3.5</v>
      </c>
      <c r="E132" s="56" t="str">
        <f t="shared" si="107"/>
        <v>Captain: bad one time shield effect; Officer: To be useful - this ability has to trigger 20 to 40 times</v>
      </c>
      <c r="F132" s="29" t="s">
        <v>75</v>
      </c>
      <c r="G132" s="98" t="str">
        <f t="shared" si="108"/>
        <v xml:space="preserve"> | </v>
      </c>
      <c r="H132" s="98" t="str">
        <f t="shared" si="109"/>
        <v xml:space="preserve"> | </v>
      </c>
      <c r="I132" s="98" t="str">
        <f t="shared" si="110"/>
        <v xml:space="preserve"> | </v>
      </c>
      <c r="J132" s="67" t="str">
        <f t="shared" si="128"/>
        <v>CM: Decrease opponent's Sheild Health when defending from a player. OA: Chance to Decrease opponent's Officer Attack  by 15% when hit</v>
      </c>
      <c r="K132" s="81" t="str">
        <f t="shared" ca="1" si="129"/>
        <v/>
      </c>
      <c r="L132" s="81" t="str">
        <f t="shared" ca="1" si="111"/>
        <v/>
      </c>
    </row>
    <row r="133" spans="1:12" x14ac:dyDescent="0.25">
      <c r="A133" s="56" t="s">
        <v>72</v>
      </c>
      <c r="B133" s="56">
        <f t="shared" si="104"/>
        <v>5</v>
      </c>
      <c r="C133" s="56">
        <f t="shared" si="105"/>
        <v>4.5</v>
      </c>
      <c r="D133" s="56">
        <f t="shared" si="106"/>
        <v>4.5</v>
      </c>
      <c r="E133" s="56" t="str">
        <f t="shared" si="107"/>
        <v>Do not bother with this officer</v>
      </c>
      <c r="F133" s="29" t="s">
        <v>72</v>
      </c>
      <c r="G133" s="98" t="str">
        <f t="shared" si="108"/>
        <v xml:space="preserve"> | </v>
      </c>
      <c r="H133" s="98" t="str">
        <f t="shared" si="109"/>
        <v xml:space="preserve"> | </v>
      </c>
      <c r="I133" s="98" t="str">
        <f t="shared" si="110"/>
        <v xml:space="preserve"> | </v>
      </c>
      <c r="J133" s="67" t="str">
        <f t="shared" si="128"/>
        <v>CM: Decrease Eclipse hostile's Shield Mitigation for the first round OA: Chance to increase mitigation by 100% against Eclipse hostiles</v>
      </c>
      <c r="K133" s="81" t="str">
        <f t="shared" ca="1" si="129"/>
        <v/>
      </c>
      <c r="L133" s="81" t="str">
        <f t="shared" ca="1" si="111"/>
        <v/>
      </c>
    </row>
    <row r="134" spans="1:12" x14ac:dyDescent="0.25">
      <c r="A134" s="56" t="s">
        <v>9</v>
      </c>
      <c r="B134" s="56">
        <f t="shared" si="104"/>
        <v>1</v>
      </c>
      <c r="C134" s="56">
        <f t="shared" si="105"/>
        <v>1</v>
      </c>
      <c r="D134" s="56">
        <f t="shared" si="106"/>
        <v>1</v>
      </c>
      <c r="E134" s="56" t="str">
        <f t="shared" si="107"/>
        <v>Officer: Kinetic Dmg reduction (Interceptor &amp; Battleships) - Combo: Cpt. Pike + Moreau + T'laan (max)</v>
      </c>
      <c r="F134" s="29" t="s">
        <v>9</v>
      </c>
      <c r="G134" s="341" t="str">
        <f t="shared" si="108"/>
        <v xml:space="preserve"> | </v>
      </c>
      <c r="H134" s="341" t="str">
        <f t="shared" si="109"/>
        <v xml:space="preserve"> | </v>
      </c>
      <c r="I134" s="341" t="str">
        <f t="shared" si="110"/>
        <v xml:space="preserve"> | </v>
      </c>
      <c r="J134" s="67" t="str">
        <f t="shared" si="128"/>
        <v>CM: Increase Ship XP from battles OA: Decrease Kinetic Damage dealt by Hostiles</v>
      </c>
      <c r="K134" s="81" t="str">
        <f t="shared" ca="1" si="129"/>
        <v/>
      </c>
      <c r="L134" s="81" t="str">
        <f t="shared" ca="1" si="111"/>
        <v/>
      </c>
    </row>
    <row r="135" spans="1:12" x14ac:dyDescent="0.25">
      <c r="A135" s="56" t="s">
        <v>1655</v>
      </c>
      <c r="B135" s="56">
        <f t="shared" si="104"/>
        <v>4.5</v>
      </c>
      <c r="C135" s="56">
        <f t="shared" si="105"/>
        <v>3.5</v>
      </c>
      <c r="D135" s="56">
        <f t="shared" si="106"/>
        <v>4</v>
      </c>
      <c r="E135" s="56" t="str">
        <f t="shared" si="107"/>
        <v>Captain: tiny boost to penetration stats for cloaked ships; Officer: Second Anti-Klingon Officer - only use when maxed</v>
      </c>
      <c r="F135" s="29" t="s">
        <v>1655</v>
      </c>
      <c r="G135" s="436" t="str">
        <f t="shared" si="108"/>
        <v xml:space="preserve"> | </v>
      </c>
      <c r="H135" s="436" t="str">
        <f t="shared" si="109"/>
        <v xml:space="preserve"> | </v>
      </c>
      <c r="I135" s="436" t="str">
        <f t="shared" si="110"/>
        <v xml:space="preserve"> | </v>
      </c>
      <c r="J135" s="67" t="str">
        <f t="shared" si="128"/>
        <v>CM: Increase Penetration while cloaked OA: Increase Weapon Damage against Klingon targets by % of crew attack</v>
      </c>
      <c r="K135" s="81" t="str">
        <f t="shared" ca="1" si="129"/>
        <v/>
      </c>
      <c r="L135" s="81" t="str">
        <f t="shared" ca="1" si="111"/>
        <v/>
      </c>
    </row>
    <row r="136" spans="1:12" x14ac:dyDescent="0.25">
      <c r="A136" s="56" t="s">
        <v>683</v>
      </c>
      <c r="B136" s="56">
        <f t="shared" si="104"/>
        <v>3.5</v>
      </c>
      <c r="C136" s="56">
        <f t="shared" si="105"/>
        <v>3.5</v>
      </c>
      <c r="D136" s="56">
        <f t="shared" si="106"/>
        <v>3.5</v>
      </c>
      <c r="E136" s="56" t="str">
        <f t="shared" si="107"/>
        <v>Limited use officer, TC takeover limited</v>
      </c>
      <c r="F136" s="85" t="s">
        <v>683</v>
      </c>
      <c r="G136" s="98" t="str">
        <f t="shared" si="108"/>
        <v xml:space="preserve"> | </v>
      </c>
      <c r="H136" s="98" t="str">
        <f t="shared" si="109"/>
        <v xml:space="preserve"> | </v>
      </c>
      <c r="I136" s="98" t="str">
        <f t="shared" si="110"/>
        <v xml:space="preserve"> | </v>
      </c>
      <c r="J136" s="67" t="str">
        <f t="shared" si="128"/>
        <v>CM: Increase the Impulse Speed of Explorers OA: When attacked on a Capture or Mining node, Decrease Opponents damage.</v>
      </c>
      <c r="K136" s="81" t="str">
        <f t="shared" ca="1" si="129"/>
        <v/>
      </c>
      <c r="L136" s="81" t="str">
        <f t="shared" ca="1" si="111"/>
        <v/>
      </c>
    </row>
    <row r="137" spans="1:12" x14ac:dyDescent="0.25">
      <c r="A137" s="56" t="s">
        <v>252</v>
      </c>
      <c r="B137" s="56">
        <f t="shared" si="104"/>
        <v>1</v>
      </c>
      <c r="C137" s="56">
        <f t="shared" si="105"/>
        <v>2</v>
      </c>
      <c r="D137" s="56">
        <f t="shared" si="106"/>
        <v>1.5</v>
      </c>
      <c r="E137" s="56" t="str">
        <f t="shared" si="107"/>
        <v>Captain: stacking energy damage buff, depends heavily on your DEFENSE stats; Officer: second best Moral source</v>
      </c>
      <c r="F137" s="85" t="s">
        <v>252</v>
      </c>
      <c r="G137" s="98" t="str">
        <f t="shared" si="108"/>
        <v xml:space="preserve"> | </v>
      </c>
      <c r="H137" s="98" t="str">
        <f t="shared" si="109"/>
        <v xml:space="preserve"> | </v>
      </c>
      <c r="I137" s="98" t="str">
        <f t="shared" si="110"/>
        <v>Y | Y</v>
      </c>
      <c r="J137" s="67" t="str">
        <f t="shared" si="128"/>
        <v>CM: Increase Energy damage by Officer defence, per round cumulative when ship has Morale OA: Chance to give Morale at the start of the round if ship health is above 30% of stating value</v>
      </c>
      <c r="K137" s="81" t="str">
        <f t="shared" ca="1" si="129"/>
        <v/>
      </c>
      <c r="L137" s="81" t="str">
        <f t="shared" ca="1" si="111"/>
        <v/>
      </c>
    </row>
    <row r="138" spans="1:12" x14ac:dyDescent="0.25">
      <c r="A138" s="56" t="s">
        <v>649</v>
      </c>
      <c r="B138" s="56">
        <f t="shared" si="104"/>
        <v>3</v>
      </c>
      <c r="C138" s="56">
        <f t="shared" si="105"/>
        <v>2.5</v>
      </c>
      <c r="D138" s="56">
        <f t="shared" si="106"/>
        <v>2.5</v>
      </c>
      <c r="E138" s="56" t="str">
        <f t="shared" si="107"/>
        <v>Both abilities are not Morale triggered and a straight addition to stats</v>
      </c>
      <c r="F138" s="80" t="s">
        <v>649</v>
      </c>
      <c r="G138" s="98" t="str">
        <f t="shared" si="108"/>
        <v xml:space="preserve"> | </v>
      </c>
      <c r="H138" s="98" t="str">
        <f t="shared" si="109"/>
        <v xml:space="preserve"> | </v>
      </c>
      <c r="I138" s="98" t="str">
        <f t="shared" si="110"/>
        <v xml:space="preserve"> | </v>
      </c>
      <c r="J138" s="67" t="str">
        <f t="shared" si="128"/>
        <v>CM: Increase Mitigation by % of the crew's Health when defending OA: Increase All Stats of All Officers when on an Explorer</v>
      </c>
      <c r="K138" s="81" t="str">
        <f t="shared" ca="1" si="129"/>
        <v/>
      </c>
      <c r="L138" s="81" t="str">
        <f t="shared" ca="1" si="111"/>
        <v/>
      </c>
    </row>
    <row r="139" spans="1:12" x14ac:dyDescent="0.25">
      <c r="A139" s="56" t="s">
        <v>684</v>
      </c>
      <c r="B139" s="56">
        <f t="shared" si="104"/>
        <v>2.5</v>
      </c>
      <c r="C139" s="56">
        <f t="shared" si="105"/>
        <v>3.5</v>
      </c>
      <c r="D139" s="56">
        <f t="shared" si="106"/>
        <v>3</v>
      </c>
      <c r="E139" s="56" t="str">
        <f t="shared" si="107"/>
        <v>Interesting help on warp range on explorers only, otherwise limited in use... one side of double bar synergy and max rank cadet scotty gives the largest boost to warp range.</v>
      </c>
      <c r="F139" s="85" t="s">
        <v>684</v>
      </c>
      <c r="G139" s="98" t="str">
        <f t="shared" si="108"/>
        <v xml:space="preserve"> | </v>
      </c>
      <c r="H139" s="98" t="str">
        <f t="shared" si="109"/>
        <v xml:space="preserve"> | </v>
      </c>
      <c r="I139" s="98" t="str">
        <f t="shared" si="110"/>
        <v xml:space="preserve"> | </v>
      </c>
      <c r="J139" s="67" t="str">
        <f t="shared" si="128"/>
        <v>CM: Increase Warp Range of Explorers OA: Increase Repair Cost Efficiency</v>
      </c>
      <c r="K139" s="81" t="str">
        <f t="shared" ca="1" si="129"/>
        <v/>
      </c>
      <c r="L139" s="81" t="str">
        <f t="shared" ca="1" si="111"/>
        <v/>
      </c>
    </row>
    <row r="140" spans="1:12" x14ac:dyDescent="0.25">
      <c r="A140" s="56" t="s">
        <v>253</v>
      </c>
      <c r="B140" s="56">
        <f t="shared" si="104"/>
        <v>3</v>
      </c>
      <c r="C140" s="56">
        <f t="shared" si="105"/>
        <v>3.5</v>
      </c>
      <c r="D140" s="56">
        <f t="shared" si="106"/>
        <v>3</v>
      </c>
      <c r="E140" s="56" t="str">
        <f t="shared" si="107"/>
        <v>Captain: terrible shield restore (base defense only!); Officer: a PvP version of Gaila, maybe usefull at max Rank.</v>
      </c>
      <c r="F140" s="85" t="s">
        <v>253</v>
      </c>
      <c r="G140" s="98" t="str">
        <f t="shared" si="108"/>
        <v xml:space="preserve"> | </v>
      </c>
      <c r="H140" s="98" t="str">
        <f t="shared" si="109"/>
        <v xml:space="preserve"> | </v>
      </c>
      <c r="I140" s="98" t="str">
        <f t="shared" si="110"/>
        <v xml:space="preserve"> | Y</v>
      </c>
      <c r="J140" s="67" t="str">
        <f t="shared" si="128"/>
        <v>CM: Increase of Defence to SHP of all ships in fleet (Base defence only) OA: Decrease opponent player's Critical Damage when ship has Morale</v>
      </c>
      <c r="K140" s="81" t="str">
        <f t="shared" ca="1" si="129"/>
        <v/>
      </c>
      <c r="L140" s="81" t="str">
        <f t="shared" ca="1" si="111"/>
        <v/>
      </c>
    </row>
    <row r="141" spans="1:12" x14ac:dyDescent="0.25">
      <c r="A141" s="56" t="s">
        <v>650</v>
      </c>
      <c r="B141" s="56">
        <f t="shared" si="104"/>
        <v>2.5</v>
      </c>
      <c r="C141" s="56">
        <f t="shared" si="105"/>
        <v>2.5</v>
      </c>
      <c r="D141" s="56">
        <f t="shared" si="106"/>
        <v>2.5</v>
      </c>
      <c r="E141" s="56" t="str">
        <f t="shared" si="107"/>
        <v>Crit boost upto 15% (max tier) is a respectable value to help trigger crits (tbc: is or is not cumulative)</v>
      </c>
      <c r="F141" s="80" t="s">
        <v>650</v>
      </c>
      <c r="G141" s="86" t="str">
        <f t="shared" si="108"/>
        <v xml:space="preserve"> | </v>
      </c>
      <c r="H141" s="86" t="str">
        <f t="shared" si="109"/>
        <v xml:space="preserve"> | </v>
      </c>
      <c r="I141" s="86" t="str">
        <f t="shared" si="110"/>
        <v>Y | Y</v>
      </c>
      <c r="J141" s="67" t="str">
        <f t="shared" si="128"/>
        <v>CM: Chance to inspire Morale for 1 round OA: Increase Critical Hit Chance each round when on an Explorer that has Morale</v>
      </c>
      <c r="K141" s="81" t="str">
        <f t="shared" ca="1" si="129"/>
        <v/>
      </c>
      <c r="L141" s="81" t="str">
        <f t="shared" ref="L141:L142" ca="1" si="130">IF(VLOOKUP(F141,RankLookup,3,FALSE)=0,"",VLOOKUP(F141,OfficerSkillsFull,3+VLOOKUP(F141,RankLookup,3,FALSE),FALSE))</f>
        <v/>
      </c>
    </row>
    <row r="142" spans="1:12" x14ac:dyDescent="0.25">
      <c r="A142" s="56" t="s">
        <v>1963</v>
      </c>
      <c r="B142" s="56">
        <v>1.5</v>
      </c>
      <c r="C142" s="56">
        <v>1.5</v>
      </c>
      <c r="D142" s="56">
        <v>1.5</v>
      </c>
      <c r="E142" s="56" t="s">
        <v>633</v>
      </c>
      <c r="F142" s="80" t="s">
        <v>1963</v>
      </c>
      <c r="G142" s="86" t="s">
        <v>1964</v>
      </c>
      <c r="H142" s="86" t="s">
        <v>1964</v>
      </c>
      <c r="I142" s="86" t="s">
        <v>1965</v>
      </c>
      <c r="J142" s="67" t="str">
        <f t="shared" si="128"/>
        <v>CM: Decrease opponent player's Critical hit chance if ship has Morale OA: Decrease opponent player's shield Mitigation if ship has Morale</v>
      </c>
      <c r="K142" s="81" t="str">
        <f t="shared" ca="1" si="129"/>
        <v/>
      </c>
      <c r="L142" s="81" t="str">
        <f t="shared" ca="1" si="130"/>
        <v/>
      </c>
    </row>
    <row r="143" spans="1:12" x14ac:dyDescent="0.25">
      <c r="A143" s="56" t="s">
        <v>25</v>
      </c>
      <c r="B143" s="56">
        <f t="shared" si="104"/>
        <v>1.5</v>
      </c>
      <c r="C143" s="56">
        <f t="shared" si="105"/>
        <v>1.5</v>
      </c>
      <c r="D143" s="56">
        <f t="shared" si="106"/>
        <v>1.5</v>
      </c>
      <c r="E143" s="56" t="str">
        <f t="shared" si="107"/>
        <v>Officer: best Protected Cargo boost in game</v>
      </c>
      <c r="F143" s="85" t="s">
        <v>25</v>
      </c>
      <c r="G143" s="98" t="str">
        <f t="shared" si="108"/>
        <v xml:space="preserve"> | </v>
      </c>
      <c r="H143" s="98" t="str">
        <f t="shared" si="109"/>
        <v xml:space="preserve"> | </v>
      </c>
      <c r="I143" s="98" t="str">
        <f t="shared" si="110"/>
        <v xml:space="preserve"> | </v>
      </c>
      <c r="J143" s="67" t="str">
        <f t="shared" si="128"/>
        <v>CM: Increase Mining Speed (Gas) OA: Increase Protected Cargo</v>
      </c>
      <c r="K143" s="81" t="str">
        <f t="shared" ca="1" si="129"/>
        <v/>
      </c>
      <c r="L143" s="81" t="str">
        <f t="shared" ca="1" si="111"/>
        <v/>
      </c>
    </row>
    <row r="144" spans="1:12" x14ac:dyDescent="0.25">
      <c r="A144" s="56" t="s">
        <v>1633</v>
      </c>
      <c r="B144" s="56">
        <f t="shared" ref="B144:B159" si="131">VLOOKUP(A144,OfficerScores,10,FALSE)</f>
        <v>1.5</v>
      </c>
      <c r="C144" s="56">
        <f t="shared" ref="C144:C159" si="132">VLOOKUP(A144,OfficerScores,18,FALSE)</f>
        <v>1.5</v>
      </c>
      <c r="D144" s="56">
        <f t="shared" ref="D144:D159" si="133">VLOOKUP(A144,OfficerScores,19,FALSE)</f>
        <v>1.5</v>
      </c>
      <c r="E144" s="56" t="str">
        <f t="shared" ref="E144:E159" si="134">VLOOKUP(A144,OfficerScores,20,FALSE)</f>
        <v>Captain: Only the 2nd officer that increases Cargo Capacity; Officer: Good 3* and 4* mining boost!</v>
      </c>
      <c r="F144" s="29" t="s">
        <v>1633</v>
      </c>
      <c r="G144" s="436" t="str">
        <f t="shared" ref="G144:G159" si="135">IF(VLOOKUP(F144,OfficerSkillsFull,15,FALSE) = 0,"",VLOOKUP(F144,OfficerSkillsFull,15,FALSE)) &amp; " | " &amp; IF(VLOOKUP(F144,OfficerSkillsFull,16,FALSE) = 0,"",VLOOKUP(F144,OfficerSkillsFull,16,FALSE))</f>
        <v xml:space="preserve"> | </v>
      </c>
      <c r="H144" s="436" t="str">
        <f t="shared" ref="H144:H159" si="136">IF(VLOOKUP(F144,OfficerSkillsFull,17,FALSE) = 0,"",VLOOKUP(F144,OfficerSkillsFull,17,FALSE)) &amp; " | " &amp; IF(VLOOKUP(F144,OfficerSkillsFull,18,FALSE) = 0,"",VLOOKUP(F144,OfficerSkillsFull,18,FALSE))</f>
        <v xml:space="preserve"> | </v>
      </c>
      <c r="I144" s="436" t="str">
        <f t="shared" ref="I144:I159" si="137">IF(VLOOKUP(F144,OfficerSkillsFull,19,FALSE) = 0,"",VLOOKUP(F144,OfficerSkillsFull,19,FALSE)) &amp; " | " &amp; IF(VLOOKUP(F144,OfficerSkillsFull,20,FALSE) = 0,"",VLOOKUP(F144,OfficerSkillsFull,20,FALSE))</f>
        <v xml:space="preserve"> | </v>
      </c>
      <c r="J144" s="67" t="str">
        <f t="shared" si="128"/>
        <v>CM: Increase Cargo Size OA: Increase to G3 and G4 Mining speed</v>
      </c>
      <c r="K144" s="81" t="str">
        <f t="shared" ca="1" si="129"/>
        <v/>
      </c>
      <c r="L144" s="81" t="str">
        <f t="shared" ref="L144:L159" ca="1" si="138">IF(VLOOKUP(F144,RankLookup,3,FALSE)=0,"",VLOOKUP(F144,OfficerSkillsFull,3+VLOOKUP(F144,RankLookup,3,FALSE),FALSE))</f>
        <v/>
      </c>
    </row>
    <row r="145" spans="1:12" x14ac:dyDescent="0.25">
      <c r="A145" s="56" t="s">
        <v>89</v>
      </c>
      <c r="B145" s="56">
        <f t="shared" si="131"/>
        <v>1</v>
      </c>
      <c r="C145" s="56">
        <f t="shared" si="132"/>
        <v>1.5</v>
      </c>
      <c r="D145" s="56">
        <f t="shared" si="133"/>
        <v>1</v>
      </c>
      <c r="E145" s="56" t="str">
        <f t="shared" si="134"/>
        <v>Captain: Capture Node only; Officer: probably one of the best Damage booster in game</v>
      </c>
      <c r="F145" s="85" t="s">
        <v>89</v>
      </c>
      <c r="G145" s="98" t="str">
        <f t="shared" si="135"/>
        <v xml:space="preserve"> | Y</v>
      </c>
      <c r="H145" s="98" t="str">
        <f t="shared" si="136"/>
        <v xml:space="preserve"> | </v>
      </c>
      <c r="I145" s="98" t="str">
        <f t="shared" si="137"/>
        <v xml:space="preserve"> | </v>
      </c>
      <c r="J145" s="67" t="str">
        <f t="shared" si="128"/>
        <v>CM: Increase all officers Attack when the ship defends a Capture Node OA: Increase damage by % of crew's Attack when opponent's ship is Burning</v>
      </c>
      <c r="K145" s="81" t="str">
        <f t="shared" ca="1" si="129"/>
        <v/>
      </c>
      <c r="L145" s="81" t="str">
        <f t="shared" ca="1" si="138"/>
        <v/>
      </c>
    </row>
    <row r="146" spans="1:12" x14ac:dyDescent="0.25">
      <c r="A146" s="56" t="s">
        <v>21</v>
      </c>
      <c r="B146" s="56">
        <f t="shared" si="131"/>
        <v>3.5</v>
      </c>
      <c r="C146" s="56">
        <f t="shared" si="132"/>
        <v>2.5</v>
      </c>
      <c r="D146" s="56">
        <f t="shared" si="133"/>
        <v>3</v>
      </c>
      <c r="E146" s="56" t="str">
        <f t="shared" si="134"/>
        <v>Captain: one time use only; Officer: low base value increase</v>
      </c>
      <c r="F146" s="85" t="s">
        <v>21</v>
      </c>
      <c r="G146" s="98" t="str">
        <f t="shared" si="135"/>
        <v xml:space="preserve"> | </v>
      </c>
      <c r="H146" s="98" t="str">
        <f t="shared" si="136"/>
        <v xml:space="preserve"> | </v>
      </c>
      <c r="I146" s="98" t="str">
        <f t="shared" si="137"/>
        <v xml:space="preserve"> | </v>
      </c>
      <c r="J146" s="67" t="str">
        <f t="shared" si="128"/>
        <v>CM: Chance to delay opponent's fire by 1 round when own shield is deleted OA: Increase ship's Accuracy</v>
      </c>
      <c r="K146" s="81" t="str">
        <f t="shared" ca="1" si="129"/>
        <v/>
      </c>
      <c r="L146" s="81" t="str">
        <f t="shared" ca="1" si="138"/>
        <v/>
      </c>
    </row>
    <row r="147" spans="1:12" x14ac:dyDescent="0.25">
      <c r="A147" s="56" t="s">
        <v>10</v>
      </c>
      <c r="B147" s="56">
        <f t="shared" si="131"/>
        <v>5</v>
      </c>
      <c r="C147" s="56">
        <f t="shared" si="132"/>
        <v>5</v>
      </c>
      <c r="D147" s="56">
        <f t="shared" si="133"/>
        <v>5</v>
      </c>
      <c r="E147" s="56" t="str">
        <f t="shared" si="134"/>
        <v>Do not bother with this officer</v>
      </c>
      <c r="F147" s="29" t="s">
        <v>10</v>
      </c>
      <c r="G147" s="98" t="str">
        <f t="shared" si="135"/>
        <v xml:space="preserve"> | </v>
      </c>
      <c r="H147" s="98" t="str">
        <f t="shared" si="136"/>
        <v xml:space="preserve"> | </v>
      </c>
      <c r="I147" s="98" t="str">
        <f t="shared" si="137"/>
        <v xml:space="preserve"> | </v>
      </c>
      <c r="J147" s="67" t="str">
        <f t="shared" si="128"/>
        <v>CM: Increase Weapon Damage of Interceptors against Players OA: Increase Kinetic Weapon Damage against other player's ships</v>
      </c>
      <c r="K147" s="81" t="str">
        <f t="shared" ca="1" si="129"/>
        <v/>
      </c>
      <c r="L147" s="81" t="str">
        <f t="shared" ca="1" si="138"/>
        <v/>
      </c>
    </row>
    <row r="148" spans="1:12" x14ac:dyDescent="0.25">
      <c r="A148" s="56" t="s">
        <v>12</v>
      </c>
      <c r="B148" s="56">
        <f t="shared" si="131"/>
        <v>5</v>
      </c>
      <c r="C148" s="56">
        <f t="shared" si="132"/>
        <v>5</v>
      </c>
      <c r="D148" s="56">
        <f t="shared" si="133"/>
        <v>5</v>
      </c>
      <c r="E148" s="56" t="str">
        <f t="shared" si="134"/>
        <v>Do not bother with this officer</v>
      </c>
      <c r="F148" s="29" t="s">
        <v>12</v>
      </c>
      <c r="G148" s="98" t="str">
        <f t="shared" si="135"/>
        <v xml:space="preserve"> | </v>
      </c>
      <c r="H148" s="98" t="str">
        <f t="shared" si="136"/>
        <v xml:space="preserve"> | </v>
      </c>
      <c r="I148" s="98" t="str">
        <f t="shared" si="137"/>
        <v xml:space="preserve"> | </v>
      </c>
      <c r="J148" s="67" t="str">
        <f t="shared" si="128"/>
        <v>CM: Increase Dilithium rewards from Hostiles OA: Increase Kinetic Damage against Hostiles</v>
      </c>
      <c r="K148" s="81" t="str">
        <f t="shared" ca="1" si="129"/>
        <v/>
      </c>
      <c r="L148" s="81" t="str">
        <f t="shared" ca="1" si="138"/>
        <v/>
      </c>
    </row>
    <row r="149" spans="1:12" x14ac:dyDescent="0.25">
      <c r="A149" s="56" t="s">
        <v>40</v>
      </c>
      <c r="B149" s="56">
        <f t="shared" si="131"/>
        <v>5</v>
      </c>
      <c r="C149" s="56">
        <f t="shared" si="132"/>
        <v>5</v>
      </c>
      <c r="D149" s="56">
        <f t="shared" si="133"/>
        <v>5</v>
      </c>
      <c r="E149" s="56" t="str">
        <f t="shared" si="134"/>
        <v>Do not bother with this officer</v>
      </c>
      <c r="F149" s="29" t="s">
        <v>40</v>
      </c>
      <c r="G149" s="98" t="str">
        <f t="shared" si="135"/>
        <v xml:space="preserve"> | </v>
      </c>
      <c r="H149" s="98" t="str">
        <f t="shared" si="136"/>
        <v xml:space="preserve"> | </v>
      </c>
      <c r="I149" s="98" t="str">
        <f t="shared" si="137"/>
        <v xml:space="preserve"> | </v>
      </c>
      <c r="J149" s="67" t="str">
        <f t="shared" si="128"/>
        <v>CM: Increase Damage against Explorers OA: Increase Health of all Officers on the ship</v>
      </c>
      <c r="K149" s="81" t="str">
        <f t="shared" ca="1" si="129"/>
        <v/>
      </c>
      <c r="L149" s="81" t="str">
        <f t="shared" ca="1" si="138"/>
        <v/>
      </c>
    </row>
    <row r="150" spans="1:12" x14ac:dyDescent="0.25">
      <c r="A150" s="56" t="s">
        <v>46</v>
      </c>
      <c r="B150" s="56">
        <f t="shared" si="131"/>
        <v>1.5</v>
      </c>
      <c r="C150" s="56">
        <f t="shared" si="132"/>
        <v>3</v>
      </c>
      <c r="D150" s="56">
        <f t="shared" si="133"/>
        <v>2</v>
      </c>
      <c r="E150" s="56" t="str">
        <f t="shared" si="134"/>
        <v>Captain: respawns your ship up to 3 times; Officer: Combine with Georgiou to remove every single round</v>
      </c>
      <c r="F150" s="29" t="s">
        <v>46</v>
      </c>
      <c r="G150" s="98" t="str">
        <f t="shared" si="135"/>
        <v xml:space="preserve"> | Y</v>
      </c>
      <c r="H150" s="98" t="str">
        <f t="shared" si="136"/>
        <v xml:space="preserve"> | </v>
      </c>
      <c r="I150" s="98" t="str">
        <f t="shared" si="137"/>
        <v xml:space="preserve"> | </v>
      </c>
      <c r="J150" s="67" t="str">
        <f t="shared" si="128"/>
        <v>CM: Resurrect with % Hull Health OA: Decrease Shield Health of a Burning opponent by % of crew's Health</v>
      </c>
      <c r="K150" s="81" t="str">
        <f t="shared" ca="1" si="129"/>
        <v/>
      </c>
      <c r="L150" s="81" t="str">
        <f t="shared" ca="1" si="138"/>
        <v/>
      </c>
    </row>
    <row r="151" spans="1:12" x14ac:dyDescent="0.25">
      <c r="A151" s="56" t="s">
        <v>33</v>
      </c>
      <c r="B151" s="56">
        <f t="shared" si="131"/>
        <v>4.5</v>
      </c>
      <c r="C151" s="56">
        <f t="shared" si="132"/>
        <v>4.5</v>
      </c>
      <c r="D151" s="56">
        <f t="shared" si="133"/>
        <v>4.5</v>
      </c>
      <c r="E151" s="56" t="str">
        <f t="shared" si="134"/>
        <v>Do not bother with this officer</v>
      </c>
      <c r="F151" s="29" t="s">
        <v>33</v>
      </c>
      <c r="G151" s="98" t="str">
        <f t="shared" si="135"/>
        <v xml:space="preserve"> | </v>
      </c>
      <c r="H151" s="98" t="str">
        <f t="shared" si="136"/>
        <v xml:space="preserve"> | </v>
      </c>
      <c r="I151" s="98" t="str">
        <f t="shared" si="137"/>
        <v xml:space="preserve"> | </v>
      </c>
      <c r="J151" s="67" t="str">
        <f t="shared" si="128"/>
        <v>CM: Chance to delay opponent's Weapons each round, for 1 round OA: Decrease Energy Damage from players</v>
      </c>
      <c r="K151" s="81" t="str">
        <f t="shared" ca="1" si="129"/>
        <v/>
      </c>
      <c r="L151" s="81" t="str">
        <f t="shared" ca="1" si="138"/>
        <v/>
      </c>
    </row>
    <row r="152" spans="1:12" x14ac:dyDescent="0.25">
      <c r="A152" s="56" t="s">
        <v>871</v>
      </c>
      <c r="B152" s="56">
        <f t="shared" si="131"/>
        <v>3.5</v>
      </c>
      <c r="C152" s="56">
        <f t="shared" si="132"/>
        <v>3.5</v>
      </c>
      <c r="D152" s="56">
        <f t="shared" si="133"/>
        <v>3.5</v>
      </c>
      <c r="E152" s="56" t="str">
        <f t="shared" si="134"/>
        <v>Captain: +damage (vs. everything) increase applies once!; Officer: Self stat boost - Bug - Does not work at all</v>
      </c>
      <c r="F152" s="29" t="s">
        <v>871</v>
      </c>
      <c r="G152" s="212" t="str">
        <f t="shared" si="135"/>
        <v xml:space="preserve"> | </v>
      </c>
      <c r="H152" s="212" t="str">
        <f t="shared" si="136"/>
        <v xml:space="preserve"> | </v>
      </c>
      <c r="I152" s="212" t="str">
        <f t="shared" si="137"/>
        <v xml:space="preserve"> | </v>
      </c>
      <c r="J152" s="67" t="str">
        <f t="shared" si="128"/>
        <v>CM: Increase Damage against Hostiles and Armadas OA: Increases own stats</v>
      </c>
      <c r="K152" s="81" t="str">
        <f t="shared" ca="1" si="129"/>
        <v/>
      </c>
      <c r="L152" s="81" t="str">
        <f t="shared" ca="1" si="138"/>
        <v/>
      </c>
    </row>
    <row r="153" spans="1:12" x14ac:dyDescent="0.25">
      <c r="A153" s="56" t="s">
        <v>918</v>
      </c>
      <c r="B153" s="56">
        <f t="shared" si="131"/>
        <v>1</v>
      </c>
      <c r="C153" s="56">
        <f t="shared" si="132"/>
        <v>3.5</v>
      </c>
      <c r="D153" s="56">
        <f t="shared" si="133"/>
        <v>2</v>
      </c>
      <c r="E153" s="56" t="str">
        <f t="shared" si="134"/>
        <v>Captain: Cumulative damage to armadas; Officer: Increase to damage against Federation Hostiles and Armadas</v>
      </c>
      <c r="F153" s="29" t="s">
        <v>918</v>
      </c>
      <c r="G153" s="268" t="str">
        <f t="shared" si="135"/>
        <v xml:space="preserve"> | </v>
      </c>
      <c r="H153" s="268" t="str">
        <f t="shared" si="136"/>
        <v xml:space="preserve"> | </v>
      </c>
      <c r="I153" s="268" t="str">
        <f t="shared" si="137"/>
        <v xml:space="preserve"> | </v>
      </c>
      <c r="J153" s="67" t="str">
        <f t="shared" si="128"/>
        <v>CM: Increases Weapon Damage against Armada Targets (Cumulative) OA: Increases Damage against Federation Hostiles and Armadas</v>
      </c>
      <c r="K153" s="81" t="str">
        <f t="shared" ca="1" si="129"/>
        <v/>
      </c>
      <c r="L153" s="81" t="str">
        <f t="shared" ca="1" si="138"/>
        <v/>
      </c>
    </row>
    <row r="154" spans="1:12" x14ac:dyDescent="0.25">
      <c r="A154" s="56" t="s">
        <v>1357</v>
      </c>
      <c r="B154" s="56">
        <f t="shared" si="131"/>
        <v>4</v>
      </c>
      <c r="C154" s="56">
        <f t="shared" si="132"/>
        <v>4.5</v>
      </c>
      <c r="D154" s="56">
        <f t="shared" si="133"/>
        <v>4</v>
      </c>
      <c r="E154" s="56" t="str">
        <f t="shared" si="134"/>
        <v>Captain: Limited use; Officer: Not as strong as Beverly, similar to Moreau but increases your mitigation, rather than decreasing hostile's penetration.</v>
      </c>
      <c r="F154" s="29" t="s">
        <v>1357</v>
      </c>
      <c r="G154" s="283" t="str">
        <f t="shared" si="135"/>
        <v xml:space="preserve"> | </v>
      </c>
      <c r="H154" s="283" t="str">
        <f t="shared" si="136"/>
        <v xml:space="preserve"> | </v>
      </c>
      <c r="I154" s="283" t="str">
        <f t="shared" si="137"/>
        <v xml:space="preserve"> | </v>
      </c>
      <c r="J154" s="67" t="str">
        <f t="shared" si="128"/>
        <v>CM: After winning a battle, Worf increases the Warp Speed of the ship. This bonus does not stack, and is removed when returning to your station. OA: Increases all Mitigation stats against non-player targets</v>
      </c>
      <c r="K154" s="81" t="str">
        <f t="shared" ca="1" si="129"/>
        <v/>
      </c>
      <c r="L154" s="81" t="str">
        <f t="shared" ca="1" si="138"/>
        <v/>
      </c>
    </row>
    <row r="155" spans="1:12" x14ac:dyDescent="0.25">
      <c r="A155" s="56" t="s">
        <v>41</v>
      </c>
      <c r="B155" s="56">
        <f t="shared" si="131"/>
        <v>5</v>
      </c>
      <c r="C155" s="56">
        <f t="shared" si="132"/>
        <v>5</v>
      </c>
      <c r="D155" s="56">
        <f t="shared" si="133"/>
        <v>5</v>
      </c>
      <c r="E155" s="56" t="str">
        <f t="shared" si="134"/>
        <v>Captain: very small damage increase; Officer: very small Dodge increase</v>
      </c>
      <c r="F155" s="29" t="s">
        <v>41</v>
      </c>
      <c r="G155" s="98" t="str">
        <f t="shared" si="135"/>
        <v xml:space="preserve"> | </v>
      </c>
      <c r="H155" s="98" t="str">
        <f t="shared" si="136"/>
        <v xml:space="preserve"> | </v>
      </c>
      <c r="I155" s="98" t="str">
        <f t="shared" si="137"/>
        <v xml:space="preserve"> | </v>
      </c>
      <c r="J155" s="67" t="str">
        <f t="shared" si="128"/>
        <v>CM: Increase damage if opponent's ship is a Battleship OA: Increase dodge when aboard an Interceptor</v>
      </c>
      <c r="K155" s="81" t="str">
        <f t="shared" ca="1" si="129"/>
        <v/>
      </c>
      <c r="L155" s="81" t="str">
        <f t="shared" ca="1" si="138"/>
        <v/>
      </c>
    </row>
    <row r="156" spans="1:12" x14ac:dyDescent="0.25">
      <c r="A156" s="56" t="s">
        <v>53</v>
      </c>
      <c r="B156" s="56">
        <f t="shared" si="131"/>
        <v>3.5</v>
      </c>
      <c r="C156" s="56">
        <f t="shared" si="132"/>
        <v>2.5</v>
      </c>
      <c r="D156" s="56">
        <f t="shared" si="133"/>
        <v>3</v>
      </c>
      <c r="E156" s="56" t="str">
        <f t="shared" si="134"/>
        <v>Captain: do not bother; Officer: get him to max before use</v>
      </c>
      <c r="F156" s="29" t="s">
        <v>53</v>
      </c>
      <c r="G156" s="98" t="str">
        <f t="shared" si="135"/>
        <v xml:space="preserve"> | </v>
      </c>
      <c r="H156" s="98" t="str">
        <f t="shared" si="136"/>
        <v xml:space="preserve"> | </v>
      </c>
      <c r="I156" s="98" t="str">
        <f t="shared" si="137"/>
        <v xml:space="preserve"> | </v>
      </c>
      <c r="J156" s="67" t="str">
        <f t="shared" si="128"/>
        <v>CM: Increase damage after depleting the opponent's Shield Health OA: Inxrease Damage ro Romulans by % of crew's Health</v>
      </c>
      <c r="K156" s="81" t="str">
        <f t="shared" ca="1" si="129"/>
        <v/>
      </c>
      <c r="L156" s="81" t="str">
        <f t="shared" ca="1" si="138"/>
        <v/>
      </c>
    </row>
    <row r="157" spans="1:12" x14ac:dyDescent="0.25">
      <c r="A157" s="56" t="s">
        <v>65</v>
      </c>
      <c r="B157" s="56">
        <f t="shared" si="131"/>
        <v>1.5</v>
      </c>
      <c r="C157" s="56">
        <f t="shared" si="132"/>
        <v>1</v>
      </c>
      <c r="D157" s="56">
        <f t="shared" si="133"/>
        <v>1</v>
      </c>
      <c r="E157" s="56" t="str">
        <f t="shared" si="134"/>
        <v>Captain: the best shield removel ability in game; Officer: anti romulan damage - get her to max</v>
      </c>
      <c r="F157" s="29" t="s">
        <v>65</v>
      </c>
      <c r="G157" s="98" t="str">
        <f t="shared" si="135"/>
        <v xml:space="preserve"> | </v>
      </c>
      <c r="H157" s="98" t="str">
        <f t="shared" si="136"/>
        <v xml:space="preserve"> | </v>
      </c>
      <c r="I157" s="98" t="str">
        <f t="shared" si="137"/>
        <v xml:space="preserve"> | </v>
      </c>
      <c r="J157" s="67" t="str">
        <f t="shared" si="128"/>
        <v>CM: Decrease the shield Health of the opponent's ship each round OA: Increase damage to Romulans by % of crew's Health</v>
      </c>
      <c r="K157" s="81" t="str">
        <f t="shared" ca="1" si="129"/>
        <v/>
      </c>
      <c r="L157" s="81" t="str">
        <f t="shared" ca="1" si="138"/>
        <v/>
      </c>
    </row>
    <row r="158" spans="1:12" x14ac:dyDescent="0.25">
      <c r="A158" s="56" t="s">
        <v>54</v>
      </c>
      <c r="B158" s="56">
        <f t="shared" si="131"/>
        <v>5</v>
      </c>
      <c r="C158" s="56">
        <f t="shared" si="132"/>
        <v>5</v>
      </c>
      <c r="D158" s="56">
        <f t="shared" si="133"/>
        <v>5</v>
      </c>
      <c r="E158" s="56" t="str">
        <f t="shared" si="134"/>
        <v>Do not bother with this officer</v>
      </c>
      <c r="F158" s="29" t="s">
        <v>54</v>
      </c>
      <c r="G158" s="98" t="str">
        <f t="shared" si="135"/>
        <v xml:space="preserve"> | </v>
      </c>
      <c r="H158" s="98" t="str">
        <f t="shared" si="136"/>
        <v xml:space="preserve"> | </v>
      </c>
      <c r="I158" s="98" t="str">
        <f t="shared" si="137"/>
        <v xml:space="preserve"> | </v>
      </c>
      <c r="J158" s="67" t="str">
        <f t="shared" si="128"/>
        <v>CM: Increase ships Hull Health when defending a station OA: Increase Damage dealt when defending a Station</v>
      </c>
      <c r="K158" s="81" t="str">
        <f t="shared" ca="1" si="129"/>
        <v/>
      </c>
      <c r="L158" s="81" t="str">
        <f t="shared" ca="1" si="138"/>
        <v/>
      </c>
    </row>
    <row r="159" spans="1:12" x14ac:dyDescent="0.25">
      <c r="A159" s="56" t="s">
        <v>42</v>
      </c>
      <c r="B159" s="56">
        <f t="shared" si="131"/>
        <v>3</v>
      </c>
      <c r="C159" s="56">
        <f t="shared" si="132"/>
        <v>2</v>
      </c>
      <c r="D159" s="56">
        <f t="shared" si="133"/>
        <v>2.5</v>
      </c>
      <c r="E159" s="56" t="str">
        <f t="shared" si="134"/>
        <v>Officer: increases your Defense Mitigation with Defense - perfect fit with Kirk + Spock, max him quickly!</v>
      </c>
      <c r="F159" s="29" t="s">
        <v>42</v>
      </c>
      <c r="G159" s="98" t="str">
        <f t="shared" si="135"/>
        <v xml:space="preserve"> | </v>
      </c>
      <c r="H159" s="98" t="str">
        <f t="shared" si="136"/>
        <v xml:space="preserve"> | </v>
      </c>
      <c r="I159" s="98" t="str">
        <f t="shared" si="137"/>
        <v xml:space="preserve"> | Y</v>
      </c>
      <c r="J159" s="67" t="str">
        <f t="shared" si="128"/>
        <v>CM: Increase Defence of bridge officers  OA: Increase mitigation by % of crew's Defence when having Morale</v>
      </c>
      <c r="K159" s="81" t="str">
        <f t="shared" ca="1" si="129"/>
        <v/>
      </c>
      <c r="L159" s="81" t="str">
        <f t="shared" ca="1" si="138"/>
        <v/>
      </c>
    </row>
  </sheetData>
  <autoFilter ref="A1:M1">
    <sortState ref="A2:M142">
      <sortCondition ref="F1"/>
    </sortState>
  </autoFilter>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autoPageBreaks="0"/>
  </sheetPr>
  <dimension ref="A1:AM159"/>
  <sheetViews>
    <sheetView workbookViewId="0">
      <pane xSplit="1" ySplit="1" topLeftCell="J2" activePane="bottomRight" state="frozen"/>
      <selection pane="topRight" activeCell="B1" sqref="B1"/>
      <selection pane="bottomLeft" activeCell="A2" sqref="A2"/>
      <selection pane="bottomRight" activeCell="V12" sqref="V12"/>
    </sheetView>
  </sheetViews>
  <sheetFormatPr defaultRowHeight="15" x14ac:dyDescent="0.25"/>
  <cols>
    <col min="1" max="1" width="17.42578125" style="29" bestFit="1" customWidth="1"/>
    <col min="2" max="2" width="22.85546875" style="29" customWidth="1"/>
    <col min="3" max="3" width="56.7109375" style="29" customWidth="1"/>
    <col min="4" max="8" width="7.7109375" style="68" customWidth="1"/>
    <col min="9" max="9" width="57.42578125" style="67" customWidth="1"/>
    <col min="10" max="10" width="9.42578125" style="68" bestFit="1" customWidth="1"/>
    <col min="11" max="11" width="21.5703125" style="67" customWidth="1"/>
    <col min="12" max="12" width="12.42578125" style="67" customWidth="1"/>
    <col min="13" max="13" width="11.7109375" style="68" bestFit="1" customWidth="1"/>
    <col min="14" max="14" width="12" style="68" bestFit="1" customWidth="1"/>
    <col min="15" max="16" width="7.85546875" style="68" bestFit="1" customWidth="1"/>
    <col min="17" max="18" width="7" style="68" bestFit="1" customWidth="1"/>
    <col min="19" max="19" width="7.28515625" style="68" bestFit="1" customWidth="1"/>
    <col min="20" max="20" width="7" style="68" customWidth="1"/>
    <col min="21" max="21" width="6.7109375" style="67" bestFit="1" customWidth="1"/>
    <col min="22" max="22" width="6.5703125" style="68" bestFit="1" customWidth="1"/>
    <col min="23" max="24" width="8.42578125" style="68" bestFit="1" customWidth="1"/>
    <col min="25" max="25" width="6.85546875" style="68" bestFit="1" customWidth="1"/>
    <col min="26" max="26" width="8.42578125" style="68" bestFit="1" customWidth="1"/>
    <col min="27" max="32" width="9.140625" style="68"/>
    <col min="33" max="33" width="9.140625" style="487"/>
    <col min="34" max="34" width="31.7109375" style="67" customWidth="1"/>
    <col min="35" max="39" width="8.28515625" style="67" customWidth="1"/>
    <col min="40" max="16384" width="9.140625" style="67"/>
  </cols>
  <sheetData>
    <row r="1" spans="1:39" s="71" customFormat="1" ht="45" x14ac:dyDescent="0.25">
      <c r="A1" s="72" t="s">
        <v>3</v>
      </c>
      <c r="B1" s="72" t="s">
        <v>355</v>
      </c>
      <c r="C1" s="72" t="s">
        <v>335</v>
      </c>
      <c r="D1" s="73" t="s">
        <v>329</v>
      </c>
      <c r="E1" s="73" t="s">
        <v>330</v>
      </c>
      <c r="F1" s="73" t="s">
        <v>331</v>
      </c>
      <c r="G1" s="73" t="s">
        <v>332</v>
      </c>
      <c r="H1" s="73" t="s">
        <v>333</v>
      </c>
      <c r="I1" s="71" t="s">
        <v>334</v>
      </c>
      <c r="J1" s="73" t="s">
        <v>340</v>
      </c>
      <c r="K1" s="71" t="s">
        <v>336</v>
      </c>
      <c r="L1" s="71" t="s">
        <v>337</v>
      </c>
      <c r="M1" s="73" t="s">
        <v>338</v>
      </c>
      <c r="N1" s="73" t="s">
        <v>339</v>
      </c>
      <c r="O1" s="73" t="s">
        <v>362</v>
      </c>
      <c r="P1" s="73" t="s">
        <v>363</v>
      </c>
      <c r="Q1" s="73" t="s">
        <v>364</v>
      </c>
      <c r="R1" s="73" t="s">
        <v>365</v>
      </c>
      <c r="S1" s="73" t="s">
        <v>366</v>
      </c>
      <c r="T1" s="73" t="s">
        <v>497</v>
      </c>
      <c r="U1" s="71" t="s">
        <v>397</v>
      </c>
      <c r="V1" s="73" t="s">
        <v>398</v>
      </c>
      <c r="W1" s="73" t="s">
        <v>399</v>
      </c>
      <c r="X1" s="73" t="s">
        <v>400</v>
      </c>
      <c r="Y1" s="73" t="s">
        <v>401</v>
      </c>
      <c r="Z1" s="73" t="s">
        <v>402</v>
      </c>
      <c r="AA1" s="73" t="s">
        <v>419</v>
      </c>
      <c r="AB1" s="73" t="s">
        <v>420</v>
      </c>
      <c r="AC1" s="73" t="s">
        <v>421</v>
      </c>
      <c r="AD1" s="73" t="s">
        <v>422</v>
      </c>
      <c r="AE1" s="73" t="s">
        <v>423</v>
      </c>
      <c r="AF1" s="73" t="s">
        <v>506</v>
      </c>
      <c r="AG1" s="73" t="s">
        <v>2296</v>
      </c>
      <c r="AH1" s="72" t="s">
        <v>2297</v>
      </c>
      <c r="AI1" s="73" t="s">
        <v>329</v>
      </c>
      <c r="AJ1" s="73" t="s">
        <v>330</v>
      </c>
      <c r="AK1" s="73" t="s">
        <v>331</v>
      </c>
      <c r="AL1" s="73" t="s">
        <v>332</v>
      </c>
      <c r="AM1" s="73" t="s">
        <v>333</v>
      </c>
    </row>
    <row r="2" spans="1:39" x14ac:dyDescent="0.25">
      <c r="A2" s="29" t="s">
        <v>47</v>
      </c>
      <c r="B2" s="29" t="s">
        <v>358</v>
      </c>
      <c r="C2" s="29" t="s">
        <v>356</v>
      </c>
      <c r="D2" s="69">
        <v>0.05</v>
      </c>
      <c r="E2" s="69">
        <v>7.0000000000000007E-2</v>
      </c>
      <c r="F2" s="69">
        <v>0.09</v>
      </c>
      <c r="G2" s="69">
        <v>0.12</v>
      </c>
      <c r="H2" s="69">
        <v>0.15</v>
      </c>
      <c r="I2" s="29" t="s">
        <v>354</v>
      </c>
      <c r="J2" s="69">
        <v>0.04</v>
      </c>
      <c r="K2" s="67" t="s">
        <v>343</v>
      </c>
      <c r="L2" s="67" t="s">
        <v>344</v>
      </c>
      <c r="M2" s="69">
        <v>0.04</v>
      </c>
      <c r="N2" s="69">
        <v>0.02</v>
      </c>
      <c r="U2" s="75"/>
      <c r="V2" s="69"/>
      <c r="W2" s="69"/>
      <c r="X2" s="69">
        <f ca="1">IF(INDEX(RosterRank,MATCH(A2,RosterOfficer,0),0)=0,0,(INDEX(OfficerSkillsFull,MATCH(A2,OfficerSkillsOfficers,0),3+INDEX(RosterRank,MATCH(A2,RosterOfficer,0),0))))</f>
        <v>0</v>
      </c>
      <c r="Y2" s="69"/>
      <c r="Z2" s="69"/>
      <c r="AA2" s="76"/>
      <c r="AB2" s="76"/>
      <c r="AC2" s="76"/>
      <c r="AD2" s="76"/>
      <c r="AE2" s="76"/>
      <c r="AF2" s="76"/>
    </row>
    <row r="3" spans="1:39" x14ac:dyDescent="0.25">
      <c r="A3" s="29" t="s">
        <v>102</v>
      </c>
      <c r="B3" s="29" t="s">
        <v>102</v>
      </c>
      <c r="C3" s="29" t="s">
        <v>601</v>
      </c>
      <c r="D3" s="69">
        <v>0.25</v>
      </c>
      <c r="E3" s="69">
        <v>0.3</v>
      </c>
      <c r="F3" s="69">
        <v>0.35</v>
      </c>
      <c r="G3" s="69">
        <v>0.4</v>
      </c>
      <c r="H3" s="69">
        <v>0.5</v>
      </c>
      <c r="I3" s="67" t="s">
        <v>359</v>
      </c>
      <c r="J3" s="69">
        <v>0.2</v>
      </c>
      <c r="K3" s="67" t="s">
        <v>360</v>
      </c>
      <c r="L3" s="67" t="s">
        <v>341</v>
      </c>
      <c r="M3" s="69">
        <v>0.1</v>
      </c>
      <c r="N3" s="69">
        <v>0.05</v>
      </c>
      <c r="U3" s="75"/>
      <c r="V3" s="69"/>
      <c r="W3" s="69"/>
      <c r="X3" s="69"/>
      <c r="Y3" s="69"/>
      <c r="Z3" s="69"/>
      <c r="AA3" s="76"/>
      <c r="AB3" s="76"/>
      <c r="AC3" s="76"/>
      <c r="AD3" s="76"/>
      <c r="AE3" s="76"/>
      <c r="AF3" s="76"/>
    </row>
    <row r="4" spans="1:39" x14ac:dyDescent="0.25">
      <c r="A4" s="29" t="s">
        <v>84</v>
      </c>
      <c r="B4" s="29" t="s">
        <v>84</v>
      </c>
      <c r="C4" s="29" t="s">
        <v>2299</v>
      </c>
      <c r="D4" s="69">
        <v>0.6</v>
      </c>
      <c r="E4" s="69">
        <v>0.7</v>
      </c>
      <c r="F4" s="69">
        <v>0.8</v>
      </c>
      <c r="G4" s="69">
        <v>0.9</v>
      </c>
      <c r="H4" s="69">
        <v>0.95</v>
      </c>
      <c r="I4" s="67" t="s">
        <v>384</v>
      </c>
      <c r="J4" s="69">
        <v>0.4</v>
      </c>
      <c r="K4" s="67" t="s">
        <v>361</v>
      </c>
      <c r="L4" s="67" t="s">
        <v>346</v>
      </c>
      <c r="M4" s="69">
        <v>0.2</v>
      </c>
      <c r="N4" s="69">
        <v>0.1</v>
      </c>
      <c r="O4" s="68" t="s">
        <v>367</v>
      </c>
      <c r="U4" s="75"/>
      <c r="V4" s="69"/>
      <c r="W4" s="69"/>
      <c r="X4" s="69"/>
      <c r="Y4" s="69"/>
      <c r="Z4" s="69"/>
      <c r="AA4" s="76"/>
      <c r="AB4" s="76"/>
      <c r="AC4" s="76"/>
      <c r="AD4" s="76"/>
      <c r="AE4" s="76"/>
      <c r="AF4" s="76"/>
    </row>
    <row r="5" spans="1:39" x14ac:dyDescent="0.25">
      <c r="A5" s="29" t="s">
        <v>31</v>
      </c>
      <c r="B5" s="29" t="s">
        <v>31</v>
      </c>
      <c r="C5" s="29" t="s">
        <v>368</v>
      </c>
      <c r="D5" s="69">
        <v>0.15</v>
      </c>
      <c r="E5" s="69">
        <v>0.2</v>
      </c>
      <c r="F5" s="69">
        <v>0.3</v>
      </c>
      <c r="G5" s="69">
        <v>0.4</v>
      </c>
      <c r="H5" s="69">
        <v>0.5</v>
      </c>
      <c r="I5" s="67" t="s">
        <v>404</v>
      </c>
      <c r="J5" s="69">
        <v>0.1</v>
      </c>
      <c r="K5" s="67" t="s">
        <v>369</v>
      </c>
      <c r="L5" s="67" t="s">
        <v>344</v>
      </c>
      <c r="M5" s="69">
        <v>0.05</v>
      </c>
      <c r="N5" s="69">
        <v>0.02</v>
      </c>
      <c r="O5" s="98" t="s">
        <v>367</v>
      </c>
      <c r="P5" s="98"/>
      <c r="Q5" s="98"/>
      <c r="R5" s="98"/>
      <c r="S5" s="98"/>
      <c r="T5" s="98"/>
      <c r="U5" s="75"/>
      <c r="V5" s="69"/>
      <c r="W5" s="69"/>
      <c r="X5" s="69"/>
      <c r="Y5" s="69"/>
      <c r="Z5" s="69"/>
      <c r="AA5" s="76"/>
      <c r="AB5" s="76"/>
      <c r="AC5" s="76"/>
      <c r="AD5" s="76"/>
      <c r="AE5" s="76"/>
      <c r="AF5" s="76"/>
    </row>
    <row r="6" spans="1:39" x14ac:dyDescent="0.25">
      <c r="A6" s="29" t="s">
        <v>29</v>
      </c>
      <c r="B6" s="29" t="s">
        <v>374</v>
      </c>
      <c r="C6" s="29" t="s">
        <v>393</v>
      </c>
      <c r="D6" s="69">
        <v>0.1</v>
      </c>
      <c r="E6" s="69">
        <v>0.12</v>
      </c>
      <c r="F6" s="69">
        <v>0.14000000000000001</v>
      </c>
      <c r="G6" s="69">
        <v>0.16</v>
      </c>
      <c r="H6" s="69">
        <v>0.2</v>
      </c>
      <c r="I6" s="67" t="s">
        <v>405</v>
      </c>
      <c r="J6" s="69">
        <v>0.5</v>
      </c>
      <c r="K6" s="67" t="s">
        <v>370</v>
      </c>
      <c r="L6" s="67" t="s">
        <v>346</v>
      </c>
      <c r="M6" s="69">
        <v>0.2</v>
      </c>
      <c r="N6" s="69">
        <v>0.1</v>
      </c>
      <c r="O6" s="341"/>
      <c r="P6" s="341"/>
      <c r="Q6" s="341"/>
      <c r="R6" s="341"/>
      <c r="S6" s="341" t="s">
        <v>367</v>
      </c>
      <c r="T6" s="341"/>
      <c r="U6" s="75"/>
      <c r="V6" s="69"/>
      <c r="W6" s="69"/>
      <c r="X6" s="69"/>
      <c r="Y6" s="69"/>
      <c r="Z6" s="69"/>
      <c r="AA6" s="76"/>
      <c r="AB6" s="76"/>
      <c r="AC6" s="76"/>
      <c r="AD6" s="76"/>
      <c r="AE6" s="76"/>
      <c r="AF6" s="76"/>
    </row>
    <row r="7" spans="1:39" x14ac:dyDescent="0.25">
      <c r="A7" s="29" t="s">
        <v>1973</v>
      </c>
      <c r="B7" s="29" t="s">
        <v>1973</v>
      </c>
      <c r="C7" s="29" t="s">
        <v>1980</v>
      </c>
      <c r="D7" s="69">
        <v>0.25</v>
      </c>
      <c r="E7" s="69">
        <v>0.3</v>
      </c>
      <c r="F7" s="69">
        <v>0.4</v>
      </c>
      <c r="G7" s="69">
        <v>0.45</v>
      </c>
      <c r="H7" s="69">
        <v>0.5</v>
      </c>
      <c r="I7" s="67" t="s">
        <v>1981</v>
      </c>
      <c r="J7" s="69">
        <v>65</v>
      </c>
      <c r="K7" s="67" t="s">
        <v>1982</v>
      </c>
      <c r="L7" s="67" t="s">
        <v>344</v>
      </c>
      <c r="M7" s="69">
        <v>30</v>
      </c>
      <c r="N7" s="69">
        <v>12</v>
      </c>
      <c r="O7" s="487"/>
      <c r="P7" s="487"/>
      <c r="Q7" s="487"/>
      <c r="R7" s="487"/>
      <c r="S7" s="487"/>
      <c r="T7" s="487"/>
      <c r="U7" s="75"/>
      <c r="V7" s="69"/>
      <c r="W7" s="69"/>
      <c r="X7" s="69"/>
      <c r="Y7" s="69"/>
      <c r="Z7" s="69"/>
      <c r="AA7" s="76"/>
      <c r="AB7" s="76"/>
      <c r="AC7" s="76"/>
      <c r="AD7" s="76"/>
      <c r="AE7" s="76"/>
      <c r="AF7" s="76"/>
    </row>
    <row r="8" spans="1:39" x14ac:dyDescent="0.25">
      <c r="A8" s="29" t="s">
        <v>22</v>
      </c>
      <c r="B8" s="29" t="s">
        <v>22</v>
      </c>
      <c r="C8" s="29" t="s">
        <v>381</v>
      </c>
      <c r="D8" s="69">
        <v>0.1</v>
      </c>
      <c r="E8" s="69">
        <v>0.15</v>
      </c>
      <c r="F8" s="69">
        <v>0.2</v>
      </c>
      <c r="G8" s="69">
        <v>0.3</v>
      </c>
      <c r="H8" s="69">
        <v>0.4</v>
      </c>
      <c r="I8" s="67" t="s">
        <v>406</v>
      </c>
      <c r="J8" s="69">
        <v>0.2</v>
      </c>
      <c r="K8" s="67" t="s">
        <v>371</v>
      </c>
      <c r="L8" s="67" t="s">
        <v>344</v>
      </c>
      <c r="M8" s="69">
        <v>0.15</v>
      </c>
      <c r="N8" s="69">
        <v>0.05</v>
      </c>
      <c r="O8" s="376"/>
      <c r="P8" s="376"/>
      <c r="Q8" s="376" t="s">
        <v>367</v>
      </c>
      <c r="R8" s="376"/>
      <c r="S8" s="376"/>
      <c r="T8" s="376"/>
      <c r="U8" s="75"/>
      <c r="V8" s="69"/>
      <c r="W8" s="69"/>
      <c r="X8" s="69"/>
      <c r="Y8" s="69"/>
      <c r="Z8" s="69"/>
      <c r="AA8" s="76"/>
      <c r="AB8" s="76"/>
      <c r="AC8" s="76"/>
      <c r="AD8" s="76"/>
      <c r="AE8" s="76"/>
      <c r="AF8" s="76"/>
    </row>
    <row r="9" spans="1:39" x14ac:dyDescent="0.25">
      <c r="A9" s="29" t="s">
        <v>2291</v>
      </c>
      <c r="B9" s="29" t="s">
        <v>2291</v>
      </c>
      <c r="C9" s="29" t="s">
        <v>2298</v>
      </c>
      <c r="D9" s="69">
        <v>0.05</v>
      </c>
      <c r="E9" s="69">
        <v>0.12</v>
      </c>
      <c r="F9" s="69">
        <v>0.15</v>
      </c>
      <c r="G9" s="69">
        <v>0.18</v>
      </c>
      <c r="H9" s="69">
        <v>0.2</v>
      </c>
      <c r="I9" s="67" t="s">
        <v>2302</v>
      </c>
      <c r="J9" s="69">
        <v>0</v>
      </c>
      <c r="K9" s="67" t="s">
        <v>2303</v>
      </c>
      <c r="L9" s="67" t="s">
        <v>344</v>
      </c>
      <c r="M9" s="69">
        <v>0</v>
      </c>
      <c r="N9" s="69">
        <v>0</v>
      </c>
      <c r="O9" s="487"/>
      <c r="P9" s="487"/>
      <c r="Q9" s="487"/>
      <c r="R9" s="487"/>
      <c r="S9" s="487"/>
      <c r="T9" s="487"/>
      <c r="U9" s="75"/>
      <c r="V9" s="69"/>
      <c r="W9" s="69"/>
      <c r="X9" s="69"/>
      <c r="Y9" s="69"/>
      <c r="Z9" s="69"/>
      <c r="AA9" s="76"/>
      <c r="AB9" s="76"/>
      <c r="AC9" s="76"/>
      <c r="AD9" s="76"/>
      <c r="AE9" s="76"/>
      <c r="AF9" s="76"/>
      <c r="AG9" s="487" t="s">
        <v>367</v>
      </c>
      <c r="AH9" s="67" t="s">
        <v>2300</v>
      </c>
      <c r="AI9" s="284">
        <v>0.125</v>
      </c>
      <c r="AJ9" s="75">
        <v>0.2</v>
      </c>
      <c r="AK9" s="284">
        <v>0.27500000000000002</v>
      </c>
      <c r="AL9" s="284">
        <v>0.42499999999999999</v>
      </c>
      <c r="AM9" s="75">
        <v>0.6</v>
      </c>
    </row>
    <row r="10" spans="1:39" x14ac:dyDescent="0.25">
      <c r="A10" s="29" t="s">
        <v>1938</v>
      </c>
      <c r="B10" s="29" t="s">
        <v>1938</v>
      </c>
      <c r="C10" s="29" t="s">
        <v>1940</v>
      </c>
      <c r="D10" s="69">
        <v>2</v>
      </c>
      <c r="E10" s="69">
        <v>5</v>
      </c>
      <c r="F10" s="69">
        <v>8</v>
      </c>
      <c r="G10" s="69">
        <v>11</v>
      </c>
      <c r="H10" s="69">
        <v>14</v>
      </c>
      <c r="I10" s="67" t="s">
        <v>394</v>
      </c>
      <c r="J10" s="69">
        <v>0.25</v>
      </c>
      <c r="K10" s="67" t="s">
        <v>1568</v>
      </c>
      <c r="L10" s="67" t="s">
        <v>341</v>
      </c>
      <c r="M10" s="69">
        <v>0.05</v>
      </c>
      <c r="N10" s="484">
        <v>2.5000000000000001E-2</v>
      </c>
      <c r="O10" s="479"/>
      <c r="P10" s="479"/>
      <c r="Q10" s="479"/>
      <c r="R10" s="479"/>
      <c r="S10" s="479"/>
      <c r="T10" s="479"/>
      <c r="U10" s="75"/>
      <c r="V10" s="69"/>
      <c r="W10" s="69"/>
      <c r="X10" s="69"/>
      <c r="Y10" s="69"/>
      <c r="Z10" s="69"/>
      <c r="AA10" s="76"/>
      <c r="AB10" s="76"/>
      <c r="AC10" s="76"/>
      <c r="AD10" s="76"/>
      <c r="AE10" s="76"/>
      <c r="AF10" s="76"/>
    </row>
    <row r="11" spans="1:39" x14ac:dyDescent="0.25">
      <c r="A11" s="29" t="s">
        <v>43</v>
      </c>
      <c r="B11" s="29" t="s">
        <v>43</v>
      </c>
      <c r="C11" s="29" t="s">
        <v>372</v>
      </c>
      <c r="D11" s="69">
        <v>0.1</v>
      </c>
      <c r="E11" s="69">
        <v>0.15</v>
      </c>
      <c r="F11" s="69">
        <v>0.2</v>
      </c>
      <c r="G11" s="69">
        <v>0.25</v>
      </c>
      <c r="H11" s="69">
        <v>0.3</v>
      </c>
      <c r="I11" s="67" t="s">
        <v>385</v>
      </c>
      <c r="J11" s="69">
        <v>0.4</v>
      </c>
      <c r="K11" s="67" t="s">
        <v>373</v>
      </c>
      <c r="L11" s="67" t="s">
        <v>344</v>
      </c>
      <c r="M11" s="69">
        <v>0.3</v>
      </c>
      <c r="N11" s="69">
        <v>0.2</v>
      </c>
      <c r="U11" s="75"/>
      <c r="V11" s="69"/>
      <c r="W11" s="69"/>
      <c r="X11" s="69"/>
      <c r="Y11" s="69"/>
      <c r="Z11" s="69"/>
      <c r="AA11" s="76"/>
      <c r="AB11" s="76"/>
      <c r="AC11" s="76"/>
      <c r="AD11" s="76"/>
      <c r="AE11" s="76"/>
      <c r="AF11" s="76"/>
    </row>
    <row r="12" spans="1:39" x14ac:dyDescent="0.25">
      <c r="A12" s="29" t="s">
        <v>2293</v>
      </c>
      <c r="B12" s="29" t="s">
        <v>2293</v>
      </c>
      <c r="C12" s="29" t="s">
        <v>2301</v>
      </c>
      <c r="D12" s="69">
        <v>0.05</v>
      </c>
      <c r="E12" s="69">
        <v>0.1</v>
      </c>
      <c r="F12" s="69">
        <v>0.15</v>
      </c>
      <c r="G12" s="69">
        <v>0.25</v>
      </c>
      <c r="H12" s="69">
        <v>0.3</v>
      </c>
      <c r="I12" s="67" t="s">
        <v>2302</v>
      </c>
      <c r="J12" s="69">
        <v>0</v>
      </c>
      <c r="K12" s="67" t="s">
        <v>2303</v>
      </c>
      <c r="L12" s="67" t="s">
        <v>346</v>
      </c>
      <c r="M12" s="69">
        <v>0</v>
      </c>
      <c r="N12" s="69">
        <v>0</v>
      </c>
      <c r="O12" s="487"/>
      <c r="P12" s="487"/>
      <c r="Q12" s="487"/>
      <c r="R12" s="487"/>
      <c r="S12" s="487"/>
      <c r="T12" s="487"/>
      <c r="U12" s="75"/>
      <c r="V12" s="69">
        <f ca="1">IF(INDEX(RosterRank,MATCH(A12,RosterOfficer,0),0)=0,0,(INDEX(OfficerSkillsFull,MATCH(A12,OfficerSkillsOfficers,0),3+INDEX(RosterRank,MATCH(A12,RosterOfficer,0),0))))</f>
        <v>0</v>
      </c>
      <c r="W12" s="69"/>
      <c r="X12" s="69"/>
      <c r="Y12" s="69"/>
      <c r="Z12" s="69"/>
      <c r="AA12" s="76"/>
      <c r="AB12" s="76"/>
      <c r="AC12" s="76"/>
      <c r="AD12" s="76"/>
      <c r="AE12" s="76"/>
      <c r="AF12" s="76"/>
      <c r="AG12" s="487" t="s">
        <v>367</v>
      </c>
      <c r="AH12" s="67" t="s">
        <v>2304</v>
      </c>
      <c r="AI12" s="75">
        <v>0.4</v>
      </c>
      <c r="AJ12" s="75">
        <v>0.55000000000000004</v>
      </c>
      <c r="AK12" s="75">
        <v>0.75</v>
      </c>
      <c r="AL12" s="75">
        <v>0.95</v>
      </c>
      <c r="AM12" s="75">
        <v>1.2</v>
      </c>
    </row>
    <row r="13" spans="1:39" x14ac:dyDescent="0.25">
      <c r="A13" s="29" t="s">
        <v>1939</v>
      </c>
      <c r="B13" s="29" t="s">
        <v>1939</v>
      </c>
      <c r="C13" s="29" t="s">
        <v>1942</v>
      </c>
      <c r="D13" s="69">
        <v>0.1</v>
      </c>
      <c r="E13" s="69">
        <v>0.14000000000000001</v>
      </c>
      <c r="F13" s="69">
        <v>0.22</v>
      </c>
      <c r="G13" s="69">
        <v>0.34</v>
      </c>
      <c r="H13" s="69">
        <v>0.5</v>
      </c>
      <c r="I13" s="67" t="s">
        <v>1941</v>
      </c>
      <c r="J13" s="69">
        <v>0.2</v>
      </c>
      <c r="K13" s="67" t="s">
        <v>1656</v>
      </c>
      <c r="L13" s="67" t="s">
        <v>344</v>
      </c>
      <c r="M13" s="69">
        <v>0.1</v>
      </c>
      <c r="N13" s="69">
        <v>0.05</v>
      </c>
      <c r="O13" s="479"/>
      <c r="P13" s="479"/>
      <c r="Q13" s="479"/>
      <c r="R13" s="479"/>
      <c r="S13" s="479"/>
      <c r="T13" s="479"/>
      <c r="U13" s="75"/>
      <c r="V13" s="69"/>
      <c r="W13" s="69"/>
      <c r="X13" s="69"/>
      <c r="Y13" s="69"/>
      <c r="Z13" s="69"/>
      <c r="AA13" s="76"/>
      <c r="AB13" s="76"/>
      <c r="AC13" s="76"/>
      <c r="AD13" s="76"/>
      <c r="AE13" s="76"/>
      <c r="AF13" s="76"/>
    </row>
    <row r="14" spans="1:39" x14ac:dyDescent="0.25">
      <c r="A14" s="29" t="s">
        <v>731</v>
      </c>
      <c r="B14" s="29" t="s">
        <v>731</v>
      </c>
      <c r="C14" s="29" t="s">
        <v>765</v>
      </c>
      <c r="D14" s="69">
        <v>1.5</v>
      </c>
      <c r="E14" s="69">
        <v>2</v>
      </c>
      <c r="F14" s="69">
        <v>2.5</v>
      </c>
      <c r="G14" s="69">
        <v>3</v>
      </c>
      <c r="H14" s="69">
        <v>3.5</v>
      </c>
      <c r="I14" s="67" t="s">
        <v>766</v>
      </c>
      <c r="J14" s="69">
        <v>2</v>
      </c>
      <c r="K14" s="67" t="s">
        <v>760</v>
      </c>
      <c r="L14" s="67" t="s">
        <v>344</v>
      </c>
      <c r="M14" s="69">
        <v>1</v>
      </c>
      <c r="N14" s="69">
        <v>0.5</v>
      </c>
      <c r="U14" s="75"/>
      <c r="V14" s="69"/>
      <c r="W14" s="69"/>
      <c r="X14" s="69"/>
      <c r="Y14" s="69"/>
      <c r="Z14" s="69"/>
      <c r="AA14" s="76"/>
      <c r="AB14" s="76"/>
      <c r="AC14" s="76"/>
      <c r="AD14" s="76"/>
      <c r="AE14" s="76"/>
      <c r="AF14" s="76"/>
    </row>
    <row r="15" spans="1:39" x14ac:dyDescent="0.25">
      <c r="A15" s="29" t="s">
        <v>44</v>
      </c>
      <c r="B15" s="29" t="s">
        <v>375</v>
      </c>
      <c r="C15" s="29" t="s">
        <v>376</v>
      </c>
      <c r="D15" s="69">
        <v>0.1</v>
      </c>
      <c r="E15" s="69">
        <v>0.15</v>
      </c>
      <c r="F15" s="69">
        <v>0.2</v>
      </c>
      <c r="G15" s="69">
        <v>0.25</v>
      </c>
      <c r="H15" s="69">
        <v>0.3</v>
      </c>
      <c r="I15" s="67" t="s">
        <v>377</v>
      </c>
      <c r="J15" s="69">
        <v>0.2</v>
      </c>
      <c r="K15" s="67" t="s">
        <v>370</v>
      </c>
      <c r="L15" s="67" t="s">
        <v>344</v>
      </c>
      <c r="M15" s="69">
        <v>0.15</v>
      </c>
      <c r="N15" s="69">
        <v>7.0000000000000007E-2</v>
      </c>
      <c r="U15" s="75"/>
      <c r="V15" s="69"/>
      <c r="W15" s="69"/>
      <c r="X15" s="69"/>
      <c r="Y15" s="69"/>
      <c r="Z15" s="69"/>
      <c r="AA15" s="76"/>
      <c r="AB15" s="76"/>
      <c r="AC15" s="76"/>
      <c r="AD15" s="76"/>
      <c r="AE15" s="76"/>
      <c r="AF15" s="76"/>
    </row>
    <row r="16" spans="1:39" x14ac:dyDescent="0.25">
      <c r="A16" s="29" t="s">
        <v>2295</v>
      </c>
      <c r="B16" s="29" t="s">
        <v>2295</v>
      </c>
      <c r="C16" s="29" t="s">
        <v>2305</v>
      </c>
      <c r="D16" s="69">
        <v>0.3</v>
      </c>
      <c r="E16" s="69">
        <v>0.35</v>
      </c>
      <c r="F16" s="69">
        <v>0.4</v>
      </c>
      <c r="G16" s="69">
        <v>0.45</v>
      </c>
      <c r="H16" s="69">
        <v>0.5</v>
      </c>
      <c r="I16" s="67" t="s">
        <v>2302</v>
      </c>
      <c r="J16" s="69">
        <v>0</v>
      </c>
      <c r="K16" s="67" t="s">
        <v>2303</v>
      </c>
      <c r="L16" s="67" t="s">
        <v>346</v>
      </c>
      <c r="M16" s="69">
        <v>0</v>
      </c>
      <c r="N16" s="69">
        <v>0</v>
      </c>
      <c r="O16" s="487"/>
      <c r="P16" s="487"/>
      <c r="Q16" s="487"/>
      <c r="R16" s="487"/>
      <c r="S16" s="487"/>
      <c r="T16" s="487"/>
      <c r="U16" s="75"/>
      <c r="V16" s="69"/>
      <c r="W16" s="69"/>
      <c r="X16" s="69"/>
      <c r="Y16" s="69"/>
      <c r="Z16" s="69"/>
      <c r="AA16" s="76"/>
      <c r="AB16" s="76"/>
      <c r="AC16" s="76"/>
      <c r="AD16" s="76"/>
      <c r="AE16" s="76"/>
      <c r="AF16" s="76"/>
      <c r="AG16" s="487" t="s">
        <v>367</v>
      </c>
      <c r="AH16" s="67" t="s">
        <v>2306</v>
      </c>
      <c r="AI16" s="75">
        <v>0.45</v>
      </c>
      <c r="AJ16" s="474">
        <v>0.625</v>
      </c>
      <c r="AK16" s="75">
        <v>0.8</v>
      </c>
      <c r="AL16" s="75">
        <v>1</v>
      </c>
      <c r="AM16" s="75">
        <v>1.25</v>
      </c>
    </row>
    <row r="17" spans="1:32" x14ac:dyDescent="0.25">
      <c r="A17" s="29" t="s">
        <v>13</v>
      </c>
      <c r="B17" s="29" t="s">
        <v>387</v>
      </c>
      <c r="C17" s="29" t="s">
        <v>394</v>
      </c>
      <c r="D17" s="69">
        <v>0.05</v>
      </c>
      <c r="E17" s="69">
        <v>0.08</v>
      </c>
      <c r="F17" s="69">
        <v>0.12</v>
      </c>
      <c r="G17" s="69">
        <v>0.15</v>
      </c>
      <c r="H17" s="69">
        <v>0.2</v>
      </c>
      <c r="I17" s="67" t="s">
        <v>388</v>
      </c>
      <c r="J17" s="69">
        <v>0.08</v>
      </c>
      <c r="K17" s="67" t="s">
        <v>380</v>
      </c>
      <c r="L17" s="67" t="s">
        <v>346</v>
      </c>
      <c r="M17" s="69">
        <v>0.06</v>
      </c>
      <c r="N17" s="69">
        <v>0.03</v>
      </c>
      <c r="U17" s="75"/>
      <c r="V17" s="69"/>
      <c r="W17" s="69"/>
      <c r="X17" s="69"/>
      <c r="Y17" s="69"/>
      <c r="Z17" s="69"/>
      <c r="AA17" s="76" t="s">
        <v>367</v>
      </c>
      <c r="AB17" s="76"/>
      <c r="AC17" s="76" t="s">
        <v>367</v>
      </c>
      <c r="AD17" s="76"/>
      <c r="AE17" s="76" t="s">
        <v>367</v>
      </c>
      <c r="AF17" s="76"/>
    </row>
    <row r="18" spans="1:32" x14ac:dyDescent="0.25">
      <c r="A18" s="29" t="s">
        <v>14</v>
      </c>
      <c r="B18" s="29" t="s">
        <v>389</v>
      </c>
      <c r="C18" s="29" t="s">
        <v>390</v>
      </c>
      <c r="D18" s="69">
        <v>0.04</v>
      </c>
      <c r="E18" s="69">
        <v>0.06</v>
      </c>
      <c r="F18" s="69">
        <v>0.08</v>
      </c>
      <c r="G18" s="69">
        <v>0.1</v>
      </c>
      <c r="H18" s="69">
        <v>0.12</v>
      </c>
      <c r="I18" s="29" t="s">
        <v>350</v>
      </c>
      <c r="J18" s="69">
        <v>0.1</v>
      </c>
      <c r="K18" s="67" t="s">
        <v>380</v>
      </c>
      <c r="L18" s="67" t="s">
        <v>344</v>
      </c>
      <c r="M18" s="69">
        <v>0.1</v>
      </c>
      <c r="N18" s="69">
        <v>0.05</v>
      </c>
      <c r="U18" s="75"/>
      <c r="V18" s="69"/>
      <c r="W18" s="69"/>
      <c r="X18" s="69"/>
      <c r="Y18" s="69"/>
      <c r="Z18" s="69"/>
      <c r="AA18" s="76"/>
      <c r="AB18" s="76"/>
      <c r="AC18" s="76"/>
      <c r="AD18" s="76"/>
      <c r="AE18" s="76"/>
      <c r="AF18" s="76" t="s">
        <v>367</v>
      </c>
    </row>
    <row r="19" spans="1:32" x14ac:dyDescent="0.25">
      <c r="A19" s="29" t="s">
        <v>15</v>
      </c>
      <c r="B19" s="29" t="s">
        <v>391</v>
      </c>
      <c r="C19" s="29" t="s">
        <v>395</v>
      </c>
      <c r="D19" s="74">
        <v>1</v>
      </c>
      <c r="E19" s="74">
        <v>2</v>
      </c>
      <c r="F19" s="74">
        <v>3</v>
      </c>
      <c r="G19" s="74">
        <v>4</v>
      </c>
      <c r="H19" s="74">
        <v>5</v>
      </c>
      <c r="I19" s="67" t="s">
        <v>392</v>
      </c>
      <c r="J19" s="69">
        <v>0.1</v>
      </c>
      <c r="K19" s="67" t="s">
        <v>380</v>
      </c>
      <c r="L19" s="67" t="s">
        <v>341</v>
      </c>
      <c r="M19" s="69">
        <v>0.05</v>
      </c>
      <c r="N19" s="69">
        <v>0.02</v>
      </c>
      <c r="U19" s="75"/>
      <c r="V19" s="69"/>
      <c r="W19" s="69"/>
      <c r="X19" s="69"/>
      <c r="Y19" s="69"/>
      <c r="Z19" s="69"/>
      <c r="AA19" s="76"/>
      <c r="AB19" s="76"/>
      <c r="AC19" s="76"/>
      <c r="AD19" s="76"/>
      <c r="AE19" s="76"/>
      <c r="AF19" s="76"/>
    </row>
    <row r="20" spans="1:32" x14ac:dyDescent="0.25">
      <c r="A20" s="29" t="s">
        <v>18</v>
      </c>
      <c r="B20" s="29" t="s">
        <v>378</v>
      </c>
      <c r="C20" s="29" t="s">
        <v>532</v>
      </c>
      <c r="D20" s="69">
        <v>0.05</v>
      </c>
      <c r="E20" s="69">
        <v>0.08</v>
      </c>
      <c r="F20" s="69">
        <v>0.1</v>
      </c>
      <c r="G20" s="69">
        <v>0.12</v>
      </c>
      <c r="H20" s="69">
        <v>0.15</v>
      </c>
      <c r="I20" s="67" t="s">
        <v>379</v>
      </c>
      <c r="J20" s="69">
        <v>0.05</v>
      </c>
      <c r="K20" s="67" t="s">
        <v>380</v>
      </c>
      <c r="L20" s="67" t="s">
        <v>346</v>
      </c>
      <c r="M20" s="69">
        <v>0.1</v>
      </c>
      <c r="N20" s="69">
        <v>0.05</v>
      </c>
      <c r="U20" s="75">
        <f ca="1">IF(INDEX(RosterRank,MATCH(A20,RosterOfficer,0),0)=0,0,(INDEX(OfficerSkillsFull,MATCH(A20,OfficerSkillsOfficers,0),3+INDEX(RosterRank,MATCH(A20,RosterOfficer,0),0))))</f>
        <v>0</v>
      </c>
      <c r="V20" s="69"/>
      <c r="W20" s="69"/>
      <c r="X20" s="69"/>
      <c r="Y20" s="69"/>
      <c r="Z20" s="69"/>
      <c r="AA20" s="76"/>
      <c r="AB20" s="76"/>
      <c r="AC20" s="76"/>
      <c r="AD20" s="76"/>
      <c r="AE20" s="76"/>
      <c r="AF20" s="76"/>
    </row>
    <row r="21" spans="1:32" x14ac:dyDescent="0.25">
      <c r="A21" s="29" t="s">
        <v>17</v>
      </c>
      <c r="B21" s="29" t="s">
        <v>17</v>
      </c>
      <c r="C21" s="29" t="s">
        <v>393</v>
      </c>
      <c r="D21" s="69">
        <v>0.05</v>
      </c>
      <c r="E21" s="69">
        <v>7.0000000000000007E-2</v>
      </c>
      <c r="F21" s="69">
        <v>0.09</v>
      </c>
      <c r="G21" s="69">
        <v>0.11</v>
      </c>
      <c r="H21" s="69">
        <v>0.14000000000000001</v>
      </c>
      <c r="I21" s="67" t="s">
        <v>396</v>
      </c>
      <c r="J21" s="69">
        <v>0.1</v>
      </c>
      <c r="K21" s="67" t="s">
        <v>380</v>
      </c>
      <c r="L21" s="67" t="s">
        <v>341</v>
      </c>
      <c r="M21" s="69">
        <v>0.05</v>
      </c>
      <c r="N21" s="69">
        <v>0.02</v>
      </c>
      <c r="U21" s="75"/>
      <c r="V21" s="69"/>
      <c r="W21" s="69"/>
      <c r="X21" s="69"/>
      <c r="Y21" s="69"/>
      <c r="Z21" s="69"/>
      <c r="AA21" s="76"/>
      <c r="AB21" s="76"/>
      <c r="AC21" s="76"/>
      <c r="AD21" s="76"/>
      <c r="AE21" s="76"/>
      <c r="AF21" s="76"/>
    </row>
    <row r="22" spans="1:32" x14ac:dyDescent="0.25">
      <c r="A22" s="29" t="s">
        <v>97</v>
      </c>
      <c r="B22" s="29" t="s">
        <v>97</v>
      </c>
      <c r="C22" s="29" t="s">
        <v>706</v>
      </c>
      <c r="D22" s="69">
        <v>0.5</v>
      </c>
      <c r="E22" s="69">
        <v>0.6</v>
      </c>
      <c r="F22" s="69">
        <v>0.7</v>
      </c>
      <c r="G22" s="69">
        <v>0.8</v>
      </c>
      <c r="H22" s="69">
        <v>1</v>
      </c>
      <c r="I22" s="29" t="s">
        <v>707</v>
      </c>
      <c r="J22" s="69">
        <v>0.5</v>
      </c>
      <c r="K22" s="67" t="s">
        <v>666</v>
      </c>
      <c r="L22" s="67" t="s">
        <v>341</v>
      </c>
      <c r="M22" s="69">
        <v>0.25</v>
      </c>
      <c r="N22" s="69">
        <v>0.15</v>
      </c>
      <c r="R22" s="68" t="s">
        <v>367</v>
      </c>
      <c r="U22" s="75"/>
      <c r="V22" s="69"/>
      <c r="W22" s="69"/>
      <c r="X22" s="69"/>
      <c r="Y22" s="69"/>
      <c r="Z22" s="69"/>
      <c r="AA22" s="76"/>
      <c r="AB22" s="76"/>
      <c r="AC22" s="76"/>
      <c r="AD22" s="76"/>
      <c r="AE22" s="76"/>
      <c r="AF22" s="76"/>
    </row>
    <row r="23" spans="1:32" x14ac:dyDescent="0.25">
      <c r="A23" s="29" t="s">
        <v>71</v>
      </c>
      <c r="B23" s="29" t="s">
        <v>408</v>
      </c>
      <c r="C23" s="29" t="s">
        <v>394</v>
      </c>
      <c r="D23" s="69">
        <v>0.2</v>
      </c>
      <c r="E23" s="69">
        <v>0.25</v>
      </c>
      <c r="F23" s="69">
        <v>0.3</v>
      </c>
      <c r="G23" s="69">
        <v>0.35</v>
      </c>
      <c r="H23" s="69">
        <v>0.4</v>
      </c>
      <c r="I23" s="67" t="s">
        <v>409</v>
      </c>
      <c r="J23" s="69">
        <v>0.4</v>
      </c>
      <c r="K23" s="67" t="s">
        <v>343</v>
      </c>
      <c r="L23" s="67" t="s">
        <v>344</v>
      </c>
      <c r="M23" s="69">
        <v>0.1</v>
      </c>
      <c r="N23" s="69">
        <v>0.05</v>
      </c>
      <c r="U23" s="75"/>
      <c r="V23" s="69"/>
      <c r="W23" s="69"/>
      <c r="X23" s="69"/>
      <c r="Y23" s="69"/>
      <c r="Z23" s="69"/>
      <c r="AA23" s="76"/>
      <c r="AB23" s="76"/>
      <c r="AC23" s="76"/>
      <c r="AD23" s="76"/>
      <c r="AE23" s="76"/>
      <c r="AF23" s="76"/>
    </row>
    <row r="24" spans="1:32" x14ac:dyDescent="0.25">
      <c r="A24" s="29" t="s">
        <v>2178</v>
      </c>
      <c r="B24" s="29" t="s">
        <v>2178</v>
      </c>
      <c r="C24" s="29" t="s">
        <v>614</v>
      </c>
      <c r="D24" s="69">
        <v>0.12</v>
      </c>
      <c r="E24" s="69">
        <v>0.15</v>
      </c>
      <c r="F24" s="69">
        <v>0.18</v>
      </c>
      <c r="G24" s="69">
        <v>0.21</v>
      </c>
      <c r="H24" s="69">
        <v>0.25</v>
      </c>
      <c r="I24" s="67" t="s">
        <v>2182</v>
      </c>
      <c r="J24" s="69">
        <v>0.4</v>
      </c>
      <c r="K24" s="67" t="s">
        <v>1982</v>
      </c>
      <c r="L24" s="67" t="s">
        <v>346</v>
      </c>
      <c r="M24" s="69">
        <v>0.1</v>
      </c>
      <c r="N24" s="69">
        <v>0.05</v>
      </c>
      <c r="O24" s="487"/>
      <c r="P24" s="487"/>
      <c r="Q24" s="487"/>
      <c r="R24" s="487"/>
      <c r="S24" s="487"/>
      <c r="T24" s="487"/>
      <c r="U24" s="75"/>
      <c r="V24" s="69"/>
      <c r="W24" s="69"/>
      <c r="X24" s="69"/>
      <c r="Y24" s="69"/>
      <c r="Z24" s="69"/>
      <c r="AA24" s="76"/>
      <c r="AB24" s="76"/>
      <c r="AC24" s="76"/>
      <c r="AD24" s="76"/>
      <c r="AE24" s="76"/>
      <c r="AF24" s="76"/>
    </row>
    <row r="25" spans="1:32" x14ac:dyDescent="0.25">
      <c r="A25" s="29" t="s">
        <v>45</v>
      </c>
      <c r="B25" s="29" t="s">
        <v>45</v>
      </c>
      <c r="C25" s="29" t="s">
        <v>410</v>
      </c>
      <c r="D25" s="69">
        <v>0.3</v>
      </c>
      <c r="E25" s="69">
        <v>0.35</v>
      </c>
      <c r="F25" s="69">
        <v>0.4</v>
      </c>
      <c r="G25" s="69">
        <v>0.45</v>
      </c>
      <c r="H25" s="69">
        <v>0.5</v>
      </c>
      <c r="I25" s="67" t="s">
        <v>411</v>
      </c>
      <c r="J25" s="69">
        <v>0.1</v>
      </c>
      <c r="K25" s="67" t="s">
        <v>371</v>
      </c>
      <c r="L25" s="67" t="s">
        <v>346</v>
      </c>
      <c r="M25" s="69">
        <v>0.2</v>
      </c>
      <c r="N25" s="69">
        <v>0.1</v>
      </c>
      <c r="R25" s="68" t="s">
        <v>367</v>
      </c>
      <c r="U25" s="75"/>
      <c r="V25" s="69"/>
      <c r="W25" s="69"/>
      <c r="X25" s="69"/>
      <c r="Y25" s="69"/>
      <c r="Z25" s="69"/>
      <c r="AA25" s="76"/>
      <c r="AB25" s="76"/>
      <c r="AC25" s="76"/>
      <c r="AD25" s="76"/>
      <c r="AE25" s="76"/>
      <c r="AF25" s="76"/>
    </row>
    <row r="26" spans="1:32" x14ac:dyDescent="0.25">
      <c r="A26" s="29" t="s">
        <v>80</v>
      </c>
      <c r="B26" s="29" t="s">
        <v>415</v>
      </c>
      <c r="C26" s="29" t="s">
        <v>412</v>
      </c>
      <c r="D26" s="69">
        <v>1</v>
      </c>
      <c r="E26" s="69">
        <v>2</v>
      </c>
      <c r="F26" s="69">
        <v>4</v>
      </c>
      <c r="G26" s="69">
        <v>8</v>
      </c>
      <c r="H26" s="69">
        <v>16</v>
      </c>
      <c r="I26" s="67" t="s">
        <v>413</v>
      </c>
      <c r="J26" s="69">
        <v>0.8</v>
      </c>
      <c r="K26" s="67" t="s">
        <v>414</v>
      </c>
      <c r="L26" s="67" t="s">
        <v>346</v>
      </c>
      <c r="M26" s="69">
        <v>0.1</v>
      </c>
      <c r="N26" s="69">
        <v>0.05</v>
      </c>
      <c r="O26" s="110" t="s">
        <v>367</v>
      </c>
      <c r="P26" s="110"/>
      <c r="Q26" s="110"/>
      <c r="R26" s="110"/>
      <c r="S26" s="110"/>
      <c r="T26" s="110"/>
      <c r="U26" s="75"/>
      <c r="V26" s="69"/>
      <c r="W26" s="69"/>
      <c r="X26" s="69"/>
      <c r="Y26" s="69"/>
      <c r="Z26" s="69"/>
      <c r="AA26" s="76"/>
      <c r="AB26" s="76"/>
      <c r="AC26" s="76"/>
      <c r="AD26" s="76"/>
      <c r="AE26" s="76"/>
      <c r="AF26" s="76"/>
    </row>
    <row r="27" spans="1:32" x14ac:dyDescent="0.25">
      <c r="A27" s="29" t="s">
        <v>20</v>
      </c>
      <c r="B27" s="29" t="s">
        <v>418</v>
      </c>
      <c r="C27" s="29" t="s">
        <v>602</v>
      </c>
      <c r="D27" s="69">
        <v>0.1</v>
      </c>
      <c r="E27" s="69">
        <v>0.15</v>
      </c>
      <c r="F27" s="69">
        <v>0.2</v>
      </c>
      <c r="G27" s="69">
        <v>0.25</v>
      </c>
      <c r="H27" s="69">
        <v>0.3</v>
      </c>
      <c r="I27" s="67" t="s">
        <v>417</v>
      </c>
      <c r="J27" s="69">
        <v>0.2</v>
      </c>
      <c r="K27" s="67" t="s">
        <v>416</v>
      </c>
      <c r="L27" s="67" t="s">
        <v>344</v>
      </c>
      <c r="M27" s="69">
        <v>0.15</v>
      </c>
      <c r="N27" s="69">
        <v>0.1</v>
      </c>
      <c r="U27" s="75"/>
      <c r="V27" s="69"/>
      <c r="W27" s="69"/>
      <c r="X27" s="69"/>
      <c r="Y27" s="69"/>
      <c r="Z27" s="69"/>
      <c r="AA27" s="76"/>
      <c r="AB27" s="76"/>
      <c r="AC27" s="76"/>
      <c r="AD27" s="76"/>
      <c r="AE27" s="76"/>
      <c r="AF27" s="76"/>
    </row>
    <row r="28" spans="1:32" x14ac:dyDescent="0.25">
      <c r="A28" s="29" t="s">
        <v>85</v>
      </c>
      <c r="B28" s="29" t="s">
        <v>425</v>
      </c>
      <c r="C28" s="29" t="s">
        <v>424</v>
      </c>
      <c r="D28" s="69">
        <v>0.05</v>
      </c>
      <c r="E28" s="69">
        <v>0.1</v>
      </c>
      <c r="F28" s="69">
        <v>0.15</v>
      </c>
      <c r="G28" s="69">
        <v>0.2</v>
      </c>
      <c r="H28" s="69">
        <v>0.25</v>
      </c>
      <c r="I28" s="67" t="s">
        <v>426</v>
      </c>
      <c r="J28" s="69">
        <v>0.5</v>
      </c>
      <c r="K28" s="67" t="s">
        <v>361</v>
      </c>
      <c r="L28" s="67" t="s">
        <v>344</v>
      </c>
      <c r="M28" s="69">
        <v>0.5</v>
      </c>
      <c r="N28" s="69">
        <v>0.25</v>
      </c>
      <c r="U28" s="75"/>
      <c r="V28" s="69"/>
      <c r="W28" s="69"/>
      <c r="X28" s="69"/>
      <c r="Y28" s="69"/>
      <c r="Z28" s="69"/>
      <c r="AA28" s="76"/>
      <c r="AB28" s="76"/>
      <c r="AC28" s="76"/>
      <c r="AD28" s="76"/>
      <c r="AE28" s="76"/>
      <c r="AF28" s="76"/>
    </row>
    <row r="29" spans="1:32" x14ac:dyDescent="0.25">
      <c r="A29" s="29" t="s">
        <v>91</v>
      </c>
      <c r="B29" s="29" t="s">
        <v>427</v>
      </c>
      <c r="C29" s="29" t="s">
        <v>428</v>
      </c>
      <c r="D29" s="69">
        <v>0.2</v>
      </c>
      <c r="E29" s="69">
        <v>0.3</v>
      </c>
      <c r="F29" s="69">
        <v>0.4</v>
      </c>
      <c r="G29" s="69">
        <v>0.5</v>
      </c>
      <c r="H29" s="69">
        <v>0.6</v>
      </c>
      <c r="I29" s="67" t="s">
        <v>429</v>
      </c>
      <c r="J29" s="69">
        <v>0.1</v>
      </c>
      <c r="K29" s="67" t="s">
        <v>430</v>
      </c>
      <c r="L29" s="67" t="s">
        <v>341</v>
      </c>
      <c r="M29" s="69">
        <v>0.05</v>
      </c>
      <c r="N29" s="69">
        <v>0.02</v>
      </c>
      <c r="U29" s="75"/>
      <c r="V29" s="69"/>
      <c r="W29" s="69"/>
      <c r="X29" s="69"/>
      <c r="Y29" s="69"/>
      <c r="Z29" s="69"/>
      <c r="AA29" s="76"/>
      <c r="AB29" s="76"/>
      <c r="AC29" s="76"/>
      <c r="AD29" s="76"/>
      <c r="AE29" s="76"/>
      <c r="AF29" s="76"/>
    </row>
    <row r="30" spans="1:32" x14ac:dyDescent="0.25">
      <c r="A30" s="29" t="s">
        <v>732</v>
      </c>
      <c r="B30" s="29" t="s">
        <v>732</v>
      </c>
      <c r="C30" s="29" t="s">
        <v>767</v>
      </c>
      <c r="D30" s="69">
        <v>0.6</v>
      </c>
      <c r="E30" s="69">
        <v>1.2</v>
      </c>
      <c r="F30" s="69">
        <v>1.8</v>
      </c>
      <c r="G30" s="69">
        <v>2.4</v>
      </c>
      <c r="H30" s="69">
        <v>3</v>
      </c>
      <c r="I30" s="67" t="s">
        <v>766</v>
      </c>
      <c r="J30" s="69">
        <v>0.17</v>
      </c>
      <c r="K30" s="67" t="s">
        <v>760</v>
      </c>
      <c r="L30" s="67" t="s">
        <v>344</v>
      </c>
      <c r="M30" s="69">
        <v>0.04</v>
      </c>
      <c r="N30" s="69">
        <v>0.03</v>
      </c>
      <c r="U30" s="75"/>
      <c r="V30" s="69"/>
      <c r="W30" s="69"/>
      <c r="X30" s="69"/>
      <c r="Y30" s="69"/>
      <c r="Z30" s="69"/>
      <c r="AA30" s="76"/>
      <c r="AB30" s="76"/>
      <c r="AC30" s="76"/>
      <c r="AD30" s="76"/>
      <c r="AE30" s="76"/>
      <c r="AF30" s="76"/>
    </row>
    <row r="31" spans="1:32" x14ac:dyDescent="0.25">
      <c r="A31" s="29" t="s">
        <v>1354</v>
      </c>
      <c r="B31" s="29" t="s">
        <v>1354</v>
      </c>
      <c r="C31" s="29" t="s">
        <v>1360</v>
      </c>
      <c r="D31" s="69">
        <v>1</v>
      </c>
      <c r="E31" s="69">
        <v>1.5</v>
      </c>
      <c r="F31" s="69">
        <v>2</v>
      </c>
      <c r="G31" s="69">
        <v>2.5</v>
      </c>
      <c r="H31" s="69">
        <v>3</v>
      </c>
      <c r="I31" s="67" t="s">
        <v>1361</v>
      </c>
      <c r="J31" s="69">
        <v>0.15</v>
      </c>
      <c r="K31" s="67" t="s">
        <v>760</v>
      </c>
      <c r="L31" s="67" t="s">
        <v>344</v>
      </c>
      <c r="M31" s="69">
        <v>0.05</v>
      </c>
      <c r="N31" s="69">
        <v>0.02</v>
      </c>
      <c r="U31" s="75"/>
      <c r="V31" s="69"/>
      <c r="W31" s="69"/>
      <c r="X31" s="69"/>
      <c r="Y31" s="69"/>
      <c r="Z31" s="69"/>
      <c r="AA31" s="76"/>
      <c r="AB31" s="76"/>
      <c r="AC31" s="76"/>
      <c r="AD31" s="76"/>
      <c r="AE31" s="76"/>
      <c r="AF31" s="76"/>
    </row>
    <row r="32" spans="1:32" x14ac:dyDescent="0.25">
      <c r="A32" s="29" t="s">
        <v>48</v>
      </c>
      <c r="B32" s="29" t="s">
        <v>48</v>
      </c>
      <c r="C32" s="29" t="s">
        <v>431</v>
      </c>
      <c r="D32" s="69">
        <v>0.06</v>
      </c>
      <c r="E32" s="69">
        <v>7.0000000000000007E-2</v>
      </c>
      <c r="F32" s="69">
        <v>0.08</v>
      </c>
      <c r="G32" s="69">
        <v>0.09</v>
      </c>
      <c r="H32" s="69">
        <v>0.1</v>
      </c>
      <c r="I32" s="67" t="s">
        <v>432</v>
      </c>
      <c r="J32" s="69">
        <v>0.1</v>
      </c>
      <c r="K32" s="67" t="s">
        <v>414</v>
      </c>
      <c r="L32" s="67" t="s">
        <v>344</v>
      </c>
      <c r="M32" s="69">
        <v>0.3</v>
      </c>
      <c r="N32" s="69">
        <v>0.2</v>
      </c>
      <c r="U32" s="75"/>
      <c r="V32" s="69"/>
      <c r="W32" s="69"/>
      <c r="X32" s="69"/>
      <c r="Y32" s="69"/>
      <c r="Z32" s="69"/>
      <c r="AA32" s="76"/>
      <c r="AB32" s="76"/>
      <c r="AC32" s="76"/>
      <c r="AD32" s="76"/>
      <c r="AE32" s="76"/>
      <c r="AF32" s="76"/>
    </row>
    <row r="33" spans="1:32" x14ac:dyDescent="0.25">
      <c r="A33" s="29" t="s">
        <v>34</v>
      </c>
      <c r="B33" s="29" t="s">
        <v>34</v>
      </c>
      <c r="C33" s="29" t="s">
        <v>573</v>
      </c>
      <c r="D33" s="69">
        <v>0.2</v>
      </c>
      <c r="E33" s="69">
        <v>0.4</v>
      </c>
      <c r="F33" s="69">
        <v>1</v>
      </c>
      <c r="G33" s="69">
        <v>2.5</v>
      </c>
      <c r="H33" s="69">
        <v>5</v>
      </c>
      <c r="I33" s="67" t="s">
        <v>433</v>
      </c>
      <c r="J33" s="69">
        <v>0.1</v>
      </c>
      <c r="K33" s="67" t="s">
        <v>414</v>
      </c>
      <c r="L33" s="67" t="s">
        <v>346</v>
      </c>
      <c r="M33" s="69">
        <v>0.05</v>
      </c>
      <c r="N33" s="69">
        <v>0.02</v>
      </c>
      <c r="P33" s="68" t="s">
        <v>367</v>
      </c>
      <c r="U33" s="75"/>
      <c r="V33" s="69"/>
      <c r="W33" s="69"/>
      <c r="X33" s="69"/>
      <c r="Y33" s="69"/>
      <c r="Z33" s="69"/>
      <c r="AA33" s="76"/>
      <c r="AB33" s="76"/>
      <c r="AC33" s="76"/>
      <c r="AD33" s="76"/>
      <c r="AE33" s="76"/>
      <c r="AF33" s="76"/>
    </row>
    <row r="34" spans="1:32" x14ac:dyDescent="0.25">
      <c r="A34" s="29" t="s">
        <v>19</v>
      </c>
      <c r="B34" s="29" t="s">
        <v>19</v>
      </c>
      <c r="C34" s="29" t="s">
        <v>434</v>
      </c>
      <c r="D34" s="69">
        <v>0.25</v>
      </c>
      <c r="E34" s="69">
        <v>0.5</v>
      </c>
      <c r="F34" s="69">
        <v>0.75</v>
      </c>
      <c r="G34" s="69">
        <v>1</v>
      </c>
      <c r="H34" s="69">
        <v>1.3</v>
      </c>
      <c r="I34" s="67" t="s">
        <v>435</v>
      </c>
      <c r="J34" s="69">
        <v>0.4</v>
      </c>
      <c r="K34" s="67" t="s">
        <v>373</v>
      </c>
      <c r="L34" s="67" t="s">
        <v>344</v>
      </c>
      <c r="M34" s="69">
        <v>0.3</v>
      </c>
      <c r="N34" s="69">
        <v>0.2</v>
      </c>
      <c r="U34" s="75"/>
      <c r="V34" s="69"/>
      <c r="W34" s="69"/>
      <c r="X34" s="69"/>
      <c r="Y34" s="69"/>
      <c r="Z34" s="69"/>
      <c r="AA34" s="76"/>
      <c r="AB34" s="76"/>
      <c r="AC34" s="76"/>
      <c r="AD34" s="76"/>
      <c r="AE34" s="76"/>
      <c r="AF34" s="76"/>
    </row>
    <row r="35" spans="1:32" x14ac:dyDescent="0.25">
      <c r="A35" s="29" t="s">
        <v>254</v>
      </c>
      <c r="B35" s="29" t="s">
        <v>436</v>
      </c>
      <c r="C35" s="29" t="s">
        <v>347</v>
      </c>
      <c r="D35" s="69">
        <v>0.5</v>
      </c>
      <c r="E35" s="69">
        <v>1</v>
      </c>
      <c r="F35" s="69">
        <v>1.5</v>
      </c>
      <c r="G35" s="69">
        <v>2</v>
      </c>
      <c r="H35" s="69">
        <v>3</v>
      </c>
      <c r="I35" s="67" t="s">
        <v>437</v>
      </c>
      <c r="J35" s="69">
        <v>0.35</v>
      </c>
      <c r="K35" s="67" t="s">
        <v>373</v>
      </c>
      <c r="L35" s="67" t="s">
        <v>346</v>
      </c>
      <c r="M35" s="69">
        <v>0.2</v>
      </c>
      <c r="N35" s="69">
        <v>0.1</v>
      </c>
      <c r="U35" s="75"/>
      <c r="V35" s="69"/>
      <c r="W35" s="69"/>
      <c r="X35" s="69"/>
      <c r="Y35" s="69"/>
      <c r="Z35" s="69"/>
      <c r="AA35" s="76"/>
      <c r="AB35" s="76"/>
      <c r="AC35" s="76"/>
      <c r="AD35" s="76"/>
      <c r="AE35" s="76"/>
      <c r="AF35" s="76"/>
    </row>
    <row r="36" spans="1:32" x14ac:dyDescent="0.25">
      <c r="A36" s="29" t="s">
        <v>1644</v>
      </c>
      <c r="B36" s="29" t="s">
        <v>1644</v>
      </c>
      <c r="C36" s="29" t="s">
        <v>352</v>
      </c>
      <c r="D36" s="69">
        <v>0.45</v>
      </c>
      <c r="E36" s="69">
        <v>0.55000000000000004</v>
      </c>
      <c r="F36" s="69">
        <v>0.65</v>
      </c>
      <c r="G36" s="69">
        <v>0.75</v>
      </c>
      <c r="H36" s="69">
        <v>0.85</v>
      </c>
      <c r="I36" s="67" t="s">
        <v>353</v>
      </c>
      <c r="J36" s="69">
        <v>0.1</v>
      </c>
      <c r="K36" s="67" t="s">
        <v>342</v>
      </c>
      <c r="L36" s="67" t="s">
        <v>341</v>
      </c>
      <c r="M36" s="69">
        <v>0.2</v>
      </c>
      <c r="N36" s="69">
        <v>0.05</v>
      </c>
      <c r="U36" s="75"/>
      <c r="V36" s="69">
        <f ca="1">IF(INDEX(RosterRank,MATCH(A36,RosterOfficer,0),0)=0,0,(INDEX(OfficerSkillsFull,MATCH(A36,OfficerSkillsOfficers,0),3+INDEX(RosterRank,MATCH(A36,RosterOfficer,0),0))))</f>
        <v>0</v>
      </c>
      <c r="W36" s="69"/>
      <c r="X36" s="69"/>
      <c r="Y36" s="69"/>
      <c r="Z36" s="69"/>
      <c r="AA36" s="76"/>
      <c r="AB36" s="76"/>
      <c r="AC36" s="76"/>
      <c r="AD36" s="76"/>
      <c r="AE36" s="76"/>
      <c r="AF36" s="76"/>
    </row>
    <row r="37" spans="1:32" x14ac:dyDescent="0.25">
      <c r="A37" s="29" t="s">
        <v>1651</v>
      </c>
      <c r="B37" s="29" t="s">
        <v>1651</v>
      </c>
      <c r="C37" s="29" t="s">
        <v>541</v>
      </c>
      <c r="D37" s="69">
        <v>0.3</v>
      </c>
      <c r="E37" s="69">
        <v>0.35</v>
      </c>
      <c r="F37" s="69">
        <v>0.4</v>
      </c>
      <c r="G37" s="69">
        <v>0.45</v>
      </c>
      <c r="H37" s="69">
        <v>0.5</v>
      </c>
      <c r="I37" s="67" t="s">
        <v>385</v>
      </c>
      <c r="J37" s="69">
        <v>0.6</v>
      </c>
      <c r="K37" s="67" t="s">
        <v>342</v>
      </c>
      <c r="L37" s="67" t="s">
        <v>344</v>
      </c>
      <c r="M37" s="69">
        <v>0.45</v>
      </c>
      <c r="N37" s="69">
        <v>0.3</v>
      </c>
      <c r="O37" s="436"/>
      <c r="P37" s="436"/>
      <c r="Q37" s="436"/>
      <c r="R37" s="436"/>
      <c r="S37" s="436"/>
      <c r="T37" s="436"/>
      <c r="U37" s="75"/>
      <c r="V37" s="69"/>
      <c r="W37" s="69"/>
      <c r="X37" s="69"/>
      <c r="Y37" s="69"/>
      <c r="Z37" s="69"/>
      <c r="AA37" s="76"/>
      <c r="AB37" s="76"/>
      <c r="AC37" s="76"/>
      <c r="AD37" s="76"/>
      <c r="AE37" s="76"/>
      <c r="AF37" s="76"/>
    </row>
    <row r="38" spans="1:32" x14ac:dyDescent="0.25">
      <c r="A38" s="29" t="s">
        <v>96</v>
      </c>
      <c r="B38" s="29" t="s">
        <v>96</v>
      </c>
      <c r="C38" s="29" t="s">
        <v>839</v>
      </c>
      <c r="D38" s="77">
        <v>0.17</v>
      </c>
      <c r="E38" s="77">
        <v>0.25</v>
      </c>
      <c r="F38" s="77">
        <v>0.34</v>
      </c>
      <c r="G38" s="77">
        <v>0.4</v>
      </c>
      <c r="H38" s="77">
        <v>0.5</v>
      </c>
      <c r="I38" s="67" t="s">
        <v>838</v>
      </c>
      <c r="J38" s="69">
        <v>1</v>
      </c>
      <c r="K38" s="67" t="s">
        <v>666</v>
      </c>
      <c r="L38" s="67" t="s">
        <v>346</v>
      </c>
      <c r="M38" s="69">
        <v>0.25</v>
      </c>
      <c r="N38" s="69">
        <v>0.15</v>
      </c>
      <c r="U38" s="75"/>
      <c r="V38" s="69"/>
      <c r="W38" s="69"/>
      <c r="X38" s="69"/>
      <c r="Y38" s="69"/>
      <c r="Z38" s="69"/>
      <c r="AA38" s="76"/>
      <c r="AB38" s="76"/>
      <c r="AC38" s="76"/>
      <c r="AD38" s="76"/>
      <c r="AE38" s="76"/>
      <c r="AF38" s="76"/>
    </row>
    <row r="39" spans="1:32" x14ac:dyDescent="0.25">
      <c r="A39" s="29" t="s">
        <v>107</v>
      </c>
      <c r="B39" s="29" t="s">
        <v>107</v>
      </c>
      <c r="C39" s="29" t="s">
        <v>439</v>
      </c>
      <c r="D39" s="69">
        <v>0.35</v>
      </c>
      <c r="E39" s="69">
        <v>0.45</v>
      </c>
      <c r="F39" s="69">
        <v>0.55000000000000004</v>
      </c>
      <c r="G39" s="69">
        <v>0.65</v>
      </c>
      <c r="H39" s="69">
        <v>0.75</v>
      </c>
      <c r="I39" s="67" t="s">
        <v>440</v>
      </c>
      <c r="J39" s="69">
        <v>0.1</v>
      </c>
      <c r="K39" s="67" t="s">
        <v>360</v>
      </c>
      <c r="L39" s="67" t="s">
        <v>341</v>
      </c>
      <c r="M39" s="69">
        <v>0.05</v>
      </c>
      <c r="N39" s="69">
        <v>0.02</v>
      </c>
      <c r="U39" s="75"/>
      <c r="V39" s="69"/>
      <c r="W39" s="69"/>
      <c r="X39" s="69"/>
      <c r="Y39" s="69"/>
      <c r="Z39" s="69"/>
      <c r="AA39" s="76"/>
      <c r="AB39" s="76"/>
      <c r="AC39" s="76"/>
      <c r="AD39" s="76"/>
      <c r="AE39" s="76"/>
      <c r="AF39" s="76"/>
    </row>
    <row r="40" spans="1:32" x14ac:dyDescent="0.25">
      <c r="A40" s="29" t="s">
        <v>1975</v>
      </c>
      <c r="B40" s="29" t="s">
        <v>1975</v>
      </c>
      <c r="C40" s="29" t="s">
        <v>1983</v>
      </c>
      <c r="D40" s="69">
        <v>0.3</v>
      </c>
      <c r="E40" s="69">
        <v>0.25</v>
      </c>
      <c r="F40" s="69">
        <v>0.2</v>
      </c>
      <c r="G40" s="69">
        <v>0.15</v>
      </c>
      <c r="H40" s="69">
        <v>0.1</v>
      </c>
      <c r="I40" s="67" t="s">
        <v>1984</v>
      </c>
      <c r="J40" s="69">
        <v>0.55000000000000004</v>
      </c>
      <c r="K40" s="67" t="s">
        <v>1982</v>
      </c>
      <c r="L40" s="67" t="s">
        <v>341</v>
      </c>
      <c r="M40" s="69">
        <v>0.35</v>
      </c>
      <c r="N40" s="69">
        <v>0.2</v>
      </c>
      <c r="O40" s="487"/>
      <c r="P40" s="487"/>
      <c r="Q40" s="487"/>
      <c r="R40" s="487"/>
      <c r="S40" s="487"/>
      <c r="T40" s="487"/>
      <c r="U40" s="75"/>
      <c r="V40" s="69"/>
      <c r="W40" s="69"/>
      <c r="X40" s="69"/>
      <c r="Y40" s="69"/>
      <c r="Z40" s="69"/>
      <c r="AA40" s="76"/>
      <c r="AB40" s="76"/>
      <c r="AC40" s="76"/>
      <c r="AD40" s="76"/>
      <c r="AE40" s="76"/>
      <c r="AF40" s="76"/>
    </row>
    <row r="41" spans="1:32" x14ac:dyDescent="0.25">
      <c r="A41" s="29" t="s">
        <v>1640</v>
      </c>
      <c r="B41" s="29" t="s">
        <v>1640</v>
      </c>
      <c r="C41" s="29" t="s">
        <v>386</v>
      </c>
      <c r="D41" s="69">
        <v>0.2</v>
      </c>
      <c r="E41" s="69">
        <v>0.4</v>
      </c>
      <c r="F41" s="69">
        <v>0.6</v>
      </c>
      <c r="G41" s="69">
        <v>0.8</v>
      </c>
      <c r="H41" s="69">
        <v>1</v>
      </c>
      <c r="I41" s="29" t="s">
        <v>443</v>
      </c>
      <c r="J41" s="70">
        <v>2</v>
      </c>
      <c r="K41" s="67" t="s">
        <v>342</v>
      </c>
      <c r="L41" s="67" t="s">
        <v>341</v>
      </c>
      <c r="M41" s="69">
        <v>4</v>
      </c>
      <c r="N41" s="69">
        <v>2</v>
      </c>
      <c r="U41" s="75"/>
      <c r="V41" s="69"/>
      <c r="W41" s="69"/>
      <c r="X41" s="69"/>
      <c r="Y41" s="69"/>
      <c r="Z41" s="69"/>
      <c r="AA41" s="76"/>
      <c r="AB41" s="76"/>
      <c r="AC41" s="76"/>
      <c r="AD41" s="76"/>
      <c r="AE41" s="76"/>
      <c r="AF41" s="76"/>
    </row>
    <row r="42" spans="1:32" x14ac:dyDescent="0.25">
      <c r="A42" s="29" t="s">
        <v>1638</v>
      </c>
      <c r="B42" s="29" t="s">
        <v>1638</v>
      </c>
      <c r="C42" s="29" t="s">
        <v>703</v>
      </c>
      <c r="D42" s="69">
        <v>0.4</v>
      </c>
      <c r="E42" s="69">
        <v>0.45</v>
      </c>
      <c r="F42" s="69">
        <v>0.5</v>
      </c>
      <c r="G42" s="69">
        <v>0.55000000000000004</v>
      </c>
      <c r="H42" s="69">
        <v>0.6</v>
      </c>
      <c r="I42" s="67" t="s">
        <v>1566</v>
      </c>
      <c r="J42" s="69">
        <v>0.6</v>
      </c>
      <c r="K42" s="67" t="s">
        <v>342</v>
      </c>
      <c r="L42" s="67" t="s">
        <v>341</v>
      </c>
      <c r="M42" s="69">
        <v>0.45</v>
      </c>
      <c r="N42" s="69">
        <v>0.3</v>
      </c>
      <c r="O42" s="110"/>
      <c r="P42" s="110"/>
      <c r="Q42" s="110"/>
      <c r="R42" s="110"/>
      <c r="S42" s="110"/>
      <c r="T42" s="110"/>
      <c r="U42" s="75"/>
      <c r="V42" s="69"/>
      <c r="W42" s="69"/>
      <c r="X42" s="69"/>
      <c r="Y42" s="69"/>
      <c r="Z42" s="69"/>
      <c r="AA42" s="76"/>
      <c r="AB42" s="76"/>
      <c r="AC42" s="76"/>
      <c r="AD42" s="76"/>
      <c r="AE42" s="76"/>
      <c r="AF42" s="76"/>
    </row>
    <row r="43" spans="1:32" x14ac:dyDescent="0.25">
      <c r="A43" s="29" t="s">
        <v>5</v>
      </c>
      <c r="B43" s="29" t="s">
        <v>5</v>
      </c>
      <c r="C43" s="29" t="s">
        <v>603</v>
      </c>
      <c r="D43" s="69">
        <v>0.1</v>
      </c>
      <c r="E43" s="69">
        <v>0.2</v>
      </c>
      <c r="F43" s="69">
        <v>0.3</v>
      </c>
      <c r="G43" s="69">
        <v>0.4</v>
      </c>
      <c r="H43" s="69">
        <v>0.5</v>
      </c>
      <c r="I43" s="67" t="s">
        <v>441</v>
      </c>
      <c r="J43" s="69">
        <v>0.25</v>
      </c>
      <c r="K43" s="67" t="s">
        <v>416</v>
      </c>
      <c r="L43" s="67" t="s">
        <v>341</v>
      </c>
      <c r="M43" s="69">
        <v>0.1</v>
      </c>
      <c r="N43" s="69">
        <v>0.05</v>
      </c>
      <c r="O43" s="283"/>
      <c r="P43" s="283"/>
      <c r="Q43" s="283"/>
      <c r="R43" s="283"/>
      <c r="S43" s="283"/>
      <c r="T43" s="283"/>
      <c r="U43" s="75"/>
      <c r="V43" s="69"/>
      <c r="W43" s="69"/>
      <c r="X43" s="69"/>
      <c r="Y43" s="69"/>
      <c r="Z43" s="69"/>
      <c r="AA43" s="76"/>
      <c r="AB43" s="76"/>
      <c r="AC43" s="76"/>
      <c r="AD43" s="76"/>
      <c r="AE43" s="76"/>
      <c r="AF43" s="76"/>
    </row>
    <row r="44" spans="1:32" x14ac:dyDescent="0.25">
      <c r="A44" s="29" t="s">
        <v>733</v>
      </c>
      <c r="B44" s="29" t="s">
        <v>733</v>
      </c>
      <c r="C44" s="29" t="s">
        <v>769</v>
      </c>
      <c r="D44" s="69">
        <v>1</v>
      </c>
      <c r="E44" s="69">
        <v>1.5</v>
      </c>
      <c r="F44" s="69">
        <v>2</v>
      </c>
      <c r="G44" s="69">
        <v>2.5</v>
      </c>
      <c r="H44" s="69">
        <v>3</v>
      </c>
      <c r="I44" s="67" t="s">
        <v>768</v>
      </c>
      <c r="J44" s="69">
        <v>0.5</v>
      </c>
      <c r="K44" s="67" t="s">
        <v>760</v>
      </c>
      <c r="L44" s="67" t="s">
        <v>341</v>
      </c>
      <c r="M44" s="69">
        <v>0.15</v>
      </c>
      <c r="N44" s="69">
        <v>0.1</v>
      </c>
      <c r="U44" s="75"/>
      <c r="V44" s="69"/>
      <c r="W44" s="69"/>
      <c r="X44" s="69"/>
      <c r="Y44" s="69"/>
      <c r="Z44" s="69"/>
      <c r="AA44" s="76"/>
      <c r="AB44" s="76"/>
      <c r="AC44" s="76"/>
      <c r="AD44" s="76"/>
      <c r="AE44" s="76"/>
      <c r="AF44" s="76"/>
    </row>
    <row r="45" spans="1:32" x14ac:dyDescent="0.25">
      <c r="A45" s="29" t="s">
        <v>108</v>
      </c>
      <c r="B45" s="29" t="s">
        <v>108</v>
      </c>
      <c r="C45" s="29" t="s">
        <v>442</v>
      </c>
      <c r="D45" s="69">
        <v>0.5</v>
      </c>
      <c r="E45" s="69">
        <v>0.6</v>
      </c>
      <c r="F45" s="69">
        <v>0.7</v>
      </c>
      <c r="G45" s="69">
        <v>0.75</v>
      </c>
      <c r="H45" s="69">
        <v>0.8</v>
      </c>
      <c r="I45" s="67" t="s">
        <v>842</v>
      </c>
      <c r="J45" s="69">
        <v>1</v>
      </c>
      <c r="K45" s="67" t="s">
        <v>361</v>
      </c>
      <c r="L45" s="67" t="s">
        <v>346</v>
      </c>
      <c r="M45" s="69">
        <v>0.25</v>
      </c>
      <c r="N45" s="69">
        <v>0.15</v>
      </c>
      <c r="O45" s="68" t="s">
        <v>367</v>
      </c>
      <c r="P45" s="68" t="s">
        <v>367</v>
      </c>
      <c r="U45" s="75"/>
      <c r="V45" s="69"/>
      <c r="W45" s="69"/>
      <c r="X45" s="69"/>
      <c r="Y45" s="69"/>
      <c r="Z45" s="69"/>
      <c r="AA45" s="76"/>
      <c r="AB45" s="76"/>
      <c r="AC45" s="76"/>
      <c r="AD45" s="76"/>
      <c r="AE45" s="76"/>
      <c r="AF45" s="76"/>
    </row>
    <row r="46" spans="1:32" x14ac:dyDescent="0.25">
      <c r="A46" s="29" t="s">
        <v>1846</v>
      </c>
      <c r="B46" s="29" t="s">
        <v>1862</v>
      </c>
      <c r="C46" s="29" t="s">
        <v>1864</v>
      </c>
      <c r="D46" s="69">
        <v>0.06</v>
      </c>
      <c r="E46" s="69">
        <v>0.08</v>
      </c>
      <c r="F46" s="69">
        <v>0.1</v>
      </c>
      <c r="G46" s="69">
        <v>0.12</v>
      </c>
      <c r="H46" s="69">
        <v>0.15</v>
      </c>
      <c r="I46" s="67" t="s">
        <v>347</v>
      </c>
      <c r="J46" s="69">
        <v>1</v>
      </c>
      <c r="K46" s="67" t="s">
        <v>1863</v>
      </c>
      <c r="L46" s="67" t="s">
        <v>346</v>
      </c>
      <c r="M46" s="69">
        <v>0.25</v>
      </c>
      <c r="N46" s="69">
        <v>0.15</v>
      </c>
      <c r="O46" s="462"/>
      <c r="P46" s="462"/>
      <c r="Q46" s="462"/>
      <c r="R46" s="462"/>
      <c r="S46" s="462"/>
      <c r="T46" s="462"/>
      <c r="U46" s="75"/>
      <c r="V46" s="69"/>
      <c r="W46" s="69"/>
      <c r="X46" s="69"/>
      <c r="Y46" s="69"/>
      <c r="Z46" s="69"/>
      <c r="AA46" s="76"/>
      <c r="AB46" s="76"/>
      <c r="AC46" s="76"/>
      <c r="AD46" s="76"/>
      <c r="AE46" s="76"/>
      <c r="AF46" s="76"/>
    </row>
    <row r="47" spans="1:32" x14ac:dyDescent="0.25">
      <c r="A47" s="29" t="s">
        <v>28</v>
      </c>
      <c r="B47" s="29" t="s">
        <v>446</v>
      </c>
      <c r="C47" s="29" t="s">
        <v>444</v>
      </c>
      <c r="D47" s="69">
        <v>0.05</v>
      </c>
      <c r="E47" s="69">
        <v>0.1</v>
      </c>
      <c r="F47" s="69">
        <v>0.15</v>
      </c>
      <c r="G47" s="69">
        <v>0.2</v>
      </c>
      <c r="H47" s="69">
        <v>0.3</v>
      </c>
      <c r="I47" s="67" t="s">
        <v>445</v>
      </c>
      <c r="J47" s="69">
        <v>0.08</v>
      </c>
      <c r="K47" s="67" t="s">
        <v>416</v>
      </c>
      <c r="L47" s="67" t="s">
        <v>346</v>
      </c>
      <c r="M47" s="69">
        <v>0.02</v>
      </c>
      <c r="N47" s="69">
        <v>0.01</v>
      </c>
      <c r="U47" s="75"/>
      <c r="V47" s="69"/>
      <c r="W47" s="69"/>
      <c r="X47" s="69"/>
      <c r="Y47" s="69"/>
      <c r="Z47" s="69"/>
      <c r="AA47" s="76"/>
      <c r="AB47" s="76"/>
      <c r="AC47" s="76"/>
      <c r="AD47" s="76"/>
      <c r="AE47" s="76"/>
      <c r="AF47" s="76"/>
    </row>
    <row r="48" spans="1:32" x14ac:dyDescent="0.25">
      <c r="A48" s="29" t="s">
        <v>95</v>
      </c>
      <c r="B48" s="29" t="s">
        <v>95</v>
      </c>
      <c r="C48" s="29" t="s">
        <v>447</v>
      </c>
      <c r="D48" s="69">
        <v>0.15</v>
      </c>
      <c r="E48" s="69">
        <v>0.2</v>
      </c>
      <c r="F48" s="69">
        <v>0.25</v>
      </c>
      <c r="G48" s="69">
        <v>0.35</v>
      </c>
      <c r="H48" s="69">
        <v>0.5</v>
      </c>
      <c r="I48" s="67" t="s">
        <v>448</v>
      </c>
      <c r="J48" s="69">
        <v>0.2</v>
      </c>
      <c r="K48" s="67" t="s">
        <v>360</v>
      </c>
      <c r="L48" s="67" t="s">
        <v>344</v>
      </c>
      <c r="M48" s="69">
        <v>0.2</v>
      </c>
      <c r="N48" s="69">
        <v>0.15</v>
      </c>
      <c r="U48" s="75"/>
      <c r="V48" s="69"/>
      <c r="W48" s="69"/>
      <c r="X48" s="69"/>
      <c r="Y48" s="69"/>
      <c r="Z48" s="69"/>
      <c r="AA48" s="76"/>
      <c r="AB48" s="76"/>
      <c r="AC48" s="76"/>
      <c r="AD48" s="76"/>
      <c r="AE48" s="76"/>
      <c r="AF48" s="76"/>
    </row>
    <row r="49" spans="1:32" x14ac:dyDescent="0.25">
      <c r="A49" s="29" t="s">
        <v>67</v>
      </c>
      <c r="B49" s="29" t="s">
        <v>67</v>
      </c>
      <c r="C49" s="29" t="s">
        <v>449</v>
      </c>
      <c r="D49" s="69">
        <v>0.7</v>
      </c>
      <c r="E49" s="69">
        <v>0.75</v>
      </c>
      <c r="F49" s="69">
        <v>0.8</v>
      </c>
      <c r="G49" s="69">
        <v>0.85</v>
      </c>
      <c r="H49" s="69">
        <v>0.9</v>
      </c>
      <c r="I49" s="67" t="s">
        <v>450</v>
      </c>
      <c r="J49" s="69">
        <v>0.1</v>
      </c>
      <c r="K49" s="67" t="s">
        <v>371</v>
      </c>
      <c r="L49" s="67" t="s">
        <v>346</v>
      </c>
      <c r="M49" s="69">
        <v>0.1</v>
      </c>
      <c r="N49" s="69">
        <v>0.05</v>
      </c>
      <c r="Q49" s="68" t="s">
        <v>367</v>
      </c>
      <c r="U49" s="75"/>
      <c r="V49" s="69"/>
      <c r="W49" s="69"/>
      <c r="X49" s="69"/>
      <c r="Y49" s="69"/>
      <c r="Z49" s="69"/>
      <c r="AA49" s="76"/>
      <c r="AB49" s="76"/>
      <c r="AC49" s="76"/>
      <c r="AD49" s="76"/>
      <c r="AE49" s="76"/>
      <c r="AF49" s="76"/>
    </row>
    <row r="50" spans="1:32" x14ac:dyDescent="0.25">
      <c r="A50" s="29" t="s">
        <v>1848</v>
      </c>
      <c r="B50" s="29" t="s">
        <v>1848</v>
      </c>
      <c r="C50" s="29" t="s">
        <v>1859</v>
      </c>
      <c r="D50" s="69">
        <v>2</v>
      </c>
      <c r="E50" s="69">
        <v>5</v>
      </c>
      <c r="F50" s="69">
        <v>8</v>
      </c>
      <c r="G50" s="69">
        <v>11</v>
      </c>
      <c r="H50" s="69">
        <v>14</v>
      </c>
      <c r="I50" s="67" t="s">
        <v>1858</v>
      </c>
      <c r="J50" s="69">
        <v>0.5</v>
      </c>
      <c r="K50" s="67" t="s">
        <v>1568</v>
      </c>
      <c r="L50" s="67" t="s">
        <v>344</v>
      </c>
      <c r="M50" s="69">
        <v>0.1</v>
      </c>
      <c r="N50" s="69">
        <v>0.05</v>
      </c>
      <c r="O50" s="462"/>
      <c r="P50" s="462"/>
      <c r="Q50" s="462"/>
      <c r="R50" s="462"/>
      <c r="S50" s="462"/>
      <c r="T50" s="462"/>
      <c r="U50" s="75"/>
      <c r="V50" s="69"/>
      <c r="W50" s="69"/>
      <c r="X50" s="69"/>
      <c r="Y50" s="69"/>
      <c r="Z50" s="69"/>
      <c r="AA50" s="76"/>
      <c r="AB50" s="76"/>
      <c r="AC50" s="76"/>
      <c r="AD50" s="76"/>
      <c r="AE50" s="76"/>
      <c r="AF50" s="76"/>
    </row>
    <row r="51" spans="1:32" x14ac:dyDescent="0.25">
      <c r="A51" s="29" t="s">
        <v>73</v>
      </c>
      <c r="B51" s="29" t="s">
        <v>451</v>
      </c>
      <c r="C51" s="29" t="s">
        <v>452</v>
      </c>
      <c r="D51" s="69">
        <v>0.2</v>
      </c>
      <c r="E51" s="69">
        <v>0.3</v>
      </c>
      <c r="F51" s="69">
        <v>0.4</v>
      </c>
      <c r="G51" s="69">
        <v>0.5</v>
      </c>
      <c r="H51" s="69">
        <v>0.6</v>
      </c>
      <c r="I51" s="67" t="s">
        <v>819</v>
      </c>
      <c r="J51" s="69">
        <v>0.15</v>
      </c>
      <c r="K51" s="67" t="s">
        <v>430</v>
      </c>
      <c r="L51" s="67" t="s">
        <v>341</v>
      </c>
      <c r="M51" s="69">
        <v>0.15</v>
      </c>
      <c r="N51" s="69">
        <v>0.1</v>
      </c>
      <c r="U51" s="75"/>
      <c r="V51" s="69"/>
      <c r="W51" s="69"/>
      <c r="X51" s="69"/>
      <c r="Y51" s="69"/>
      <c r="Z51" s="69"/>
      <c r="AA51" s="76"/>
      <c r="AB51" s="76"/>
      <c r="AC51" s="76"/>
      <c r="AD51" s="76"/>
      <c r="AE51" s="76"/>
      <c r="AF51" s="76"/>
    </row>
    <row r="52" spans="1:32" x14ac:dyDescent="0.25">
      <c r="A52" s="29" t="s">
        <v>98</v>
      </c>
      <c r="B52" s="29" t="s">
        <v>453</v>
      </c>
      <c r="C52" s="29" t="s">
        <v>454</v>
      </c>
      <c r="D52" s="69">
        <v>0.6</v>
      </c>
      <c r="E52" s="69">
        <v>0.7</v>
      </c>
      <c r="F52" s="69">
        <v>0.8</v>
      </c>
      <c r="G52" s="69">
        <v>0.9</v>
      </c>
      <c r="H52" s="69">
        <v>1</v>
      </c>
      <c r="I52" s="67" t="s">
        <v>455</v>
      </c>
      <c r="J52" s="69">
        <v>0.2</v>
      </c>
      <c r="K52" s="67" t="s">
        <v>438</v>
      </c>
      <c r="L52" s="67" t="s">
        <v>344</v>
      </c>
      <c r="M52" s="69">
        <v>0.2</v>
      </c>
      <c r="N52" s="69">
        <v>0.1</v>
      </c>
      <c r="U52" s="75"/>
      <c r="V52" s="69"/>
      <c r="W52" s="69"/>
      <c r="X52" s="69"/>
      <c r="Y52" s="69"/>
      <c r="Z52" s="69"/>
      <c r="AA52" s="76"/>
      <c r="AB52" s="76"/>
      <c r="AC52" s="76"/>
      <c r="AD52" s="76"/>
      <c r="AE52" s="76"/>
      <c r="AF52" s="76"/>
    </row>
    <row r="53" spans="1:32" x14ac:dyDescent="0.25">
      <c r="A53" s="29" t="s">
        <v>109</v>
      </c>
      <c r="B53" s="29" t="s">
        <v>458</v>
      </c>
      <c r="C53" s="29" t="s">
        <v>456</v>
      </c>
      <c r="D53" s="69">
        <v>0.2</v>
      </c>
      <c r="E53" s="69">
        <v>0.3</v>
      </c>
      <c r="F53" s="69">
        <v>0.4</v>
      </c>
      <c r="G53" s="69">
        <v>0.5</v>
      </c>
      <c r="H53" s="69">
        <v>0.6</v>
      </c>
      <c r="I53" s="67" t="s">
        <v>457</v>
      </c>
      <c r="J53" s="69">
        <v>0.4</v>
      </c>
      <c r="K53" s="67" t="s">
        <v>360</v>
      </c>
      <c r="L53" s="67" t="s">
        <v>344</v>
      </c>
      <c r="M53" s="69">
        <v>0.2</v>
      </c>
      <c r="N53" s="69">
        <v>0.1</v>
      </c>
      <c r="O53" s="110"/>
      <c r="P53" s="110"/>
      <c r="Q53" s="110"/>
      <c r="R53" s="110"/>
      <c r="S53" s="110"/>
      <c r="T53" s="110"/>
      <c r="U53" s="75"/>
      <c r="V53" s="69"/>
      <c r="W53" s="69"/>
      <c r="X53" s="69"/>
      <c r="Y53" s="69"/>
      <c r="Z53" s="69"/>
      <c r="AA53" s="76"/>
      <c r="AB53" s="76"/>
      <c r="AC53" s="76"/>
      <c r="AD53" s="76"/>
      <c r="AE53" s="76"/>
      <c r="AF53" s="76"/>
    </row>
    <row r="54" spans="1:32" x14ac:dyDescent="0.25">
      <c r="A54" s="29" t="s">
        <v>4</v>
      </c>
      <c r="B54" s="29" t="s">
        <v>4</v>
      </c>
      <c r="C54" s="29" t="s">
        <v>460</v>
      </c>
      <c r="D54" s="69">
        <v>0.25</v>
      </c>
      <c r="E54" s="69">
        <v>0.5</v>
      </c>
      <c r="F54" s="69">
        <v>0.75</v>
      </c>
      <c r="G54" s="69">
        <v>1</v>
      </c>
      <c r="H54" s="69">
        <v>1.25</v>
      </c>
      <c r="I54" s="67" t="s">
        <v>461</v>
      </c>
      <c r="J54" s="69">
        <v>0.4</v>
      </c>
      <c r="K54" s="67" t="s">
        <v>373</v>
      </c>
      <c r="L54" s="67" t="s">
        <v>346</v>
      </c>
      <c r="M54" s="69">
        <v>0.3</v>
      </c>
      <c r="N54" s="69">
        <v>0.2</v>
      </c>
      <c r="U54" s="75"/>
      <c r="V54" s="69"/>
      <c r="W54" s="69"/>
      <c r="X54" s="69"/>
      <c r="Y54" s="69"/>
      <c r="Z54" s="69"/>
      <c r="AA54" s="76"/>
      <c r="AB54" s="76"/>
      <c r="AC54" s="76"/>
      <c r="AD54" s="76"/>
      <c r="AE54" s="76"/>
      <c r="AF54" s="76"/>
    </row>
    <row r="55" spans="1:32" x14ac:dyDescent="0.25">
      <c r="A55" s="29" t="s">
        <v>93</v>
      </c>
      <c r="B55" s="29" t="s">
        <v>93</v>
      </c>
      <c r="C55" s="29" t="s">
        <v>462</v>
      </c>
      <c r="D55" s="69">
        <v>0.2</v>
      </c>
      <c r="E55" s="69">
        <v>0.3</v>
      </c>
      <c r="F55" s="69">
        <v>0.4</v>
      </c>
      <c r="G55" s="69">
        <v>0.5</v>
      </c>
      <c r="H55" s="69">
        <v>0.6</v>
      </c>
      <c r="I55" s="67" t="s">
        <v>463</v>
      </c>
      <c r="J55" s="69">
        <v>0.2</v>
      </c>
      <c r="K55" s="67" t="s">
        <v>430</v>
      </c>
      <c r="L55" s="67" t="s">
        <v>341</v>
      </c>
      <c r="M55" s="69">
        <v>0.2</v>
      </c>
      <c r="N55" s="69">
        <v>0.1</v>
      </c>
      <c r="U55" s="75"/>
      <c r="V55" s="69"/>
      <c r="W55" s="69"/>
      <c r="X55" s="69"/>
      <c r="Y55" s="69"/>
      <c r="Z55" s="69"/>
      <c r="AA55" s="76"/>
      <c r="AB55" s="76"/>
      <c r="AC55" s="76"/>
      <c r="AD55" s="76"/>
      <c r="AE55" s="76"/>
      <c r="AF55" s="76"/>
    </row>
    <row r="56" spans="1:32" x14ac:dyDescent="0.25">
      <c r="A56" s="29" t="s">
        <v>1564</v>
      </c>
      <c r="B56" s="29" t="s">
        <v>1564</v>
      </c>
      <c r="C56" s="29" t="s">
        <v>1569</v>
      </c>
      <c r="D56" s="69">
        <v>0.45</v>
      </c>
      <c r="E56" s="69">
        <v>0.5</v>
      </c>
      <c r="F56" s="69">
        <v>0.6</v>
      </c>
      <c r="G56" s="69">
        <v>0.75</v>
      </c>
      <c r="H56" s="69">
        <v>1</v>
      </c>
      <c r="I56" s="67" t="s">
        <v>1567</v>
      </c>
      <c r="J56" s="69">
        <v>0.3</v>
      </c>
      <c r="K56" s="67" t="s">
        <v>1568</v>
      </c>
      <c r="L56" s="67" t="s">
        <v>346</v>
      </c>
      <c r="M56" s="69">
        <v>0.1</v>
      </c>
      <c r="N56" s="69">
        <v>0.05</v>
      </c>
      <c r="U56" s="75"/>
      <c r="V56" s="69"/>
      <c r="W56" s="69"/>
      <c r="X56" s="69"/>
      <c r="Y56" s="69"/>
      <c r="Z56" s="69"/>
      <c r="AA56" s="76"/>
      <c r="AB56" s="76"/>
      <c r="AC56" s="76"/>
      <c r="AD56" s="76"/>
      <c r="AE56" s="76"/>
      <c r="AF56" s="76"/>
    </row>
    <row r="57" spans="1:32" x14ac:dyDescent="0.25">
      <c r="A57" s="29" t="s">
        <v>16</v>
      </c>
      <c r="B57" s="29" t="s">
        <v>16</v>
      </c>
      <c r="C57" s="29" t="s">
        <v>464</v>
      </c>
      <c r="D57" s="69">
        <v>0.05</v>
      </c>
      <c r="E57" s="69">
        <v>0.08</v>
      </c>
      <c r="F57" s="69">
        <v>0.12</v>
      </c>
      <c r="G57" s="69">
        <v>0.15</v>
      </c>
      <c r="H57" s="69">
        <v>0.2</v>
      </c>
      <c r="I57" s="67" t="s">
        <v>465</v>
      </c>
      <c r="J57" s="69">
        <v>0.05</v>
      </c>
      <c r="K57" s="67" t="s">
        <v>380</v>
      </c>
      <c r="L57" s="67" t="s">
        <v>344</v>
      </c>
      <c r="M57" s="69">
        <v>0.05</v>
      </c>
      <c r="N57" s="69">
        <v>0.02</v>
      </c>
      <c r="U57" s="75"/>
      <c r="V57" s="69"/>
      <c r="W57" s="69"/>
      <c r="X57" s="69"/>
      <c r="Y57" s="69"/>
      <c r="Z57" s="69"/>
      <c r="AA57" s="76"/>
      <c r="AB57" s="76"/>
      <c r="AC57" s="76"/>
      <c r="AD57" s="76"/>
      <c r="AE57" s="76"/>
      <c r="AF57" s="76"/>
    </row>
    <row r="58" spans="1:32" x14ac:dyDescent="0.25">
      <c r="A58" s="29" t="s">
        <v>122</v>
      </c>
      <c r="B58" s="29" t="s">
        <v>122</v>
      </c>
      <c r="C58" s="29" t="s">
        <v>469</v>
      </c>
      <c r="D58" s="69">
        <v>0.15</v>
      </c>
      <c r="E58" s="69">
        <v>0.2</v>
      </c>
      <c r="F58" s="69">
        <v>0.25</v>
      </c>
      <c r="G58" s="69">
        <v>0.3</v>
      </c>
      <c r="H58" s="69">
        <v>0.4</v>
      </c>
      <c r="I58" s="67" t="s">
        <v>470</v>
      </c>
      <c r="J58" s="69">
        <v>0.2</v>
      </c>
      <c r="K58" s="67" t="s">
        <v>369</v>
      </c>
      <c r="L58" s="67" t="s">
        <v>346</v>
      </c>
      <c r="M58" s="69">
        <v>0.1</v>
      </c>
      <c r="N58" s="69">
        <v>0.05</v>
      </c>
      <c r="U58" s="75"/>
      <c r="V58" s="69"/>
      <c r="W58" s="69"/>
      <c r="X58" s="69"/>
      <c r="Y58" s="69"/>
      <c r="Z58" s="69"/>
      <c r="AA58" s="76"/>
      <c r="AB58" s="76"/>
      <c r="AC58" s="76"/>
      <c r="AD58" s="76"/>
      <c r="AE58" s="76"/>
      <c r="AF58" s="76"/>
    </row>
    <row r="59" spans="1:32" x14ac:dyDescent="0.25">
      <c r="A59" s="29" t="s">
        <v>104</v>
      </c>
      <c r="B59" s="29" t="s">
        <v>104</v>
      </c>
      <c r="C59" s="29" t="s">
        <v>705</v>
      </c>
      <c r="D59" s="74">
        <v>1</v>
      </c>
      <c r="E59" s="74">
        <v>2</v>
      </c>
      <c r="F59" s="74">
        <v>3</v>
      </c>
      <c r="G59" s="74">
        <v>4</v>
      </c>
      <c r="H59" s="74">
        <v>5</v>
      </c>
      <c r="I59" s="67" t="s">
        <v>704</v>
      </c>
      <c r="J59" s="69">
        <v>1</v>
      </c>
      <c r="K59" s="67" t="s">
        <v>104</v>
      </c>
      <c r="L59" s="67" t="s">
        <v>341</v>
      </c>
      <c r="M59" s="69">
        <v>0</v>
      </c>
      <c r="N59" s="69">
        <v>0</v>
      </c>
      <c r="U59" s="75"/>
      <c r="V59" s="69"/>
      <c r="W59" s="69"/>
      <c r="X59" s="69"/>
      <c r="Y59" s="69"/>
      <c r="Z59" s="69"/>
      <c r="AA59" s="76"/>
      <c r="AB59" s="76"/>
      <c r="AC59" s="76"/>
      <c r="AD59" s="76"/>
      <c r="AE59" s="76"/>
      <c r="AF59" s="76"/>
    </row>
    <row r="60" spans="1:32" x14ac:dyDescent="0.25">
      <c r="A60" s="29" t="s">
        <v>869</v>
      </c>
      <c r="B60" s="29" t="s">
        <v>869</v>
      </c>
      <c r="C60" s="29" t="s">
        <v>873</v>
      </c>
      <c r="D60" s="69">
        <v>0.05</v>
      </c>
      <c r="E60" s="69">
        <v>0.1</v>
      </c>
      <c r="F60" s="69">
        <v>0.15</v>
      </c>
      <c r="G60" s="69">
        <v>0.2</v>
      </c>
      <c r="H60" s="69">
        <v>0.25</v>
      </c>
      <c r="I60" s="67" t="s">
        <v>874</v>
      </c>
      <c r="J60" s="69">
        <v>0.1</v>
      </c>
      <c r="K60" s="67" t="s">
        <v>760</v>
      </c>
      <c r="L60" s="67" t="s">
        <v>346</v>
      </c>
      <c r="M60" s="69">
        <v>0.5</v>
      </c>
      <c r="N60" s="69">
        <v>0.5</v>
      </c>
      <c r="U60" s="75"/>
      <c r="V60" s="69"/>
      <c r="W60" s="69"/>
      <c r="X60" s="69"/>
      <c r="Y60" s="69"/>
      <c r="Z60" s="69"/>
      <c r="AA60" s="76"/>
      <c r="AB60" s="76"/>
      <c r="AC60" s="76"/>
      <c r="AD60" s="76"/>
      <c r="AE60" s="76"/>
      <c r="AF60" s="76"/>
    </row>
    <row r="61" spans="1:32" x14ac:dyDescent="0.25">
      <c r="A61" s="29" t="s">
        <v>59</v>
      </c>
      <c r="B61" s="29" t="s">
        <v>59</v>
      </c>
      <c r="C61" s="29" t="s">
        <v>604</v>
      </c>
      <c r="D61" s="69">
        <v>0.1</v>
      </c>
      <c r="E61" s="69">
        <v>0.15</v>
      </c>
      <c r="F61" s="69">
        <v>0.2</v>
      </c>
      <c r="G61" s="69">
        <v>0.25</v>
      </c>
      <c r="H61" s="69">
        <v>0.3</v>
      </c>
      <c r="I61" s="67" t="s">
        <v>471</v>
      </c>
      <c r="J61" s="69">
        <v>0.5</v>
      </c>
      <c r="K61" s="67" t="s">
        <v>472</v>
      </c>
      <c r="L61" s="67" t="s">
        <v>344</v>
      </c>
      <c r="M61" s="69">
        <v>0.25</v>
      </c>
      <c r="N61" s="69">
        <v>0.1</v>
      </c>
      <c r="U61" s="75"/>
      <c r="V61" s="69"/>
      <c r="W61" s="69"/>
      <c r="X61" s="69"/>
      <c r="Y61" s="69"/>
      <c r="Z61" s="69"/>
      <c r="AA61" s="76"/>
      <c r="AB61" s="76"/>
      <c r="AC61" s="76"/>
      <c r="AD61" s="76"/>
      <c r="AE61" s="76"/>
      <c r="AF61" s="76"/>
    </row>
    <row r="62" spans="1:32" x14ac:dyDescent="0.25">
      <c r="A62" s="29" t="s">
        <v>32</v>
      </c>
      <c r="B62" s="29" t="s">
        <v>32</v>
      </c>
      <c r="C62" s="29" t="s">
        <v>473</v>
      </c>
      <c r="D62" s="69">
        <v>0.4</v>
      </c>
      <c r="E62" s="69">
        <v>0.6</v>
      </c>
      <c r="F62" s="69">
        <v>0.8</v>
      </c>
      <c r="G62" s="69">
        <v>1</v>
      </c>
      <c r="H62" s="69">
        <v>1.25</v>
      </c>
      <c r="I62" s="67" t="s">
        <v>347</v>
      </c>
      <c r="J62" s="69">
        <v>0.5</v>
      </c>
      <c r="K62" s="67" t="s">
        <v>472</v>
      </c>
      <c r="L62" s="67" t="s">
        <v>346</v>
      </c>
      <c r="M62" s="69">
        <v>0.25</v>
      </c>
      <c r="N62" s="69">
        <v>0.15</v>
      </c>
      <c r="U62" s="75"/>
      <c r="V62" s="69"/>
      <c r="W62" s="69"/>
      <c r="X62" s="69"/>
      <c r="Y62" s="69"/>
      <c r="Z62" s="69"/>
      <c r="AA62" s="76"/>
      <c r="AB62" s="76"/>
      <c r="AC62" s="76"/>
      <c r="AD62" s="76"/>
      <c r="AE62" s="76"/>
      <c r="AF62" s="76"/>
    </row>
    <row r="63" spans="1:32" x14ac:dyDescent="0.25">
      <c r="A63" s="29" t="s">
        <v>70</v>
      </c>
      <c r="B63" s="29" t="s">
        <v>70</v>
      </c>
      <c r="C63" s="29" t="s">
        <v>474</v>
      </c>
      <c r="D63" s="69">
        <v>1</v>
      </c>
      <c r="E63" s="69">
        <v>2</v>
      </c>
      <c r="F63" s="69">
        <v>4</v>
      </c>
      <c r="G63" s="69">
        <v>8</v>
      </c>
      <c r="H63" s="69">
        <v>16</v>
      </c>
      <c r="I63" s="67" t="s">
        <v>475</v>
      </c>
      <c r="J63" s="69">
        <v>0.8</v>
      </c>
      <c r="K63" s="67" t="s">
        <v>476</v>
      </c>
      <c r="L63" s="67" t="s">
        <v>346</v>
      </c>
      <c r="M63" s="69">
        <v>0.1</v>
      </c>
      <c r="N63" s="69">
        <v>0.05</v>
      </c>
      <c r="O63" s="376"/>
      <c r="P63" s="376"/>
      <c r="Q63" s="376" t="s">
        <v>367</v>
      </c>
      <c r="R63" s="376"/>
      <c r="S63" s="376"/>
      <c r="T63" s="376"/>
      <c r="U63" s="75"/>
      <c r="V63" s="69"/>
      <c r="W63" s="69"/>
      <c r="X63" s="69"/>
      <c r="Y63" s="69"/>
      <c r="Z63" s="69"/>
      <c r="AA63" s="76"/>
      <c r="AB63" s="76"/>
      <c r="AC63" s="76"/>
      <c r="AD63" s="76"/>
      <c r="AE63" s="76"/>
      <c r="AF63" s="76"/>
    </row>
    <row r="64" spans="1:32" x14ac:dyDescent="0.25">
      <c r="A64" s="29" t="s">
        <v>56</v>
      </c>
      <c r="B64" s="29" t="s">
        <v>56</v>
      </c>
      <c r="C64" s="29" t="s">
        <v>477</v>
      </c>
      <c r="D64" s="69">
        <v>0.15</v>
      </c>
      <c r="E64" s="69">
        <v>0.2</v>
      </c>
      <c r="F64" s="69">
        <v>0.25</v>
      </c>
      <c r="G64" s="69">
        <v>0.3</v>
      </c>
      <c r="H64" s="69">
        <v>0.4</v>
      </c>
      <c r="I64" s="67" t="s">
        <v>818</v>
      </c>
      <c r="J64" s="69">
        <v>0.04</v>
      </c>
      <c r="K64" s="67" t="s">
        <v>472</v>
      </c>
      <c r="L64" s="67" t="s">
        <v>344</v>
      </c>
      <c r="M64" s="69">
        <v>0.03</v>
      </c>
      <c r="N64" s="69">
        <v>0.02</v>
      </c>
      <c r="U64" s="75"/>
      <c r="V64" s="69"/>
      <c r="W64" s="69"/>
      <c r="X64" s="69"/>
      <c r="Y64" s="69"/>
      <c r="Z64" s="69"/>
      <c r="AA64" s="76"/>
      <c r="AB64" s="76"/>
      <c r="AC64" s="76"/>
      <c r="AD64" s="76"/>
      <c r="AE64" s="76"/>
      <c r="AF64" s="76"/>
    </row>
    <row r="65" spans="1:32" x14ac:dyDescent="0.25">
      <c r="A65" s="29" t="s">
        <v>6</v>
      </c>
      <c r="B65" s="29" t="s">
        <v>6</v>
      </c>
      <c r="C65" s="29" t="s">
        <v>531</v>
      </c>
      <c r="D65" s="69">
        <v>0.1</v>
      </c>
      <c r="E65" s="69">
        <v>0.12</v>
      </c>
      <c r="F65" s="69">
        <v>0.14000000000000001</v>
      </c>
      <c r="G65" s="69">
        <v>0.16</v>
      </c>
      <c r="H65" s="69">
        <v>0.2</v>
      </c>
      <c r="I65" s="67" t="s">
        <v>478</v>
      </c>
      <c r="J65" s="69">
        <v>0.4</v>
      </c>
      <c r="K65" s="67" t="s">
        <v>373</v>
      </c>
      <c r="L65" s="67" t="s">
        <v>341</v>
      </c>
      <c r="M65" s="69">
        <v>0.3</v>
      </c>
      <c r="N65" s="69">
        <v>0.2</v>
      </c>
      <c r="U65" s="75"/>
      <c r="V65" s="69"/>
      <c r="W65" s="69"/>
      <c r="X65" s="69"/>
      <c r="Y65" s="69"/>
      <c r="Z65" s="69"/>
      <c r="AA65" s="76"/>
      <c r="AB65" s="76"/>
      <c r="AC65" s="76"/>
      <c r="AD65" s="76"/>
      <c r="AE65" s="76"/>
      <c r="AF65" s="76"/>
    </row>
    <row r="66" spans="1:32" x14ac:dyDescent="0.25">
      <c r="A66" s="29" t="s">
        <v>99</v>
      </c>
      <c r="B66" s="29" t="s">
        <v>99</v>
      </c>
      <c r="C66" s="29" t="s">
        <v>479</v>
      </c>
      <c r="D66" s="69">
        <v>0.2</v>
      </c>
      <c r="E66" s="69">
        <v>0.25</v>
      </c>
      <c r="F66" s="69">
        <v>0.3</v>
      </c>
      <c r="G66" s="69">
        <v>0.35</v>
      </c>
      <c r="H66" s="69">
        <v>0.4</v>
      </c>
      <c r="I66" s="67" t="s">
        <v>480</v>
      </c>
      <c r="J66" s="69">
        <v>0.2</v>
      </c>
      <c r="K66" s="67" t="s">
        <v>343</v>
      </c>
      <c r="L66" s="67" t="s">
        <v>341</v>
      </c>
      <c r="M66" s="69">
        <v>0.15</v>
      </c>
      <c r="N66" s="69">
        <v>7.0000000000000007E-2</v>
      </c>
      <c r="U66" s="75"/>
      <c r="V66" s="69"/>
      <c r="W66" s="69"/>
      <c r="X66" s="69"/>
      <c r="Y66" s="69"/>
      <c r="Z66" s="69"/>
      <c r="AA66" s="76"/>
      <c r="AB66" s="76"/>
      <c r="AC66" s="76"/>
      <c r="AD66" s="76"/>
      <c r="AE66" s="76"/>
      <c r="AF66" s="76"/>
    </row>
    <row r="67" spans="1:32" x14ac:dyDescent="0.25">
      <c r="A67" s="29" t="s">
        <v>49</v>
      </c>
      <c r="B67" s="29" t="s">
        <v>49</v>
      </c>
      <c r="C67" s="29" t="s">
        <v>481</v>
      </c>
      <c r="D67" s="69">
        <v>0.2</v>
      </c>
      <c r="E67" s="69">
        <v>0.25</v>
      </c>
      <c r="F67" s="69">
        <v>0.3</v>
      </c>
      <c r="G67" s="69">
        <v>0.4</v>
      </c>
      <c r="H67" s="69">
        <v>0.5</v>
      </c>
      <c r="I67" s="67" t="s">
        <v>482</v>
      </c>
      <c r="J67" s="69">
        <v>0.5</v>
      </c>
      <c r="K67" s="67" t="s">
        <v>371</v>
      </c>
      <c r="L67" s="67" t="s">
        <v>341</v>
      </c>
      <c r="M67" s="69">
        <v>0.25</v>
      </c>
      <c r="N67" s="69">
        <v>0.1</v>
      </c>
      <c r="O67" s="212"/>
      <c r="P67" s="212"/>
      <c r="Q67" s="212"/>
      <c r="R67" s="212"/>
      <c r="S67" s="212"/>
      <c r="T67" s="212"/>
      <c r="U67" s="75"/>
      <c r="V67" s="69"/>
      <c r="W67" s="69"/>
      <c r="X67" s="69"/>
      <c r="Y67" s="69"/>
      <c r="Z67" s="69"/>
      <c r="AA67" s="76"/>
      <c r="AB67" s="76"/>
      <c r="AC67" s="76"/>
      <c r="AD67" s="76"/>
      <c r="AE67" s="76"/>
      <c r="AF67" s="76"/>
    </row>
    <row r="68" spans="1:32" x14ac:dyDescent="0.25">
      <c r="A68" s="29" t="s">
        <v>66</v>
      </c>
      <c r="B68" s="29" t="s">
        <v>483</v>
      </c>
      <c r="C68" s="29" t="s">
        <v>484</v>
      </c>
      <c r="D68" s="69">
        <v>0.01</v>
      </c>
      <c r="E68" s="69">
        <v>0.02</v>
      </c>
      <c r="F68" s="69">
        <v>0.03</v>
      </c>
      <c r="G68" s="69">
        <v>0.04</v>
      </c>
      <c r="H68" s="69">
        <v>0.05</v>
      </c>
      <c r="I68" s="67" t="s">
        <v>605</v>
      </c>
      <c r="J68" s="69">
        <v>0.5</v>
      </c>
      <c r="K68" s="67" t="s">
        <v>472</v>
      </c>
      <c r="L68" s="67" t="s">
        <v>346</v>
      </c>
      <c r="M68" s="69">
        <v>0.25</v>
      </c>
      <c r="N68" s="69">
        <v>0.1</v>
      </c>
      <c r="U68" s="75"/>
      <c r="V68" s="69"/>
      <c r="W68" s="69"/>
      <c r="X68" s="69"/>
      <c r="Y68" s="69"/>
      <c r="Z68" s="69"/>
      <c r="AA68" s="76"/>
      <c r="AB68" s="76"/>
      <c r="AC68" s="76"/>
      <c r="AD68" s="76"/>
      <c r="AE68" s="76"/>
      <c r="AF68" s="76"/>
    </row>
    <row r="69" spans="1:32" x14ac:dyDescent="0.25">
      <c r="A69" s="29" t="s">
        <v>68</v>
      </c>
      <c r="B69" s="29" t="s">
        <v>485</v>
      </c>
      <c r="C69" s="29" t="s">
        <v>486</v>
      </c>
      <c r="D69" s="69">
        <v>0.5</v>
      </c>
      <c r="E69" s="69">
        <v>0.6</v>
      </c>
      <c r="F69" s="69">
        <v>0.7</v>
      </c>
      <c r="G69" s="69">
        <v>0.75</v>
      </c>
      <c r="H69" s="69">
        <v>0.8</v>
      </c>
      <c r="I69" s="67" t="s">
        <v>487</v>
      </c>
      <c r="J69" s="69">
        <v>0.4</v>
      </c>
      <c r="K69" s="67" t="s">
        <v>370</v>
      </c>
      <c r="L69" s="67" t="s">
        <v>346</v>
      </c>
      <c r="M69" s="69">
        <v>0.2</v>
      </c>
      <c r="N69" s="69">
        <v>0.1</v>
      </c>
      <c r="S69" s="68" t="s">
        <v>367</v>
      </c>
      <c r="T69" s="68" t="s">
        <v>367</v>
      </c>
      <c r="U69" s="75"/>
      <c r="V69" s="69"/>
      <c r="W69" s="69"/>
      <c r="X69" s="69"/>
      <c r="Y69" s="69"/>
      <c r="Z69" s="69"/>
      <c r="AA69" s="76"/>
      <c r="AB69" s="76"/>
      <c r="AC69" s="76"/>
      <c r="AD69" s="76"/>
      <c r="AE69" s="76"/>
      <c r="AF69" s="76"/>
    </row>
    <row r="70" spans="1:32" x14ac:dyDescent="0.25">
      <c r="A70" s="29" t="s">
        <v>35</v>
      </c>
      <c r="B70" s="29" t="s">
        <v>35</v>
      </c>
      <c r="C70" s="29" t="s">
        <v>490</v>
      </c>
      <c r="D70" s="69">
        <v>0.08</v>
      </c>
      <c r="E70" s="69">
        <v>0.1</v>
      </c>
      <c r="F70" s="69">
        <v>0.13</v>
      </c>
      <c r="G70" s="69">
        <v>0.17</v>
      </c>
      <c r="H70" s="69">
        <v>0.2</v>
      </c>
      <c r="I70" s="67" t="s">
        <v>491</v>
      </c>
      <c r="J70" s="69">
        <v>0.25</v>
      </c>
      <c r="K70" s="67" t="s">
        <v>492</v>
      </c>
      <c r="L70" s="67" t="s">
        <v>346</v>
      </c>
      <c r="M70" s="69">
        <v>0.05</v>
      </c>
      <c r="N70" s="69">
        <v>0.03</v>
      </c>
      <c r="U70" s="75"/>
      <c r="V70" s="69"/>
      <c r="W70" s="69"/>
      <c r="X70" s="69"/>
      <c r="Y70" s="69"/>
      <c r="Z70" s="69"/>
      <c r="AA70" s="76"/>
      <c r="AB70" s="76"/>
      <c r="AC70" s="76"/>
      <c r="AD70" s="76"/>
      <c r="AE70" s="76"/>
      <c r="AF70" s="76"/>
    </row>
    <row r="71" spans="1:32" x14ac:dyDescent="0.25">
      <c r="A71" s="29" t="s">
        <v>11</v>
      </c>
      <c r="B71" s="29" t="s">
        <v>11</v>
      </c>
      <c r="C71" s="29" t="s">
        <v>493</v>
      </c>
      <c r="D71" s="69">
        <v>0.05</v>
      </c>
      <c r="E71" s="69">
        <v>7.0000000000000007E-2</v>
      </c>
      <c r="F71" s="69">
        <v>0.1</v>
      </c>
      <c r="G71" s="69">
        <v>0.15</v>
      </c>
      <c r="H71" s="69">
        <v>0.2</v>
      </c>
      <c r="I71" s="67" t="s">
        <v>494</v>
      </c>
      <c r="J71" s="69">
        <v>0.2</v>
      </c>
      <c r="K71" s="67" t="s">
        <v>492</v>
      </c>
      <c r="L71" s="67" t="s">
        <v>341</v>
      </c>
      <c r="M71" s="69">
        <v>0.1</v>
      </c>
      <c r="N71" s="69">
        <v>0.05</v>
      </c>
      <c r="U71" s="75"/>
      <c r="V71" s="69"/>
      <c r="W71" s="69"/>
      <c r="X71" s="69"/>
      <c r="Y71" s="69"/>
      <c r="Z71" s="69"/>
      <c r="AA71" s="76"/>
      <c r="AB71" s="76"/>
      <c r="AC71" s="76"/>
      <c r="AD71" s="76"/>
      <c r="AE71" s="76"/>
      <c r="AF71" s="76"/>
    </row>
    <row r="72" spans="1:32" x14ac:dyDescent="0.25">
      <c r="A72" s="29" t="s">
        <v>36</v>
      </c>
      <c r="B72" s="29" t="s">
        <v>36</v>
      </c>
      <c r="C72" s="29" t="s">
        <v>495</v>
      </c>
      <c r="D72" s="69">
        <v>0.05</v>
      </c>
      <c r="E72" s="69">
        <v>0.1</v>
      </c>
      <c r="F72" s="69">
        <v>0.15</v>
      </c>
      <c r="G72" s="69">
        <v>0.2</v>
      </c>
      <c r="H72" s="69">
        <v>0.25</v>
      </c>
      <c r="I72" s="67" t="s">
        <v>496</v>
      </c>
      <c r="J72" s="69">
        <v>0.2</v>
      </c>
      <c r="K72" s="67" t="s">
        <v>371</v>
      </c>
      <c r="L72" s="67" t="s">
        <v>341</v>
      </c>
      <c r="M72" s="69">
        <v>0.1</v>
      </c>
      <c r="N72" s="69">
        <v>0.05</v>
      </c>
      <c r="R72" s="68" t="s">
        <v>367</v>
      </c>
      <c r="U72" s="75"/>
      <c r="V72" s="69"/>
      <c r="W72" s="69"/>
      <c r="X72" s="69"/>
      <c r="Y72" s="69"/>
      <c r="Z72" s="69"/>
      <c r="AA72" s="76"/>
      <c r="AB72" s="76"/>
      <c r="AC72" s="76"/>
      <c r="AD72" s="76"/>
      <c r="AE72" s="76"/>
      <c r="AF72" s="76"/>
    </row>
    <row r="73" spans="1:32" x14ac:dyDescent="0.25">
      <c r="A73" s="29" t="s">
        <v>69</v>
      </c>
      <c r="B73" s="29" t="s">
        <v>69</v>
      </c>
      <c r="C73" s="29" t="s">
        <v>606</v>
      </c>
      <c r="D73" s="69">
        <v>0.2</v>
      </c>
      <c r="E73" s="69">
        <v>0.3</v>
      </c>
      <c r="F73" s="69">
        <v>0.4</v>
      </c>
      <c r="G73" s="69">
        <v>0.5</v>
      </c>
      <c r="H73" s="69">
        <v>0.6</v>
      </c>
      <c r="I73" s="67" t="s">
        <v>607</v>
      </c>
      <c r="J73" s="69">
        <v>0.2</v>
      </c>
      <c r="K73" s="67" t="s">
        <v>492</v>
      </c>
      <c r="L73" s="67" t="s">
        <v>344</v>
      </c>
      <c r="M73" s="69">
        <v>0.15</v>
      </c>
      <c r="N73" s="69">
        <v>0.1</v>
      </c>
      <c r="U73" s="75"/>
      <c r="V73" s="69"/>
      <c r="W73" s="69"/>
      <c r="X73" s="69"/>
      <c r="Y73" s="69"/>
      <c r="Z73" s="69"/>
      <c r="AA73" s="76"/>
      <c r="AB73" s="76"/>
      <c r="AC73" s="76"/>
      <c r="AD73" s="76"/>
      <c r="AE73" s="76"/>
      <c r="AF73" s="76"/>
    </row>
    <row r="74" spans="1:32" x14ac:dyDescent="0.25">
      <c r="A74" s="29" t="s">
        <v>60</v>
      </c>
      <c r="B74" s="29" t="s">
        <v>60</v>
      </c>
      <c r="C74" s="29" t="s">
        <v>574</v>
      </c>
      <c r="D74" s="69">
        <v>0.25</v>
      </c>
      <c r="E74" s="69">
        <v>0.35</v>
      </c>
      <c r="F74" s="69">
        <v>0.75</v>
      </c>
      <c r="G74" s="69">
        <v>1.75</v>
      </c>
      <c r="H74" s="69">
        <v>5</v>
      </c>
      <c r="I74" s="67" t="s">
        <v>498</v>
      </c>
      <c r="J74" s="69">
        <v>0.3</v>
      </c>
      <c r="K74" s="67" t="s">
        <v>476</v>
      </c>
      <c r="L74" s="67" t="s">
        <v>341</v>
      </c>
      <c r="M74" s="69">
        <v>0.15</v>
      </c>
      <c r="N74" s="69">
        <v>7.0000000000000007E-2</v>
      </c>
      <c r="U74" s="75"/>
      <c r="V74" s="69"/>
      <c r="W74" s="69"/>
      <c r="X74" s="69"/>
      <c r="Y74" s="69"/>
      <c r="Z74" s="69"/>
      <c r="AA74" s="76"/>
      <c r="AB74" s="76"/>
      <c r="AC74" s="76"/>
      <c r="AD74" s="76"/>
      <c r="AE74" s="76"/>
      <c r="AF74" s="76"/>
    </row>
    <row r="75" spans="1:32" x14ac:dyDescent="0.25">
      <c r="A75" s="29" t="s">
        <v>61</v>
      </c>
      <c r="B75" s="29" t="s">
        <v>61</v>
      </c>
      <c r="C75" s="29" t="s">
        <v>499</v>
      </c>
      <c r="D75" s="69">
        <v>0.4</v>
      </c>
      <c r="E75" s="69">
        <v>0.5</v>
      </c>
      <c r="F75" s="69">
        <v>0.6</v>
      </c>
      <c r="G75" s="69">
        <v>0.8</v>
      </c>
      <c r="H75" s="69">
        <v>1</v>
      </c>
      <c r="I75" s="67" t="s">
        <v>500</v>
      </c>
      <c r="J75" s="69">
        <v>0.05</v>
      </c>
      <c r="K75" s="67" t="s">
        <v>369</v>
      </c>
      <c r="L75" s="67" t="s">
        <v>346</v>
      </c>
      <c r="M75" s="69">
        <v>0.05</v>
      </c>
      <c r="N75" s="69">
        <v>0.02</v>
      </c>
      <c r="P75" s="68" t="s">
        <v>367</v>
      </c>
      <c r="U75" s="75"/>
      <c r="V75" s="69"/>
      <c r="W75" s="69"/>
      <c r="X75" s="69"/>
      <c r="Y75" s="69"/>
      <c r="Z75" s="69"/>
      <c r="AA75" s="76"/>
      <c r="AB75" s="76"/>
      <c r="AC75" s="76"/>
      <c r="AD75" s="76"/>
      <c r="AE75" s="76"/>
      <c r="AF75" s="76"/>
    </row>
    <row r="76" spans="1:32" x14ac:dyDescent="0.25">
      <c r="A76" s="29" t="s">
        <v>100</v>
      </c>
      <c r="B76" s="29" t="s">
        <v>100</v>
      </c>
      <c r="C76" s="29" t="s">
        <v>512</v>
      </c>
      <c r="D76" s="69">
        <v>0.25</v>
      </c>
      <c r="E76" s="69">
        <v>0.3</v>
      </c>
      <c r="F76" s="69">
        <v>0.35</v>
      </c>
      <c r="G76" s="69">
        <v>0.4</v>
      </c>
      <c r="H76" s="69">
        <v>0.5</v>
      </c>
      <c r="I76" s="67" t="s">
        <v>501</v>
      </c>
      <c r="J76" s="69">
        <v>0.5</v>
      </c>
      <c r="K76" s="67" t="s">
        <v>476</v>
      </c>
      <c r="L76" s="67" t="s">
        <v>346</v>
      </c>
      <c r="M76" s="69">
        <v>0.2</v>
      </c>
      <c r="N76" s="69">
        <v>0.1</v>
      </c>
      <c r="U76" s="75"/>
      <c r="V76" s="69"/>
      <c r="W76" s="69"/>
      <c r="X76" s="69"/>
      <c r="Y76" s="69"/>
      <c r="Z76" s="69"/>
      <c r="AA76" s="76"/>
      <c r="AB76" s="76"/>
      <c r="AC76" s="76"/>
      <c r="AD76" s="76"/>
      <c r="AE76" s="76"/>
      <c r="AF76" s="76"/>
    </row>
    <row r="77" spans="1:32" x14ac:dyDescent="0.25">
      <c r="A77" s="29" t="s">
        <v>94</v>
      </c>
      <c r="B77" s="29" t="s">
        <v>502</v>
      </c>
      <c r="C77" s="29" t="s">
        <v>503</v>
      </c>
      <c r="D77" s="69">
        <v>0.2</v>
      </c>
      <c r="E77" s="69">
        <v>0.3</v>
      </c>
      <c r="F77" s="69">
        <v>0.4</v>
      </c>
      <c r="G77" s="69">
        <v>0.5</v>
      </c>
      <c r="H77" s="69">
        <v>0.6</v>
      </c>
      <c r="I77" s="67" t="s">
        <v>504</v>
      </c>
      <c r="J77" s="69">
        <v>0.05</v>
      </c>
      <c r="K77" s="67" t="s">
        <v>430</v>
      </c>
      <c r="L77" s="67" t="s">
        <v>341</v>
      </c>
      <c r="M77" s="69">
        <v>0.05</v>
      </c>
      <c r="N77" s="69">
        <v>0.02</v>
      </c>
      <c r="U77" s="75"/>
      <c r="V77" s="69"/>
      <c r="W77" s="69"/>
      <c r="X77" s="69"/>
      <c r="Y77" s="69"/>
      <c r="Z77" s="69"/>
      <c r="AA77" s="76"/>
      <c r="AB77" s="76"/>
      <c r="AC77" s="76"/>
      <c r="AD77" s="76"/>
      <c r="AE77" s="76"/>
      <c r="AF77" s="76"/>
    </row>
    <row r="78" spans="1:32" x14ac:dyDescent="0.25">
      <c r="A78" s="29" t="s">
        <v>86</v>
      </c>
      <c r="B78" s="29" t="s">
        <v>86</v>
      </c>
      <c r="C78" s="29" t="s">
        <v>575</v>
      </c>
      <c r="D78" s="69">
        <v>0.25</v>
      </c>
      <c r="E78" s="69">
        <v>0.35</v>
      </c>
      <c r="F78" s="69">
        <v>0.75</v>
      </c>
      <c r="G78" s="69">
        <v>1.75</v>
      </c>
      <c r="H78" s="69">
        <v>5</v>
      </c>
      <c r="I78" s="67" t="s">
        <v>505</v>
      </c>
      <c r="J78" s="69">
        <v>0.1</v>
      </c>
      <c r="K78" s="67" t="s">
        <v>476</v>
      </c>
      <c r="L78" s="67" t="s">
        <v>341</v>
      </c>
      <c r="M78" s="69">
        <v>0.05</v>
      </c>
      <c r="N78" s="69">
        <v>0.02</v>
      </c>
      <c r="U78" s="75"/>
      <c r="V78" s="69"/>
      <c r="W78" s="69"/>
      <c r="X78" s="69"/>
      <c r="Y78" s="69"/>
      <c r="Z78" s="69"/>
      <c r="AA78" s="76"/>
      <c r="AB78" s="76"/>
      <c r="AC78" s="76"/>
      <c r="AD78" s="76"/>
      <c r="AE78" s="76"/>
      <c r="AF78" s="76"/>
    </row>
    <row r="79" spans="1:32" x14ac:dyDescent="0.25">
      <c r="A79" s="29" t="s">
        <v>58</v>
      </c>
      <c r="B79" s="29" t="s">
        <v>58</v>
      </c>
      <c r="C79" s="29" t="s">
        <v>507</v>
      </c>
      <c r="D79" s="69">
        <v>0.2</v>
      </c>
      <c r="E79" s="69">
        <v>0.3</v>
      </c>
      <c r="F79" s="69">
        <v>0.4</v>
      </c>
      <c r="G79" s="69">
        <v>0.5</v>
      </c>
      <c r="H79" s="69">
        <v>0.6</v>
      </c>
      <c r="I79" s="67" t="s">
        <v>508</v>
      </c>
      <c r="J79" s="69">
        <v>0.1</v>
      </c>
      <c r="K79" s="67" t="s">
        <v>369</v>
      </c>
      <c r="L79" s="67" t="s">
        <v>341</v>
      </c>
      <c r="M79" s="69">
        <v>0.1</v>
      </c>
      <c r="N79" s="69">
        <v>0.05</v>
      </c>
      <c r="U79" s="75"/>
      <c r="V79" s="69"/>
      <c r="W79" s="69"/>
      <c r="X79" s="69"/>
      <c r="Y79" s="69"/>
      <c r="Z79" s="69"/>
      <c r="AA79" s="76"/>
      <c r="AB79" s="76"/>
      <c r="AC79" s="76"/>
      <c r="AD79" s="76"/>
      <c r="AE79" s="76"/>
      <c r="AF79" s="76"/>
    </row>
    <row r="80" spans="1:32" x14ac:dyDescent="0.25">
      <c r="A80" s="29" t="s">
        <v>37</v>
      </c>
      <c r="B80" s="29" t="s">
        <v>37</v>
      </c>
      <c r="C80" s="29" t="s">
        <v>572</v>
      </c>
      <c r="D80" s="69">
        <v>0.25</v>
      </c>
      <c r="E80" s="69">
        <v>0.35</v>
      </c>
      <c r="F80" s="69">
        <v>0.75</v>
      </c>
      <c r="G80" s="69">
        <v>1.75</v>
      </c>
      <c r="H80" s="69">
        <v>5</v>
      </c>
      <c r="I80" s="67" t="s">
        <v>509</v>
      </c>
      <c r="J80" s="69">
        <v>0.2</v>
      </c>
      <c r="K80" s="67" t="s">
        <v>414</v>
      </c>
      <c r="L80" s="67" t="s">
        <v>341</v>
      </c>
      <c r="M80" s="69">
        <v>0.2</v>
      </c>
      <c r="N80" s="69">
        <v>0.1</v>
      </c>
      <c r="U80" s="75"/>
      <c r="V80" s="69"/>
      <c r="W80" s="69"/>
      <c r="X80" s="69"/>
      <c r="Y80" s="69"/>
      <c r="Z80" s="69"/>
      <c r="AA80" s="76"/>
      <c r="AB80" s="76"/>
      <c r="AC80" s="76"/>
      <c r="AD80" s="76"/>
      <c r="AE80" s="76" t="s">
        <v>367</v>
      </c>
      <c r="AF80" s="76"/>
    </row>
    <row r="81" spans="1:32" x14ac:dyDescent="0.25">
      <c r="A81" s="29" t="s">
        <v>103</v>
      </c>
      <c r="B81" s="29" t="s">
        <v>510</v>
      </c>
      <c r="C81" s="29" t="s">
        <v>511</v>
      </c>
      <c r="D81" s="69">
        <v>0.5</v>
      </c>
      <c r="E81" s="69">
        <v>0.6</v>
      </c>
      <c r="F81" s="69">
        <v>0.7</v>
      </c>
      <c r="G81" s="69">
        <v>0.75</v>
      </c>
      <c r="H81" s="69">
        <v>0.8</v>
      </c>
      <c r="I81" s="67" t="s">
        <v>608</v>
      </c>
      <c r="J81" s="69">
        <v>1</v>
      </c>
      <c r="K81" s="67" t="s">
        <v>666</v>
      </c>
      <c r="L81" s="67" t="s">
        <v>344</v>
      </c>
      <c r="M81" s="69">
        <v>0.5</v>
      </c>
      <c r="N81" s="69">
        <v>0.25</v>
      </c>
      <c r="Q81" s="68" t="s">
        <v>367</v>
      </c>
      <c r="R81" s="68" t="s">
        <v>367</v>
      </c>
      <c r="U81" s="75"/>
      <c r="V81" s="69"/>
      <c r="W81" s="69"/>
      <c r="X81" s="69"/>
      <c r="Y81" s="69"/>
      <c r="Z81" s="69"/>
      <c r="AA81" s="76"/>
      <c r="AB81" s="76"/>
      <c r="AC81" s="76"/>
      <c r="AD81" s="76"/>
      <c r="AE81" s="76"/>
      <c r="AF81" s="76"/>
    </row>
    <row r="82" spans="1:32" x14ac:dyDescent="0.25">
      <c r="A82" s="29" t="s">
        <v>1934</v>
      </c>
      <c r="B82" s="29" t="s">
        <v>1934</v>
      </c>
      <c r="C82" s="29" t="s">
        <v>1944</v>
      </c>
      <c r="D82" s="69">
        <v>0.25</v>
      </c>
      <c r="E82" s="69">
        <v>0.3</v>
      </c>
      <c r="F82" s="69">
        <v>0.4</v>
      </c>
      <c r="G82" s="69">
        <v>0.55000000000000004</v>
      </c>
      <c r="H82" s="69">
        <v>0.7</v>
      </c>
      <c r="I82" s="67" t="s">
        <v>1943</v>
      </c>
      <c r="J82" s="69">
        <v>0.3</v>
      </c>
      <c r="K82" s="67" t="s">
        <v>1656</v>
      </c>
      <c r="L82" s="67" t="s">
        <v>341</v>
      </c>
      <c r="M82" s="69">
        <v>0.1</v>
      </c>
      <c r="N82" s="69">
        <v>0.05</v>
      </c>
      <c r="O82" s="479"/>
      <c r="P82" s="479"/>
      <c r="Q82" s="479"/>
      <c r="R82" s="479"/>
      <c r="S82" s="479"/>
      <c r="T82" s="479"/>
      <c r="U82" s="75"/>
      <c r="V82" s="69"/>
      <c r="W82" s="69"/>
      <c r="X82" s="69"/>
      <c r="Y82" s="69"/>
      <c r="Z82" s="69"/>
      <c r="AA82" s="76"/>
      <c r="AB82" s="76"/>
      <c r="AC82" s="76"/>
      <c r="AD82" s="76"/>
      <c r="AE82" s="76"/>
      <c r="AF82" s="76"/>
    </row>
    <row r="83" spans="1:32" x14ac:dyDescent="0.25">
      <c r="A83" s="29" t="s">
        <v>251</v>
      </c>
      <c r="B83" s="29" t="s">
        <v>513</v>
      </c>
      <c r="C83" s="29" t="s">
        <v>384</v>
      </c>
      <c r="D83" s="69">
        <v>0.2</v>
      </c>
      <c r="E83" s="69">
        <v>0.4</v>
      </c>
      <c r="F83" s="69">
        <v>0.6</v>
      </c>
      <c r="G83" s="69">
        <v>0.8</v>
      </c>
      <c r="H83" s="69">
        <v>1</v>
      </c>
      <c r="I83" s="67" t="s">
        <v>382</v>
      </c>
      <c r="J83" s="69">
        <v>0.1</v>
      </c>
      <c r="K83" s="67" t="s">
        <v>373</v>
      </c>
      <c r="L83" s="67" t="s">
        <v>341</v>
      </c>
      <c r="M83" s="69">
        <v>0.2</v>
      </c>
      <c r="N83" s="69">
        <v>0.1</v>
      </c>
      <c r="U83" s="75"/>
      <c r="V83" s="69"/>
      <c r="W83" s="69"/>
      <c r="X83" s="69"/>
      <c r="Y83" s="69"/>
      <c r="Z83" s="69"/>
      <c r="AA83" s="76"/>
      <c r="AB83" s="76"/>
      <c r="AC83" s="76"/>
      <c r="AD83" s="76"/>
      <c r="AE83" s="76"/>
      <c r="AF83" s="76"/>
    </row>
    <row r="84" spans="1:32" x14ac:dyDescent="0.25">
      <c r="A84" s="29" t="s">
        <v>51</v>
      </c>
      <c r="B84" s="29" t="s">
        <v>51</v>
      </c>
      <c r="C84" s="29" t="s">
        <v>514</v>
      </c>
      <c r="D84" s="69">
        <v>0.2</v>
      </c>
      <c r="E84" s="69">
        <v>0.25</v>
      </c>
      <c r="F84" s="69">
        <v>0.3</v>
      </c>
      <c r="G84" s="69">
        <v>0.35</v>
      </c>
      <c r="H84" s="69">
        <v>0.4</v>
      </c>
      <c r="I84" s="67" t="s">
        <v>515</v>
      </c>
      <c r="J84" s="69">
        <v>0.2</v>
      </c>
      <c r="K84" s="67" t="s">
        <v>476</v>
      </c>
      <c r="L84" s="67" t="s">
        <v>344</v>
      </c>
      <c r="M84" s="69">
        <v>0.2</v>
      </c>
      <c r="N84" s="69">
        <v>0.1</v>
      </c>
      <c r="R84" s="68" t="s">
        <v>367</v>
      </c>
      <c r="U84" s="75"/>
      <c r="V84" s="69"/>
      <c r="W84" s="69"/>
      <c r="X84" s="69"/>
      <c r="Y84" s="69"/>
      <c r="Z84" s="69"/>
      <c r="AA84" s="76"/>
      <c r="AB84" s="76"/>
      <c r="AC84" s="76"/>
      <c r="AD84" s="76"/>
      <c r="AE84" s="76"/>
      <c r="AF84" s="76"/>
    </row>
    <row r="85" spans="1:32" x14ac:dyDescent="0.25">
      <c r="A85" s="29" t="s">
        <v>83</v>
      </c>
      <c r="B85" s="29" t="s">
        <v>516</v>
      </c>
      <c r="C85" s="29" t="s">
        <v>517</v>
      </c>
      <c r="D85" s="69">
        <v>1</v>
      </c>
      <c r="E85" s="69">
        <v>2</v>
      </c>
      <c r="F85" s="69">
        <v>4</v>
      </c>
      <c r="G85" s="69">
        <v>8</v>
      </c>
      <c r="H85" s="69">
        <v>16</v>
      </c>
      <c r="I85" s="67" t="s">
        <v>518</v>
      </c>
      <c r="J85" s="69">
        <v>0.8</v>
      </c>
      <c r="K85" s="67" t="s">
        <v>438</v>
      </c>
      <c r="L85" s="67" t="s">
        <v>346</v>
      </c>
      <c r="M85" s="69">
        <v>0.1</v>
      </c>
      <c r="N85" s="69">
        <v>0.05</v>
      </c>
      <c r="S85" s="68" t="s">
        <v>367</v>
      </c>
      <c r="U85" s="75"/>
      <c r="V85" s="69"/>
      <c r="W85" s="69"/>
      <c r="X85" s="69"/>
      <c r="Y85" s="69"/>
      <c r="Z85" s="69"/>
      <c r="AA85" s="76"/>
      <c r="AB85" s="76"/>
      <c r="AC85" s="76"/>
      <c r="AD85" s="76"/>
      <c r="AE85" s="76"/>
      <c r="AF85" s="76"/>
    </row>
    <row r="86" spans="1:32" x14ac:dyDescent="0.25">
      <c r="A86" s="29" t="s">
        <v>62</v>
      </c>
      <c r="B86" s="29" t="s">
        <v>62</v>
      </c>
      <c r="C86" s="29" t="s">
        <v>519</v>
      </c>
      <c r="D86" s="69">
        <v>0.5</v>
      </c>
      <c r="E86" s="69">
        <v>0.6</v>
      </c>
      <c r="F86" s="69">
        <v>0.7</v>
      </c>
      <c r="G86" s="69">
        <v>0.8</v>
      </c>
      <c r="H86" s="69">
        <v>0.9</v>
      </c>
      <c r="I86" s="67" t="s">
        <v>520</v>
      </c>
      <c r="J86" s="69">
        <v>0.2</v>
      </c>
      <c r="K86" s="67" t="s">
        <v>472</v>
      </c>
      <c r="L86" s="67" t="s">
        <v>341</v>
      </c>
      <c r="M86" s="69">
        <v>0.15</v>
      </c>
      <c r="N86" s="69">
        <v>0.05</v>
      </c>
      <c r="U86" s="75"/>
      <c r="V86" s="69"/>
      <c r="W86" s="69"/>
      <c r="X86" s="69"/>
      <c r="Y86" s="69"/>
      <c r="Z86" s="69"/>
      <c r="AA86" s="76"/>
      <c r="AB86" s="76"/>
      <c r="AC86" s="76"/>
      <c r="AD86" s="76"/>
      <c r="AE86" s="76"/>
      <c r="AF86" s="76"/>
    </row>
    <row r="87" spans="1:32" x14ac:dyDescent="0.25">
      <c r="A87" s="29" t="s">
        <v>1849</v>
      </c>
      <c r="B87" s="29" t="s">
        <v>1849</v>
      </c>
      <c r="C87" s="29" t="s">
        <v>1861</v>
      </c>
      <c r="D87" s="69">
        <v>2</v>
      </c>
      <c r="E87" s="69">
        <v>5</v>
      </c>
      <c r="F87" s="69">
        <v>8</v>
      </c>
      <c r="G87" s="69">
        <v>11</v>
      </c>
      <c r="H87" s="69">
        <v>14</v>
      </c>
      <c r="I87" s="67" t="s">
        <v>1860</v>
      </c>
      <c r="J87" s="69">
        <v>0.5</v>
      </c>
      <c r="K87" s="67" t="s">
        <v>1568</v>
      </c>
      <c r="L87" s="67" t="s">
        <v>341</v>
      </c>
      <c r="M87" s="69">
        <v>0.1</v>
      </c>
      <c r="N87" s="69">
        <v>0.05</v>
      </c>
      <c r="O87" s="462"/>
      <c r="P87" s="462"/>
      <c r="Q87" s="462"/>
      <c r="R87" s="462"/>
      <c r="S87" s="462"/>
      <c r="T87" s="462"/>
      <c r="U87" s="75"/>
      <c r="V87" s="69"/>
      <c r="W87" s="69"/>
      <c r="X87" s="69"/>
      <c r="Y87" s="69"/>
      <c r="Z87" s="69"/>
      <c r="AA87" s="76"/>
      <c r="AB87" s="76"/>
      <c r="AC87" s="76"/>
      <c r="AD87" s="76"/>
      <c r="AE87" s="76"/>
      <c r="AF87" s="76"/>
    </row>
    <row r="88" spans="1:32" x14ac:dyDescent="0.25">
      <c r="A88" s="29" t="s">
        <v>52</v>
      </c>
      <c r="B88" s="29" t="s">
        <v>521</v>
      </c>
      <c r="C88" s="29" t="s">
        <v>522</v>
      </c>
      <c r="D88" s="69">
        <v>0.1</v>
      </c>
      <c r="E88" s="69">
        <v>0.16</v>
      </c>
      <c r="F88" s="69">
        <v>0.22</v>
      </c>
      <c r="G88" s="69">
        <v>0.3</v>
      </c>
      <c r="H88" s="69">
        <v>0.4</v>
      </c>
      <c r="I88" s="67" t="s">
        <v>523</v>
      </c>
      <c r="J88" s="69">
        <v>0.1</v>
      </c>
      <c r="K88" s="67" t="s">
        <v>343</v>
      </c>
      <c r="L88" s="67" t="s">
        <v>344</v>
      </c>
      <c r="M88" s="69">
        <v>0.05</v>
      </c>
      <c r="N88" s="69">
        <v>0.02</v>
      </c>
      <c r="U88" s="75"/>
      <c r="V88" s="69"/>
      <c r="W88" s="69"/>
      <c r="X88" s="69"/>
      <c r="Y88" s="69"/>
      <c r="Z88" s="69"/>
      <c r="AA88" s="76"/>
      <c r="AB88" s="76"/>
      <c r="AC88" s="76"/>
      <c r="AD88" s="76"/>
      <c r="AE88" s="76"/>
      <c r="AF88" s="76"/>
    </row>
    <row r="89" spans="1:32" x14ac:dyDescent="0.25">
      <c r="A89" s="29" t="s">
        <v>105</v>
      </c>
      <c r="B89" s="29" t="s">
        <v>105</v>
      </c>
      <c r="C89" s="29" t="s">
        <v>609</v>
      </c>
      <c r="D89" s="69">
        <v>0.3</v>
      </c>
      <c r="E89" s="69">
        <v>0.55000000000000004</v>
      </c>
      <c r="F89" s="69">
        <v>0.85</v>
      </c>
      <c r="G89" s="69">
        <v>3</v>
      </c>
      <c r="H89" s="69">
        <v>4.5</v>
      </c>
      <c r="I89" s="67" t="s">
        <v>491</v>
      </c>
      <c r="J89" s="74">
        <v>15</v>
      </c>
      <c r="K89" s="67" t="s">
        <v>361</v>
      </c>
      <c r="L89" s="67" t="s">
        <v>344</v>
      </c>
      <c r="M89" s="74">
        <v>10</v>
      </c>
      <c r="N89" s="74">
        <v>5</v>
      </c>
      <c r="U89" s="75"/>
      <c r="V89" s="69"/>
      <c r="W89" s="69"/>
      <c r="X89" s="69"/>
      <c r="Y89" s="69"/>
      <c r="Z89" s="69"/>
      <c r="AA89" s="76"/>
      <c r="AB89" s="76"/>
      <c r="AC89" s="76"/>
      <c r="AD89" s="76"/>
      <c r="AE89" s="76"/>
      <c r="AF89" s="76"/>
    </row>
    <row r="90" spans="1:32" x14ac:dyDescent="0.25">
      <c r="A90" s="29" t="s">
        <v>63</v>
      </c>
      <c r="B90" s="29" t="s">
        <v>63</v>
      </c>
      <c r="C90" s="29" t="s">
        <v>576</v>
      </c>
      <c r="D90" s="69">
        <v>0.25</v>
      </c>
      <c r="E90" s="69">
        <v>0.35</v>
      </c>
      <c r="F90" s="69">
        <v>0.75</v>
      </c>
      <c r="G90" s="69">
        <v>1.75</v>
      </c>
      <c r="H90" s="69">
        <v>5</v>
      </c>
      <c r="I90" s="67" t="s">
        <v>524</v>
      </c>
      <c r="J90" s="69">
        <v>0.2</v>
      </c>
      <c r="K90" s="67" t="s">
        <v>414</v>
      </c>
      <c r="L90" s="67" t="s">
        <v>344</v>
      </c>
      <c r="M90" s="69">
        <v>0.1</v>
      </c>
      <c r="N90" s="69">
        <v>0.05</v>
      </c>
      <c r="O90" s="68" t="s">
        <v>367</v>
      </c>
      <c r="U90" s="75"/>
      <c r="V90" s="69"/>
      <c r="W90" s="69"/>
      <c r="X90" s="69"/>
      <c r="Y90" s="69"/>
      <c r="Z90" s="69"/>
      <c r="AA90" s="76"/>
      <c r="AB90" s="76"/>
      <c r="AC90" s="76"/>
      <c r="AD90" s="76"/>
      <c r="AE90" s="76"/>
      <c r="AF90" s="76"/>
    </row>
    <row r="91" spans="1:32" x14ac:dyDescent="0.25">
      <c r="A91" s="29" t="s">
        <v>81</v>
      </c>
      <c r="B91" s="29" t="s">
        <v>525</v>
      </c>
      <c r="C91" s="29" t="s">
        <v>526</v>
      </c>
      <c r="D91" s="69">
        <v>0.3</v>
      </c>
      <c r="E91" s="69">
        <v>0.4</v>
      </c>
      <c r="F91" s="69">
        <v>0.5</v>
      </c>
      <c r="G91" s="69">
        <v>0.6</v>
      </c>
      <c r="H91" s="69">
        <v>0.7</v>
      </c>
      <c r="I91" s="67" t="s">
        <v>527</v>
      </c>
      <c r="J91" s="69">
        <v>0.2</v>
      </c>
      <c r="K91" s="67" t="s">
        <v>343</v>
      </c>
      <c r="L91" s="67" t="s">
        <v>346</v>
      </c>
      <c r="M91" s="69">
        <v>0.2</v>
      </c>
      <c r="N91" s="69">
        <v>0.1</v>
      </c>
      <c r="U91" s="75"/>
      <c r="V91" s="69"/>
      <c r="W91" s="69"/>
      <c r="X91" s="69"/>
      <c r="Y91" s="69"/>
      <c r="Z91" s="69"/>
      <c r="AA91" s="76"/>
      <c r="AB91" s="76" t="s">
        <v>367</v>
      </c>
      <c r="AC91" s="76"/>
      <c r="AD91" s="76" t="s">
        <v>367</v>
      </c>
      <c r="AE91" s="76"/>
      <c r="AF91" s="76" t="s">
        <v>367</v>
      </c>
    </row>
    <row r="92" spans="1:32" x14ac:dyDescent="0.25">
      <c r="A92" s="29" t="s">
        <v>64</v>
      </c>
      <c r="B92" s="29" t="s">
        <v>64</v>
      </c>
      <c r="C92" s="29" t="s">
        <v>528</v>
      </c>
      <c r="D92" s="69">
        <v>0.3</v>
      </c>
      <c r="E92" s="69">
        <v>0.4</v>
      </c>
      <c r="F92" s="69">
        <v>0.5</v>
      </c>
      <c r="G92" s="69">
        <v>0.6</v>
      </c>
      <c r="H92" s="69">
        <v>0.7</v>
      </c>
      <c r="I92" s="67" t="s">
        <v>529</v>
      </c>
      <c r="J92" s="69">
        <v>0.4</v>
      </c>
      <c r="K92" s="67" t="s">
        <v>430</v>
      </c>
      <c r="L92" s="67" t="s">
        <v>344</v>
      </c>
      <c r="M92" s="69">
        <v>0.2</v>
      </c>
      <c r="N92" s="69">
        <v>0.1</v>
      </c>
      <c r="U92" s="75"/>
      <c r="V92" s="69"/>
      <c r="W92" s="69"/>
      <c r="X92" s="69"/>
      <c r="Y92" s="69"/>
      <c r="Z92" s="69"/>
      <c r="AA92" s="76"/>
      <c r="AB92" s="76"/>
      <c r="AC92" s="76"/>
      <c r="AD92" s="76"/>
      <c r="AE92" s="76"/>
      <c r="AF92" s="76"/>
    </row>
    <row r="93" spans="1:32" x14ac:dyDescent="0.25">
      <c r="A93" s="29" t="s">
        <v>38</v>
      </c>
      <c r="B93" s="29" t="s">
        <v>38</v>
      </c>
      <c r="C93" s="29" t="s">
        <v>533</v>
      </c>
      <c r="D93" s="69">
        <v>0.1</v>
      </c>
      <c r="E93" s="69">
        <v>0.15</v>
      </c>
      <c r="F93" s="69">
        <v>0.2</v>
      </c>
      <c r="G93" s="69">
        <v>0.25</v>
      </c>
      <c r="H93" s="69">
        <v>0.3</v>
      </c>
      <c r="I93" s="67" t="s">
        <v>530</v>
      </c>
      <c r="J93" s="69">
        <v>0.2</v>
      </c>
      <c r="K93" s="67" t="s">
        <v>371</v>
      </c>
      <c r="L93" s="67" t="s">
        <v>346</v>
      </c>
      <c r="M93" s="69">
        <v>0.1</v>
      </c>
      <c r="N93" s="69">
        <v>0.05</v>
      </c>
      <c r="U93" s="75">
        <f ca="1">IF(INDEX(RosterRank,MATCH(A93,RosterOfficer,0),0)=0,0,(INDEX(OfficerSkillsFull,MATCH(A93,OfficerSkillsOfficers,0),3+INDEX(RosterRank,MATCH(A93,RosterOfficer,0),0))))</f>
        <v>0</v>
      </c>
      <c r="V93" s="69"/>
      <c r="W93" s="69"/>
      <c r="X93" s="69"/>
      <c r="Y93" s="69"/>
      <c r="Z93" s="69"/>
      <c r="AA93" s="76"/>
      <c r="AB93" s="76"/>
      <c r="AC93" s="76"/>
      <c r="AD93" s="76"/>
      <c r="AE93" s="76"/>
      <c r="AF93" s="76"/>
    </row>
    <row r="94" spans="1:32" x14ac:dyDescent="0.25">
      <c r="A94" s="29" t="s">
        <v>106</v>
      </c>
      <c r="B94" s="29" t="s">
        <v>458</v>
      </c>
      <c r="C94" s="29" t="s">
        <v>459</v>
      </c>
      <c r="D94" s="69">
        <v>2</v>
      </c>
      <c r="E94" s="69">
        <v>2.5</v>
      </c>
      <c r="F94" s="69">
        <v>3</v>
      </c>
      <c r="G94" s="69">
        <v>3.5</v>
      </c>
      <c r="H94" s="69">
        <v>4</v>
      </c>
      <c r="I94" s="67" t="s">
        <v>610</v>
      </c>
      <c r="J94" s="69">
        <v>0.1</v>
      </c>
      <c r="K94" s="67" t="s">
        <v>360</v>
      </c>
      <c r="L94" s="67" t="s">
        <v>346</v>
      </c>
      <c r="M94" s="69">
        <v>0.05</v>
      </c>
      <c r="N94" s="69">
        <v>0.03</v>
      </c>
      <c r="U94" s="75"/>
      <c r="V94" s="69"/>
      <c r="W94" s="69"/>
      <c r="X94" s="69"/>
      <c r="Y94" s="69"/>
      <c r="Z94" s="69"/>
      <c r="AA94" s="76"/>
      <c r="AB94" s="76"/>
      <c r="AC94" s="76"/>
      <c r="AD94" s="76"/>
      <c r="AE94" s="76"/>
      <c r="AF94" s="76"/>
    </row>
    <row r="95" spans="1:32" x14ac:dyDescent="0.25">
      <c r="A95" s="29" t="s">
        <v>77</v>
      </c>
      <c r="B95" s="29" t="s">
        <v>77</v>
      </c>
      <c r="C95" s="29" t="s">
        <v>534</v>
      </c>
      <c r="D95" s="69">
        <v>0.5</v>
      </c>
      <c r="E95" s="69">
        <v>0.65</v>
      </c>
      <c r="F95" s="69">
        <v>0.85</v>
      </c>
      <c r="G95" s="69">
        <v>1.1000000000000001</v>
      </c>
      <c r="H95" s="69">
        <v>1.4</v>
      </c>
      <c r="I95" s="67" t="s">
        <v>535</v>
      </c>
      <c r="J95" s="69">
        <v>0.2</v>
      </c>
      <c r="K95" s="67" t="s">
        <v>472</v>
      </c>
      <c r="L95" s="67" t="s">
        <v>344</v>
      </c>
      <c r="M95" s="69">
        <v>0.2</v>
      </c>
      <c r="N95" s="69">
        <v>0.1</v>
      </c>
      <c r="R95" s="68" t="s">
        <v>367</v>
      </c>
      <c r="U95" s="75"/>
      <c r="V95" s="69"/>
      <c r="W95" s="69"/>
      <c r="X95" s="69"/>
      <c r="Y95" s="69"/>
      <c r="Z95" s="69"/>
      <c r="AA95" s="76"/>
      <c r="AB95" s="76"/>
      <c r="AC95" s="76"/>
      <c r="AD95" s="76"/>
      <c r="AE95" s="76"/>
      <c r="AF95" s="76"/>
    </row>
    <row r="96" spans="1:32" x14ac:dyDescent="0.25">
      <c r="A96" s="29" t="s">
        <v>50</v>
      </c>
      <c r="B96" s="29" t="s">
        <v>50</v>
      </c>
      <c r="C96" s="29" t="s">
        <v>536</v>
      </c>
      <c r="D96" s="69">
        <v>0.25</v>
      </c>
      <c r="E96" s="69">
        <v>0.3</v>
      </c>
      <c r="F96" s="69">
        <v>0.35</v>
      </c>
      <c r="G96" s="69">
        <v>0.4</v>
      </c>
      <c r="H96" s="69">
        <v>0.5</v>
      </c>
      <c r="I96" s="67" t="s">
        <v>537</v>
      </c>
      <c r="J96" s="69">
        <v>0.4</v>
      </c>
      <c r="K96" s="67" t="s">
        <v>369</v>
      </c>
      <c r="L96" s="67" t="s">
        <v>341</v>
      </c>
      <c r="M96" s="69">
        <v>0.2</v>
      </c>
      <c r="N96" s="69">
        <v>0.1</v>
      </c>
      <c r="O96" s="68" t="s">
        <v>367</v>
      </c>
      <c r="P96" s="68" t="s">
        <v>367</v>
      </c>
      <c r="U96" s="75"/>
      <c r="V96" s="69"/>
      <c r="W96" s="69"/>
      <c r="X96" s="69"/>
      <c r="Y96" s="69"/>
      <c r="Z96" s="69"/>
      <c r="AA96" s="76"/>
      <c r="AB96" s="76"/>
      <c r="AC96" s="76"/>
      <c r="AD96" s="76"/>
      <c r="AE96" s="76"/>
      <c r="AF96" s="76"/>
    </row>
    <row r="97" spans="1:32" x14ac:dyDescent="0.25">
      <c r="A97" s="29" t="s">
        <v>734</v>
      </c>
      <c r="B97" s="29" t="s">
        <v>734</v>
      </c>
      <c r="C97" s="29" t="s">
        <v>390</v>
      </c>
      <c r="D97" s="69">
        <v>0.04</v>
      </c>
      <c r="E97" s="69">
        <v>0.06</v>
      </c>
      <c r="F97" s="69">
        <v>0.08</v>
      </c>
      <c r="G97" s="69">
        <v>0.1</v>
      </c>
      <c r="H97" s="69">
        <v>0.12</v>
      </c>
      <c r="I97" s="67" t="s">
        <v>350</v>
      </c>
      <c r="J97" s="69">
        <v>0.1</v>
      </c>
      <c r="K97" s="67" t="s">
        <v>761</v>
      </c>
      <c r="L97" s="67" t="s">
        <v>344</v>
      </c>
      <c r="M97" s="69">
        <v>0.1</v>
      </c>
      <c r="N97" s="69">
        <v>0.05</v>
      </c>
      <c r="U97" s="75"/>
      <c r="V97" s="69"/>
      <c r="W97" s="69"/>
      <c r="X97" s="69"/>
      <c r="Y97" s="69"/>
      <c r="Z97" s="69"/>
      <c r="AA97" s="76"/>
      <c r="AB97" s="76"/>
      <c r="AC97" s="76"/>
      <c r="AD97" s="76"/>
      <c r="AE97" s="76"/>
      <c r="AF97" s="76" t="s">
        <v>367</v>
      </c>
    </row>
    <row r="98" spans="1:32" x14ac:dyDescent="0.25">
      <c r="A98" s="29" t="s">
        <v>736</v>
      </c>
      <c r="B98" s="29" t="s">
        <v>736</v>
      </c>
      <c r="C98" s="29" t="s">
        <v>394</v>
      </c>
      <c r="D98" s="69">
        <v>0.05</v>
      </c>
      <c r="E98" s="69">
        <v>0.08</v>
      </c>
      <c r="F98" s="69">
        <v>0.12</v>
      </c>
      <c r="G98" s="69">
        <v>0.15</v>
      </c>
      <c r="H98" s="69">
        <v>0.2</v>
      </c>
      <c r="I98" s="67" t="s">
        <v>388</v>
      </c>
      <c r="J98" s="69">
        <v>0.08</v>
      </c>
      <c r="K98" s="67" t="s">
        <v>761</v>
      </c>
      <c r="L98" s="67" t="s">
        <v>346</v>
      </c>
      <c r="M98" s="69">
        <v>0.06</v>
      </c>
      <c r="N98" s="69">
        <v>0.03</v>
      </c>
      <c r="U98" s="75"/>
      <c r="V98" s="69"/>
      <c r="W98" s="69"/>
      <c r="X98" s="69"/>
      <c r="Y98" s="69"/>
      <c r="Z98" s="69"/>
      <c r="AA98" s="76" t="s">
        <v>367</v>
      </c>
      <c r="AB98" s="76"/>
      <c r="AC98" s="76" t="s">
        <v>367</v>
      </c>
      <c r="AD98" s="76"/>
      <c r="AE98" s="76" t="s">
        <v>367</v>
      </c>
      <c r="AF98" s="76"/>
    </row>
    <row r="99" spans="1:32" x14ac:dyDescent="0.25">
      <c r="A99" s="29" t="s">
        <v>738</v>
      </c>
      <c r="B99" s="29" t="s">
        <v>738</v>
      </c>
      <c r="C99" s="29" t="s">
        <v>393</v>
      </c>
      <c r="D99" s="69">
        <v>0.05</v>
      </c>
      <c r="E99" s="69">
        <v>7.0000000000000007E-2</v>
      </c>
      <c r="F99" s="69">
        <v>0.09</v>
      </c>
      <c r="G99" s="69">
        <v>0.11</v>
      </c>
      <c r="H99" s="69">
        <v>0.14000000000000001</v>
      </c>
      <c r="I99" s="67" t="s">
        <v>396</v>
      </c>
      <c r="J99" s="69">
        <v>0.1</v>
      </c>
      <c r="K99" s="67" t="s">
        <v>761</v>
      </c>
      <c r="L99" s="67" t="s">
        <v>341</v>
      </c>
      <c r="M99" s="69">
        <v>0.05</v>
      </c>
      <c r="N99" s="69">
        <v>0.02</v>
      </c>
      <c r="U99" s="75"/>
      <c r="V99" s="69"/>
      <c r="W99" s="69"/>
      <c r="X99" s="69"/>
      <c r="Y99" s="69"/>
      <c r="Z99" s="69"/>
      <c r="AA99" s="76"/>
      <c r="AB99" s="76"/>
      <c r="AC99" s="76"/>
      <c r="AD99" s="76"/>
      <c r="AE99" s="76"/>
      <c r="AF99" s="76"/>
    </row>
    <row r="100" spans="1:32" x14ac:dyDescent="0.25">
      <c r="A100" s="29" t="s">
        <v>740</v>
      </c>
      <c r="B100" s="29" t="s">
        <v>740</v>
      </c>
      <c r="C100" s="29" t="s">
        <v>762</v>
      </c>
      <c r="D100" s="69">
        <v>0.05</v>
      </c>
      <c r="E100" s="69">
        <v>0.08</v>
      </c>
      <c r="F100" s="69">
        <v>0.1</v>
      </c>
      <c r="G100" s="69">
        <v>0.12</v>
      </c>
      <c r="H100" s="69">
        <v>0.15</v>
      </c>
      <c r="I100" s="67" t="s">
        <v>379</v>
      </c>
      <c r="J100" s="69">
        <v>0.05</v>
      </c>
      <c r="K100" s="67" t="s">
        <v>761</v>
      </c>
      <c r="L100" s="67" t="s">
        <v>346</v>
      </c>
      <c r="M100" s="69">
        <v>0.1</v>
      </c>
      <c r="N100" s="69">
        <v>0.05</v>
      </c>
      <c r="U100" s="75">
        <f ca="1">IF(INDEX(RosterRank,MATCH(A100,RosterOfficer,0),0)=0,0,(INDEX(OfficerSkillsFull,MATCH(A100,OfficerSkillsOfficers,0),3+INDEX(RosterRank,MATCH(A100,RosterOfficer,0),0))))</f>
        <v>0</v>
      </c>
      <c r="V100" s="69"/>
      <c r="W100" s="69"/>
      <c r="X100" s="69"/>
      <c r="Y100" s="69"/>
      <c r="Z100" s="69"/>
      <c r="AA100" s="76"/>
      <c r="AB100" s="76"/>
      <c r="AC100" s="76"/>
      <c r="AD100" s="76"/>
      <c r="AE100" s="76"/>
      <c r="AF100" s="76"/>
    </row>
    <row r="101" spans="1:32" x14ac:dyDescent="0.25">
      <c r="A101" s="29" t="s">
        <v>742</v>
      </c>
      <c r="B101" s="29" t="s">
        <v>742</v>
      </c>
      <c r="C101" s="29" t="s">
        <v>464</v>
      </c>
      <c r="D101" s="69">
        <v>0.05</v>
      </c>
      <c r="E101" s="69">
        <v>0.08</v>
      </c>
      <c r="F101" s="69">
        <v>0.12</v>
      </c>
      <c r="G101" s="69">
        <v>0.15</v>
      </c>
      <c r="H101" s="69">
        <v>0.2</v>
      </c>
      <c r="I101" s="67" t="s">
        <v>465</v>
      </c>
      <c r="J101" s="69">
        <v>0.05</v>
      </c>
      <c r="K101" s="67" t="s">
        <v>761</v>
      </c>
      <c r="L101" s="67" t="s">
        <v>344</v>
      </c>
      <c r="M101" s="69">
        <v>0.05</v>
      </c>
      <c r="N101" s="69">
        <v>0.02</v>
      </c>
      <c r="U101" s="75"/>
      <c r="V101" s="69"/>
      <c r="W101" s="69"/>
      <c r="X101" s="69"/>
      <c r="Y101" s="69"/>
      <c r="Z101" s="69"/>
      <c r="AA101" s="76"/>
      <c r="AB101" s="76"/>
      <c r="AC101" s="76"/>
      <c r="AD101" s="76"/>
      <c r="AE101" s="76"/>
      <c r="AF101" s="76"/>
    </row>
    <row r="102" spans="1:32" x14ac:dyDescent="0.25">
      <c r="A102" s="29" t="s">
        <v>1645</v>
      </c>
      <c r="B102" s="29" t="s">
        <v>1645</v>
      </c>
      <c r="C102" s="29" t="s">
        <v>356</v>
      </c>
      <c r="D102" s="69">
        <v>0.45</v>
      </c>
      <c r="E102" s="69">
        <v>0.55000000000000004</v>
      </c>
      <c r="F102" s="69">
        <v>0.65</v>
      </c>
      <c r="G102" s="69">
        <v>0.75</v>
      </c>
      <c r="H102" s="69">
        <v>0.85</v>
      </c>
      <c r="I102" s="67" t="s">
        <v>357</v>
      </c>
      <c r="J102" s="69">
        <v>0.1</v>
      </c>
      <c r="K102" s="67" t="s">
        <v>342</v>
      </c>
      <c r="L102" s="67" t="s">
        <v>346</v>
      </c>
      <c r="M102" s="69">
        <v>0.1</v>
      </c>
      <c r="N102" s="69">
        <v>0.05</v>
      </c>
      <c r="U102" s="75"/>
      <c r="V102" s="69"/>
      <c r="W102" s="69"/>
      <c r="X102" s="69">
        <f ca="1">IF(INDEX(RosterRank,MATCH(A102,RosterOfficer,0),0)=0,0,(INDEX(OfficerSkillsFull,MATCH(A102,OfficerSkillsOfficers,0),3+INDEX(RosterRank,MATCH(A102,RosterOfficer,0),0))))</f>
        <v>0</v>
      </c>
      <c r="Y102" s="69"/>
      <c r="Z102" s="69"/>
      <c r="AA102" s="76"/>
      <c r="AB102" s="76"/>
      <c r="AC102" s="76"/>
      <c r="AD102" s="76"/>
      <c r="AE102" s="76"/>
      <c r="AF102" s="76"/>
    </row>
    <row r="103" spans="1:32" x14ac:dyDescent="0.25">
      <c r="A103" s="29" t="s">
        <v>1630</v>
      </c>
      <c r="B103" s="29" t="s">
        <v>1630</v>
      </c>
      <c r="C103" s="29" t="s">
        <v>347</v>
      </c>
      <c r="D103" s="69">
        <v>0.3</v>
      </c>
      <c r="E103" s="69">
        <v>0.35</v>
      </c>
      <c r="F103" s="69">
        <v>0.4</v>
      </c>
      <c r="G103" s="69">
        <v>0.45</v>
      </c>
      <c r="H103" s="69">
        <v>0.5</v>
      </c>
      <c r="I103" s="67" t="s">
        <v>345</v>
      </c>
      <c r="J103" s="69">
        <v>0.05</v>
      </c>
      <c r="K103" s="67" t="s">
        <v>342</v>
      </c>
      <c r="L103" s="67" t="s">
        <v>346</v>
      </c>
      <c r="M103" s="69">
        <v>0.02</v>
      </c>
      <c r="N103" s="69">
        <v>0.01</v>
      </c>
      <c r="U103" s="75"/>
      <c r="V103" s="69"/>
      <c r="W103" s="69"/>
      <c r="X103" s="69"/>
      <c r="Y103" s="69"/>
      <c r="Z103" s="69"/>
      <c r="AA103" s="76"/>
      <c r="AB103" s="76"/>
      <c r="AC103" s="76"/>
      <c r="AD103" s="76"/>
      <c r="AE103" s="76"/>
      <c r="AF103" s="76"/>
    </row>
    <row r="104" spans="1:32" x14ac:dyDescent="0.25">
      <c r="A104" s="29" t="s">
        <v>57</v>
      </c>
      <c r="B104" s="29" t="s">
        <v>57</v>
      </c>
      <c r="C104" s="29" t="s">
        <v>465</v>
      </c>
      <c r="D104" s="69">
        <v>7.0000000000000007E-2</v>
      </c>
      <c r="E104" s="69">
        <v>0.11</v>
      </c>
      <c r="F104" s="69">
        <v>0.16</v>
      </c>
      <c r="G104" s="69">
        <v>0.2</v>
      </c>
      <c r="H104" s="69">
        <v>0.25</v>
      </c>
      <c r="I104" s="67" t="s">
        <v>1871</v>
      </c>
      <c r="J104" s="74">
        <v>15</v>
      </c>
      <c r="K104" s="67" t="s">
        <v>721</v>
      </c>
      <c r="L104" s="67" t="s">
        <v>346</v>
      </c>
      <c r="M104" s="74">
        <v>5</v>
      </c>
      <c r="N104" s="74">
        <v>2</v>
      </c>
      <c r="O104" s="110"/>
      <c r="P104" s="110"/>
      <c r="Q104" s="110"/>
      <c r="R104" s="110"/>
      <c r="S104" s="110"/>
      <c r="T104" s="110"/>
      <c r="U104" s="75"/>
      <c r="V104" s="69"/>
      <c r="W104" s="69"/>
      <c r="X104" s="69"/>
      <c r="Y104" s="69"/>
      <c r="Z104" s="69"/>
      <c r="AA104" s="76"/>
      <c r="AB104" s="76"/>
      <c r="AC104" s="76"/>
      <c r="AD104" s="76"/>
      <c r="AE104" s="76"/>
      <c r="AF104" s="76"/>
    </row>
    <row r="105" spans="1:32" x14ac:dyDescent="0.25">
      <c r="A105" s="29" t="s">
        <v>26</v>
      </c>
      <c r="B105" s="29" t="s">
        <v>26</v>
      </c>
      <c r="C105" s="29" t="s">
        <v>392</v>
      </c>
      <c r="D105" s="69">
        <v>0.05</v>
      </c>
      <c r="E105" s="69">
        <v>7.0000000000000007E-2</v>
      </c>
      <c r="F105" s="69">
        <v>0.1</v>
      </c>
      <c r="G105" s="69">
        <v>0.12</v>
      </c>
      <c r="H105" s="69">
        <v>0.15</v>
      </c>
      <c r="I105" s="67" t="s">
        <v>538</v>
      </c>
      <c r="J105" s="74">
        <v>10</v>
      </c>
      <c r="K105" s="67" t="s">
        <v>721</v>
      </c>
      <c r="L105" s="67" t="s">
        <v>344</v>
      </c>
      <c r="M105" s="74">
        <v>5</v>
      </c>
      <c r="N105" s="74">
        <v>2</v>
      </c>
      <c r="O105" s="110"/>
      <c r="P105" s="110"/>
      <c r="Q105" s="110"/>
      <c r="R105" s="110"/>
      <c r="S105" s="110"/>
      <c r="T105" s="110"/>
      <c r="U105" s="75"/>
      <c r="V105" s="69"/>
      <c r="W105" s="69"/>
      <c r="X105" s="69"/>
      <c r="Y105" s="69"/>
      <c r="Z105" s="69"/>
      <c r="AA105" s="76"/>
      <c r="AB105" s="76"/>
      <c r="AC105" s="76"/>
      <c r="AD105" s="76"/>
      <c r="AE105" s="76"/>
      <c r="AF105" s="76"/>
    </row>
    <row r="106" spans="1:32" x14ac:dyDescent="0.25">
      <c r="A106" s="29" t="s">
        <v>27</v>
      </c>
      <c r="B106" s="29" t="s">
        <v>27</v>
      </c>
      <c r="C106" s="29" t="s">
        <v>541</v>
      </c>
      <c r="D106" s="69">
        <v>0.3</v>
      </c>
      <c r="E106" s="69">
        <v>0.34</v>
      </c>
      <c r="F106" s="69">
        <v>0.38</v>
      </c>
      <c r="G106" s="69">
        <v>0.42</v>
      </c>
      <c r="H106" s="69">
        <v>0.45</v>
      </c>
      <c r="I106" s="67" t="s">
        <v>542</v>
      </c>
      <c r="J106" s="74">
        <v>10</v>
      </c>
      <c r="K106" s="67" t="s">
        <v>721</v>
      </c>
      <c r="L106" s="67" t="s">
        <v>341</v>
      </c>
      <c r="M106" s="74">
        <v>5</v>
      </c>
      <c r="N106" s="74">
        <v>2</v>
      </c>
      <c r="O106" s="110"/>
      <c r="P106" s="110"/>
      <c r="Q106" s="110"/>
      <c r="R106" s="110"/>
      <c r="S106" s="110"/>
      <c r="T106" s="110"/>
      <c r="U106" s="75"/>
      <c r="V106" s="69"/>
      <c r="W106" s="69"/>
      <c r="X106" s="69"/>
      <c r="Y106" s="69"/>
      <c r="Z106" s="69"/>
      <c r="AA106" s="76"/>
      <c r="AB106" s="76"/>
      <c r="AC106" s="76"/>
      <c r="AD106" s="76"/>
      <c r="AE106" s="76"/>
      <c r="AF106" s="76"/>
    </row>
    <row r="107" spans="1:32" x14ac:dyDescent="0.25">
      <c r="A107" s="29" t="s">
        <v>55</v>
      </c>
      <c r="B107" s="29" t="s">
        <v>55</v>
      </c>
      <c r="C107" s="29" t="s">
        <v>544</v>
      </c>
      <c r="D107" s="69">
        <v>0.2</v>
      </c>
      <c r="E107" s="69">
        <v>0.3</v>
      </c>
      <c r="F107" s="69">
        <v>0.4</v>
      </c>
      <c r="G107" s="69">
        <v>0.5</v>
      </c>
      <c r="H107" s="69">
        <v>0.6</v>
      </c>
      <c r="I107" s="67" t="s">
        <v>545</v>
      </c>
      <c r="J107" s="69">
        <v>0.2</v>
      </c>
      <c r="K107" s="67" t="s">
        <v>472</v>
      </c>
      <c r="L107" s="67" t="s">
        <v>341</v>
      </c>
      <c r="M107" s="69">
        <v>0.1</v>
      </c>
      <c r="N107" s="69">
        <v>0.05</v>
      </c>
      <c r="O107" s="110"/>
      <c r="P107" s="110"/>
      <c r="Q107" s="110"/>
      <c r="R107" s="110"/>
      <c r="S107" s="110"/>
      <c r="T107" s="110"/>
      <c r="U107" s="75">
        <f ca="1">IF(INDEX(RosterRank,MATCH(A107,RosterOfficer,0),0)=0,0,(INDEX(OfficerSkillsFull,MATCH(A107,OfficerSkillsOfficers,0),3+INDEX(RosterRank,MATCH(A107,RosterOfficer,0),0))))</f>
        <v>0</v>
      </c>
      <c r="V107" s="69"/>
      <c r="W107" s="69"/>
      <c r="X107" s="69"/>
      <c r="Y107" s="69"/>
      <c r="Z107" s="69"/>
      <c r="AA107" s="76"/>
      <c r="AB107" s="76"/>
      <c r="AC107" s="76"/>
      <c r="AD107" s="76"/>
      <c r="AE107" s="76"/>
      <c r="AF107" s="76"/>
    </row>
    <row r="108" spans="1:32" x14ac:dyDescent="0.25">
      <c r="A108" s="29" t="s">
        <v>78</v>
      </c>
      <c r="B108" s="29" t="s">
        <v>78</v>
      </c>
      <c r="C108" s="29" t="s">
        <v>546</v>
      </c>
      <c r="D108" s="69">
        <v>0.25</v>
      </c>
      <c r="E108" s="69">
        <v>0.35</v>
      </c>
      <c r="F108" s="69">
        <v>0.45</v>
      </c>
      <c r="G108" s="69">
        <v>0.55000000000000004</v>
      </c>
      <c r="H108" s="69">
        <v>0.65</v>
      </c>
      <c r="I108" s="67" t="s">
        <v>547</v>
      </c>
      <c r="J108" s="69">
        <v>0.2</v>
      </c>
      <c r="K108" s="67" t="s">
        <v>472</v>
      </c>
      <c r="L108" s="67" t="s">
        <v>341</v>
      </c>
      <c r="M108" s="69">
        <v>0.15</v>
      </c>
      <c r="N108" s="69">
        <v>0.05</v>
      </c>
      <c r="O108" s="110"/>
      <c r="P108" s="110"/>
      <c r="Q108" s="110" t="s">
        <v>367</v>
      </c>
      <c r="R108" s="110"/>
      <c r="S108" s="110"/>
      <c r="T108" s="110"/>
      <c r="U108" s="75"/>
      <c r="V108" s="69"/>
      <c r="W108" s="69"/>
      <c r="X108" s="69"/>
      <c r="Y108" s="69"/>
      <c r="Z108" s="69"/>
      <c r="AA108" s="76"/>
      <c r="AB108" s="76"/>
      <c r="AC108" s="76"/>
      <c r="AD108" s="76"/>
      <c r="AE108" s="76"/>
      <c r="AF108" s="76"/>
    </row>
    <row r="109" spans="1:32" x14ac:dyDescent="0.25">
      <c r="A109" s="29" t="s">
        <v>90</v>
      </c>
      <c r="B109" s="29" t="s">
        <v>90</v>
      </c>
      <c r="C109" s="29" t="s">
        <v>543</v>
      </c>
      <c r="D109" s="69">
        <v>0.4</v>
      </c>
      <c r="E109" s="69">
        <v>0.8</v>
      </c>
      <c r="F109" s="69">
        <v>1.2</v>
      </c>
      <c r="G109" s="69">
        <v>1.6</v>
      </c>
      <c r="H109" s="69">
        <v>2</v>
      </c>
      <c r="I109" s="67" t="s">
        <v>841</v>
      </c>
      <c r="J109" s="69">
        <v>0.2</v>
      </c>
      <c r="K109" s="67" t="s">
        <v>361</v>
      </c>
      <c r="L109" s="67" t="s">
        <v>341</v>
      </c>
      <c r="M109" s="69">
        <v>0.03</v>
      </c>
      <c r="N109" s="69">
        <v>0.02</v>
      </c>
      <c r="U109" s="75"/>
      <c r="V109" s="69"/>
      <c r="W109" s="69"/>
      <c r="X109" s="69"/>
      <c r="Y109" s="69"/>
      <c r="Z109" s="69"/>
      <c r="AA109" s="76"/>
      <c r="AB109" s="76"/>
      <c r="AC109" s="76"/>
      <c r="AD109" s="76"/>
      <c r="AE109" s="76"/>
      <c r="AF109" s="76"/>
    </row>
    <row r="110" spans="1:32" x14ac:dyDescent="0.25">
      <c r="A110" s="29" t="s">
        <v>82</v>
      </c>
      <c r="B110" s="29" t="s">
        <v>548</v>
      </c>
      <c r="C110" s="29" t="s">
        <v>549</v>
      </c>
      <c r="D110" s="69">
        <v>0.2</v>
      </c>
      <c r="E110" s="69">
        <v>0.3</v>
      </c>
      <c r="F110" s="69">
        <v>0.4</v>
      </c>
      <c r="G110" s="69">
        <v>0.5</v>
      </c>
      <c r="H110" s="69">
        <v>0.6</v>
      </c>
      <c r="I110" s="67" t="s">
        <v>874</v>
      </c>
      <c r="J110" s="69">
        <v>0.2</v>
      </c>
      <c r="K110" s="67" t="s">
        <v>430</v>
      </c>
      <c r="L110" s="67" t="s">
        <v>346</v>
      </c>
      <c r="M110" s="69">
        <v>0.4</v>
      </c>
      <c r="N110" s="69">
        <v>0.2</v>
      </c>
      <c r="U110" s="75"/>
      <c r="V110" s="69"/>
      <c r="W110" s="69"/>
      <c r="X110" s="69"/>
      <c r="Y110" s="69"/>
      <c r="Z110" s="69"/>
      <c r="AA110" s="76"/>
      <c r="AB110" s="76"/>
      <c r="AC110" s="76"/>
      <c r="AD110" s="76"/>
      <c r="AE110" s="76"/>
      <c r="AF110" s="76"/>
    </row>
    <row r="111" spans="1:32" x14ac:dyDescent="0.25">
      <c r="A111" s="29" t="s">
        <v>76</v>
      </c>
      <c r="B111" s="29" t="s">
        <v>76</v>
      </c>
      <c r="C111" s="29" t="s">
        <v>551</v>
      </c>
      <c r="D111" s="69">
        <v>0.3</v>
      </c>
      <c r="E111" s="69">
        <v>0.4</v>
      </c>
      <c r="F111" s="69">
        <v>0.5</v>
      </c>
      <c r="G111" s="69">
        <v>0.6</v>
      </c>
      <c r="H111" s="69">
        <v>0.7</v>
      </c>
      <c r="I111" s="67" t="s">
        <v>611</v>
      </c>
      <c r="J111" s="69">
        <v>0.35</v>
      </c>
      <c r="K111" s="67" t="s">
        <v>476</v>
      </c>
      <c r="L111" s="67" t="s">
        <v>344</v>
      </c>
      <c r="M111" s="69">
        <v>0.2</v>
      </c>
      <c r="N111" s="69">
        <v>0.1</v>
      </c>
      <c r="R111" s="68" t="s">
        <v>367</v>
      </c>
      <c r="U111" s="75"/>
      <c r="V111" s="69"/>
      <c r="W111" s="69"/>
      <c r="X111" s="69"/>
      <c r="Y111" s="69"/>
      <c r="Z111" s="69"/>
      <c r="AA111" s="76"/>
      <c r="AB111" s="76"/>
      <c r="AC111" s="76"/>
      <c r="AD111" s="76"/>
      <c r="AE111" s="76"/>
      <c r="AF111" s="76"/>
    </row>
    <row r="112" spans="1:32" x14ac:dyDescent="0.25">
      <c r="A112" s="29" t="s">
        <v>1978</v>
      </c>
      <c r="B112" s="29" t="s">
        <v>1978</v>
      </c>
      <c r="C112" s="29" t="s">
        <v>1980</v>
      </c>
      <c r="D112" s="69">
        <v>0.8</v>
      </c>
      <c r="E112" s="69">
        <v>1</v>
      </c>
      <c r="F112" s="69">
        <v>1.2</v>
      </c>
      <c r="G112" s="69">
        <v>1.4</v>
      </c>
      <c r="H112" s="69">
        <v>1.6</v>
      </c>
      <c r="I112" s="67" t="s">
        <v>347</v>
      </c>
      <c r="J112" s="69">
        <v>0.9</v>
      </c>
      <c r="K112" s="67" t="s">
        <v>1982</v>
      </c>
      <c r="L112" s="67" t="s">
        <v>346</v>
      </c>
      <c r="M112" s="69">
        <v>0.15</v>
      </c>
      <c r="N112" s="69">
        <v>0.08</v>
      </c>
      <c r="O112" s="487"/>
      <c r="P112" s="487"/>
      <c r="Q112" s="487"/>
      <c r="R112" s="487"/>
      <c r="S112" s="487"/>
      <c r="T112" s="487"/>
      <c r="U112" s="75"/>
      <c r="V112" s="69"/>
      <c r="W112" s="69"/>
      <c r="X112" s="69"/>
      <c r="Y112" s="69"/>
      <c r="Z112" s="69"/>
      <c r="AA112" s="76"/>
      <c r="AB112" s="76"/>
      <c r="AC112" s="76"/>
      <c r="AD112" s="76"/>
      <c r="AE112" s="76"/>
      <c r="AF112" s="76"/>
    </row>
    <row r="113" spans="1:32" x14ac:dyDescent="0.25">
      <c r="A113" s="29" t="s">
        <v>79</v>
      </c>
      <c r="B113" s="29" t="s">
        <v>79</v>
      </c>
      <c r="C113" s="29" t="s">
        <v>550</v>
      </c>
      <c r="D113" s="69">
        <v>0.05</v>
      </c>
      <c r="E113" s="69">
        <v>0.08</v>
      </c>
      <c r="F113" s="69">
        <v>0.1</v>
      </c>
      <c r="G113" s="69">
        <v>0.15</v>
      </c>
      <c r="H113" s="69">
        <v>0.2</v>
      </c>
      <c r="I113" s="67" t="s">
        <v>552</v>
      </c>
      <c r="J113" s="69">
        <v>0.4</v>
      </c>
      <c r="K113" s="67" t="s">
        <v>472</v>
      </c>
      <c r="L113" s="67" t="s">
        <v>346</v>
      </c>
      <c r="M113" s="69">
        <v>0.2</v>
      </c>
      <c r="N113" s="69">
        <v>0.1</v>
      </c>
      <c r="R113" s="68" t="s">
        <v>367</v>
      </c>
      <c r="U113" s="75"/>
      <c r="V113" s="69"/>
      <c r="W113" s="69"/>
      <c r="X113" s="69"/>
      <c r="Y113" s="69"/>
      <c r="Z113" s="69"/>
      <c r="AA113" s="76"/>
      <c r="AB113" s="76"/>
      <c r="AC113" s="76"/>
      <c r="AD113" s="76"/>
      <c r="AE113" s="76"/>
      <c r="AF113" s="76"/>
    </row>
    <row r="114" spans="1:32" x14ac:dyDescent="0.25">
      <c r="A114" s="29" t="s">
        <v>88</v>
      </c>
      <c r="B114" s="29" t="s">
        <v>88</v>
      </c>
      <c r="C114" s="29" t="s">
        <v>553</v>
      </c>
      <c r="D114" s="69">
        <v>0.2</v>
      </c>
      <c r="E114" s="69">
        <v>0.3</v>
      </c>
      <c r="F114" s="69">
        <v>0.4</v>
      </c>
      <c r="G114" s="69">
        <v>0.5</v>
      </c>
      <c r="H114" s="69">
        <v>0.6</v>
      </c>
      <c r="I114" s="67" t="s">
        <v>554</v>
      </c>
      <c r="J114" s="69">
        <v>0.5</v>
      </c>
      <c r="K114" s="67" t="s">
        <v>360</v>
      </c>
      <c r="L114" s="67" t="s">
        <v>346</v>
      </c>
      <c r="M114" s="69">
        <v>0.5</v>
      </c>
      <c r="N114" s="69">
        <v>0.25</v>
      </c>
      <c r="U114" s="75"/>
      <c r="V114" s="69"/>
      <c r="W114" s="69"/>
      <c r="X114" s="69"/>
      <c r="Y114" s="69"/>
      <c r="Z114" s="69"/>
      <c r="AA114" s="76"/>
      <c r="AB114" s="76"/>
      <c r="AC114" s="76"/>
      <c r="AD114" s="76"/>
      <c r="AE114" s="76"/>
      <c r="AF114" s="76"/>
    </row>
    <row r="115" spans="1:32" x14ac:dyDescent="0.25">
      <c r="A115" s="29" t="s">
        <v>2180</v>
      </c>
      <c r="B115" s="29" t="s">
        <v>2180</v>
      </c>
      <c r="C115" s="29" t="s">
        <v>2183</v>
      </c>
      <c r="D115" s="69">
        <v>0.5</v>
      </c>
      <c r="E115" s="69">
        <v>0.7</v>
      </c>
      <c r="F115" s="69">
        <v>0.9</v>
      </c>
      <c r="G115" s="69">
        <v>1.2</v>
      </c>
      <c r="H115" s="69">
        <v>1.5</v>
      </c>
      <c r="I115" s="67" t="s">
        <v>2184</v>
      </c>
      <c r="J115" s="74">
        <v>1</v>
      </c>
      <c r="K115" s="67" t="s">
        <v>1982</v>
      </c>
      <c r="L115" s="67" t="s">
        <v>341</v>
      </c>
      <c r="M115" s="69">
        <v>0</v>
      </c>
      <c r="N115" s="69">
        <v>0</v>
      </c>
      <c r="O115" s="487"/>
      <c r="P115" s="487"/>
      <c r="Q115" s="487"/>
      <c r="R115" s="487"/>
      <c r="S115" s="487"/>
      <c r="T115" s="487"/>
      <c r="U115" s="75"/>
      <c r="V115" s="69"/>
      <c r="W115" s="69"/>
      <c r="X115" s="69"/>
      <c r="Y115" s="69"/>
      <c r="Z115" s="69"/>
      <c r="AA115" s="76"/>
      <c r="AB115" s="76"/>
      <c r="AC115" s="76"/>
      <c r="AD115" s="76"/>
      <c r="AE115" s="76"/>
      <c r="AF115" s="76"/>
    </row>
    <row r="116" spans="1:32" x14ac:dyDescent="0.25">
      <c r="A116" s="29" t="s">
        <v>7</v>
      </c>
      <c r="B116" s="29" t="s">
        <v>7</v>
      </c>
      <c r="C116" s="29" t="s">
        <v>555</v>
      </c>
      <c r="D116" s="69">
        <v>0.05</v>
      </c>
      <c r="E116" s="69">
        <v>7.0000000000000007E-2</v>
      </c>
      <c r="F116" s="69">
        <v>0.1</v>
      </c>
      <c r="G116" s="69">
        <v>0.15</v>
      </c>
      <c r="H116" s="69">
        <v>0.2</v>
      </c>
      <c r="I116" s="67" t="s">
        <v>556</v>
      </c>
      <c r="J116" s="69">
        <v>0.2</v>
      </c>
      <c r="K116" s="67" t="s">
        <v>492</v>
      </c>
      <c r="L116" s="67" t="s">
        <v>346</v>
      </c>
      <c r="M116" s="69">
        <v>0.1</v>
      </c>
      <c r="N116" s="69">
        <v>0.05</v>
      </c>
      <c r="U116" s="75"/>
      <c r="V116" s="69"/>
      <c r="W116" s="69"/>
      <c r="X116" s="69"/>
      <c r="Y116" s="69"/>
      <c r="Z116" s="69"/>
      <c r="AA116" s="76"/>
      <c r="AB116" s="76"/>
      <c r="AC116" s="76"/>
      <c r="AD116" s="76"/>
      <c r="AE116" s="76"/>
      <c r="AF116" s="76"/>
    </row>
    <row r="117" spans="1:32" x14ac:dyDescent="0.25">
      <c r="A117" s="29" t="s">
        <v>87</v>
      </c>
      <c r="B117" s="29" t="s">
        <v>87</v>
      </c>
      <c r="C117" s="29" t="s">
        <v>539</v>
      </c>
      <c r="D117" s="69">
        <v>0.3</v>
      </c>
      <c r="E117" s="69">
        <v>0.4</v>
      </c>
      <c r="F117" s="69">
        <v>0.5</v>
      </c>
      <c r="G117" s="69">
        <v>0.6</v>
      </c>
      <c r="H117" s="69">
        <v>0.7</v>
      </c>
      <c r="I117" s="67" t="s">
        <v>540</v>
      </c>
      <c r="J117" s="69">
        <v>0.1</v>
      </c>
      <c r="K117" s="67" t="s">
        <v>361</v>
      </c>
      <c r="L117" s="67" t="s">
        <v>346</v>
      </c>
      <c r="M117" s="69">
        <v>0.1</v>
      </c>
      <c r="N117" s="69">
        <v>0.05</v>
      </c>
      <c r="U117" s="75"/>
      <c r="V117" s="69"/>
      <c r="W117" s="69"/>
      <c r="X117" s="69"/>
      <c r="Y117" s="69"/>
      <c r="Z117" s="69"/>
      <c r="AA117" s="76"/>
      <c r="AB117" s="76"/>
      <c r="AC117" s="76"/>
      <c r="AD117" s="76"/>
      <c r="AE117" s="76"/>
      <c r="AF117" s="76"/>
    </row>
    <row r="118" spans="1:32" x14ac:dyDescent="0.25">
      <c r="A118" s="29" t="s">
        <v>39</v>
      </c>
      <c r="B118" s="29" t="s">
        <v>557</v>
      </c>
      <c r="C118" s="29" t="s">
        <v>558</v>
      </c>
      <c r="D118" s="69">
        <v>0.1</v>
      </c>
      <c r="E118" s="69">
        <v>0.12</v>
      </c>
      <c r="F118" s="69">
        <v>0.14000000000000001</v>
      </c>
      <c r="G118" s="69">
        <v>0.16</v>
      </c>
      <c r="H118" s="69">
        <v>0.2</v>
      </c>
      <c r="I118" s="67" t="s">
        <v>520</v>
      </c>
      <c r="J118" s="69">
        <v>0.1</v>
      </c>
      <c r="K118" s="67" t="s">
        <v>370</v>
      </c>
      <c r="L118" s="67" t="s">
        <v>341</v>
      </c>
      <c r="M118" s="69">
        <v>0.1</v>
      </c>
      <c r="N118" s="69">
        <v>0.05</v>
      </c>
      <c r="U118" s="75"/>
      <c r="V118" s="69"/>
      <c r="W118" s="69"/>
      <c r="X118" s="69"/>
      <c r="Y118" s="69"/>
      <c r="Z118" s="69"/>
      <c r="AA118" s="76"/>
      <c r="AB118" s="76"/>
      <c r="AC118" s="76"/>
      <c r="AD118" s="76"/>
      <c r="AE118" s="76"/>
      <c r="AF118" s="76"/>
    </row>
    <row r="119" spans="1:32" x14ac:dyDescent="0.25">
      <c r="A119" s="29" t="s">
        <v>1653</v>
      </c>
      <c r="B119" s="29" t="s">
        <v>1653</v>
      </c>
      <c r="C119" s="29" t="s">
        <v>1657</v>
      </c>
      <c r="D119" s="69">
        <v>0.02</v>
      </c>
      <c r="E119" s="69">
        <v>0.03</v>
      </c>
      <c r="F119" s="69">
        <v>0.04</v>
      </c>
      <c r="G119" s="69">
        <v>0.05</v>
      </c>
      <c r="H119" s="69">
        <v>0.06</v>
      </c>
      <c r="I119" s="67" t="s">
        <v>1658</v>
      </c>
      <c r="J119" s="69">
        <v>0.5</v>
      </c>
      <c r="K119" s="67" t="s">
        <v>1656</v>
      </c>
      <c r="L119" s="67" t="s">
        <v>346</v>
      </c>
      <c r="M119" s="69">
        <v>0.15</v>
      </c>
      <c r="N119" s="69">
        <v>0.1</v>
      </c>
      <c r="O119" s="436"/>
      <c r="P119" s="436"/>
      <c r="Q119" s="436"/>
      <c r="R119" s="436"/>
      <c r="S119" s="436"/>
      <c r="T119" s="436"/>
      <c r="U119" s="75"/>
      <c r="V119" s="69"/>
      <c r="W119" s="69"/>
      <c r="X119" s="69"/>
      <c r="Y119" s="69"/>
      <c r="Z119" s="69"/>
      <c r="AA119" s="76"/>
      <c r="AB119" s="76"/>
      <c r="AC119" s="76"/>
      <c r="AD119" s="76"/>
      <c r="AE119" s="76"/>
      <c r="AF119" s="76"/>
    </row>
    <row r="120" spans="1:32" x14ac:dyDescent="0.25">
      <c r="A120" s="29" t="s">
        <v>92</v>
      </c>
      <c r="B120" s="29" t="s">
        <v>92</v>
      </c>
      <c r="C120" s="29" t="s">
        <v>559</v>
      </c>
      <c r="D120" s="69">
        <v>0.2</v>
      </c>
      <c r="E120" s="69">
        <v>0.3</v>
      </c>
      <c r="F120" s="69">
        <v>0.5</v>
      </c>
      <c r="G120" s="69">
        <v>0.7</v>
      </c>
      <c r="H120" s="69">
        <v>0.9</v>
      </c>
      <c r="I120" s="67" t="s">
        <v>560</v>
      </c>
      <c r="J120" s="69">
        <v>0.2</v>
      </c>
      <c r="K120" s="67" t="s">
        <v>360</v>
      </c>
      <c r="L120" s="67" t="s">
        <v>344</v>
      </c>
      <c r="M120" s="69">
        <v>0.2</v>
      </c>
      <c r="N120" s="69">
        <v>0.1</v>
      </c>
      <c r="U120" s="75"/>
      <c r="V120" s="69"/>
      <c r="W120" s="69"/>
      <c r="X120" s="69"/>
      <c r="Y120" s="69"/>
      <c r="Z120" s="69"/>
      <c r="AA120" s="76"/>
      <c r="AB120" s="76"/>
      <c r="AC120" s="76"/>
      <c r="AD120" s="76"/>
      <c r="AE120" s="76"/>
      <c r="AF120" s="76"/>
    </row>
    <row r="121" spans="1:32" x14ac:dyDescent="0.25">
      <c r="A121" s="29" t="s">
        <v>1643</v>
      </c>
      <c r="B121" s="29" t="s">
        <v>1643</v>
      </c>
      <c r="C121" s="29" t="s">
        <v>350</v>
      </c>
      <c r="D121" s="69">
        <v>0.6</v>
      </c>
      <c r="E121" s="69">
        <v>0.7</v>
      </c>
      <c r="F121" s="69">
        <v>0.8</v>
      </c>
      <c r="G121" s="69">
        <v>0.9</v>
      </c>
      <c r="H121" s="69">
        <v>1</v>
      </c>
      <c r="I121" s="67" t="s">
        <v>351</v>
      </c>
      <c r="J121" s="69">
        <v>0.2</v>
      </c>
      <c r="K121" s="67" t="s">
        <v>342</v>
      </c>
      <c r="L121" s="67" t="s">
        <v>344</v>
      </c>
      <c r="M121" s="69">
        <v>0.35</v>
      </c>
      <c r="N121" s="69">
        <v>0.15</v>
      </c>
      <c r="U121" s="75"/>
      <c r="V121" s="69"/>
      <c r="W121" s="69"/>
      <c r="X121" s="69"/>
      <c r="Y121" s="69"/>
      <c r="Z121" s="69">
        <f ca="1">IF(INDEX(RosterRank,MATCH(A121,RosterOfficer,0),0)=0,0,(INDEX(OfficerSkillsFull,MATCH(A121,OfficerSkillsOfficers,0),3+INDEX(RosterRank,MATCH(A121,RosterOfficer,0),0))))</f>
        <v>0</v>
      </c>
      <c r="AA121" s="76"/>
      <c r="AB121" s="76"/>
      <c r="AC121" s="76"/>
      <c r="AD121" s="76"/>
      <c r="AE121" s="76"/>
      <c r="AF121" s="76"/>
    </row>
    <row r="122" spans="1:32" x14ac:dyDescent="0.25">
      <c r="A122" s="29" t="s">
        <v>74</v>
      </c>
      <c r="B122" s="29" t="s">
        <v>74</v>
      </c>
      <c r="C122" s="29" t="s">
        <v>561</v>
      </c>
      <c r="D122" s="69">
        <v>0.2</v>
      </c>
      <c r="E122" s="69">
        <v>0.3</v>
      </c>
      <c r="F122" s="69">
        <v>0.4</v>
      </c>
      <c r="G122" s="69">
        <v>0.5</v>
      </c>
      <c r="H122" s="69">
        <v>0.6</v>
      </c>
      <c r="I122" s="67" t="s">
        <v>612</v>
      </c>
      <c r="J122" s="69">
        <v>0.1</v>
      </c>
      <c r="K122" s="67" t="s">
        <v>414</v>
      </c>
      <c r="L122" s="67" t="s">
        <v>341</v>
      </c>
      <c r="M122" s="69">
        <v>0.05</v>
      </c>
      <c r="N122" s="69">
        <v>0.02</v>
      </c>
      <c r="P122" s="68" t="s">
        <v>367</v>
      </c>
      <c r="U122" s="75"/>
      <c r="V122" s="69"/>
      <c r="W122" s="69"/>
      <c r="X122" s="69"/>
      <c r="Y122" s="69"/>
      <c r="Z122" s="69"/>
      <c r="AA122" s="76"/>
      <c r="AB122" s="76"/>
      <c r="AC122" s="76"/>
      <c r="AD122" s="76"/>
      <c r="AE122" s="76"/>
      <c r="AF122" s="76"/>
    </row>
    <row r="123" spans="1:32" x14ac:dyDescent="0.25">
      <c r="A123" s="29" t="s">
        <v>8</v>
      </c>
      <c r="B123" s="29" t="s">
        <v>566</v>
      </c>
      <c r="C123" s="29" t="s">
        <v>562</v>
      </c>
      <c r="D123" s="69">
        <v>0.05</v>
      </c>
      <c r="E123" s="69">
        <v>7.0000000000000007E-2</v>
      </c>
      <c r="F123" s="69">
        <v>0.1</v>
      </c>
      <c r="G123" s="69">
        <v>0.15</v>
      </c>
      <c r="H123" s="69">
        <v>0.2</v>
      </c>
      <c r="I123" s="67" t="s">
        <v>563</v>
      </c>
      <c r="J123" s="69">
        <v>0.25</v>
      </c>
      <c r="K123" s="67" t="s">
        <v>416</v>
      </c>
      <c r="L123" s="67" t="s">
        <v>341</v>
      </c>
      <c r="M123" s="69">
        <v>0.1</v>
      </c>
      <c r="N123" s="69">
        <v>0.05</v>
      </c>
      <c r="U123" s="75"/>
      <c r="V123" s="69"/>
      <c r="W123" s="69"/>
      <c r="X123" s="69"/>
      <c r="Y123" s="69"/>
      <c r="Z123" s="69"/>
      <c r="AA123" s="76"/>
      <c r="AB123" s="76"/>
      <c r="AC123" s="76"/>
      <c r="AD123" s="76"/>
      <c r="AE123" s="76"/>
      <c r="AF123" s="76"/>
    </row>
    <row r="124" spans="1:32" x14ac:dyDescent="0.25">
      <c r="A124" s="29" t="s">
        <v>1642</v>
      </c>
      <c r="B124" s="29" t="s">
        <v>1642</v>
      </c>
      <c r="C124" s="29" t="s">
        <v>348</v>
      </c>
      <c r="D124" s="69">
        <v>0.05</v>
      </c>
      <c r="E124" s="69">
        <v>0.1</v>
      </c>
      <c r="F124" s="69">
        <v>0.2</v>
      </c>
      <c r="G124" s="69">
        <v>0.3</v>
      </c>
      <c r="H124" s="69">
        <v>0.4</v>
      </c>
      <c r="I124" s="67" t="s">
        <v>349</v>
      </c>
      <c r="J124" s="69">
        <v>0.2</v>
      </c>
      <c r="K124" s="67" t="s">
        <v>342</v>
      </c>
      <c r="L124" s="67" t="s">
        <v>346</v>
      </c>
      <c r="M124" s="69">
        <v>0.4</v>
      </c>
      <c r="N124" s="69">
        <v>0.1</v>
      </c>
      <c r="U124" s="75"/>
      <c r="V124" s="69"/>
      <c r="W124" s="69"/>
      <c r="X124" s="69"/>
      <c r="Y124" s="69"/>
      <c r="Z124" s="69"/>
      <c r="AA124" s="76"/>
      <c r="AB124" s="76"/>
      <c r="AC124" s="76"/>
      <c r="AD124" s="76"/>
      <c r="AE124" s="76"/>
      <c r="AF124" s="76"/>
    </row>
    <row r="125" spans="1:32" x14ac:dyDescent="0.25">
      <c r="A125" s="29" t="s">
        <v>23</v>
      </c>
      <c r="B125" s="29" t="s">
        <v>23</v>
      </c>
      <c r="C125" s="29" t="s">
        <v>577</v>
      </c>
      <c r="D125" s="69">
        <v>0.25</v>
      </c>
      <c r="E125" s="69">
        <v>0.5</v>
      </c>
      <c r="F125" s="69">
        <v>1</v>
      </c>
      <c r="G125" s="69">
        <v>4</v>
      </c>
      <c r="H125" s="69">
        <v>7.5</v>
      </c>
      <c r="I125" s="67" t="s">
        <v>466</v>
      </c>
      <c r="J125" s="69">
        <v>0.15</v>
      </c>
      <c r="K125" s="67" t="s">
        <v>370</v>
      </c>
      <c r="L125" s="67" t="s">
        <v>344</v>
      </c>
      <c r="M125" s="69">
        <v>0.1</v>
      </c>
      <c r="N125" s="69">
        <v>0.05</v>
      </c>
      <c r="T125" s="68" t="s">
        <v>367</v>
      </c>
      <c r="U125" s="75"/>
      <c r="V125" s="69"/>
      <c r="W125" s="69"/>
      <c r="X125" s="69"/>
      <c r="Y125" s="69"/>
      <c r="Z125" s="69"/>
      <c r="AA125" s="76"/>
      <c r="AB125" s="76"/>
      <c r="AC125" s="76"/>
      <c r="AD125" s="76"/>
      <c r="AE125" s="76"/>
      <c r="AF125" s="76"/>
    </row>
    <row r="126" spans="1:32" x14ac:dyDescent="0.25">
      <c r="A126" s="29" t="s">
        <v>24</v>
      </c>
      <c r="B126" s="29" t="s">
        <v>24</v>
      </c>
      <c r="C126" s="29" t="s">
        <v>564</v>
      </c>
      <c r="D126" s="69">
        <v>0.2</v>
      </c>
      <c r="E126" s="69">
        <v>0.25</v>
      </c>
      <c r="F126" s="69">
        <v>0.3</v>
      </c>
      <c r="G126" s="69">
        <v>0.35</v>
      </c>
      <c r="H126" s="69">
        <v>0.4</v>
      </c>
      <c r="I126" s="67" t="s">
        <v>565</v>
      </c>
      <c r="J126" s="69">
        <v>0.4</v>
      </c>
      <c r="K126" s="67" t="s">
        <v>373</v>
      </c>
      <c r="L126" s="67" t="s">
        <v>341</v>
      </c>
      <c r="M126" s="69">
        <v>0.3</v>
      </c>
      <c r="N126" s="69">
        <v>0.2</v>
      </c>
      <c r="U126" s="75"/>
      <c r="V126" s="69"/>
      <c r="W126" s="69"/>
      <c r="X126" s="69"/>
      <c r="Y126" s="69"/>
      <c r="Z126" s="69"/>
      <c r="AA126" s="76"/>
      <c r="AB126" s="76"/>
      <c r="AC126" s="76"/>
      <c r="AD126" s="76"/>
      <c r="AE126" s="76"/>
      <c r="AF126" s="76"/>
    </row>
    <row r="127" spans="1:32" x14ac:dyDescent="0.25">
      <c r="A127" s="29" t="s">
        <v>30</v>
      </c>
      <c r="B127" s="29" t="s">
        <v>569</v>
      </c>
      <c r="C127" s="29" t="s">
        <v>567</v>
      </c>
      <c r="D127" s="69">
        <v>0.15</v>
      </c>
      <c r="E127" s="69">
        <v>0.2</v>
      </c>
      <c r="F127" s="69">
        <v>0.25</v>
      </c>
      <c r="G127" s="69">
        <v>0.3</v>
      </c>
      <c r="H127" s="69">
        <v>0.4</v>
      </c>
      <c r="I127" s="67" t="s">
        <v>568</v>
      </c>
      <c r="J127" s="69">
        <v>0.4</v>
      </c>
      <c r="K127" s="67" t="s">
        <v>370</v>
      </c>
      <c r="L127" s="67" t="s">
        <v>346</v>
      </c>
      <c r="M127" s="69">
        <v>0.2</v>
      </c>
      <c r="N127" s="69">
        <v>0.1</v>
      </c>
      <c r="S127" s="68" t="s">
        <v>367</v>
      </c>
      <c r="T127" s="68" t="s">
        <v>367</v>
      </c>
      <c r="U127" s="75"/>
      <c r="V127" s="69"/>
      <c r="W127" s="69"/>
      <c r="X127" s="69"/>
      <c r="Y127" s="69"/>
      <c r="Z127" s="69"/>
      <c r="AA127" s="76"/>
      <c r="AB127" s="76"/>
      <c r="AC127" s="76"/>
      <c r="AD127" s="76"/>
      <c r="AE127" s="76"/>
      <c r="AF127" s="76"/>
    </row>
    <row r="128" spans="1:32" x14ac:dyDescent="0.25">
      <c r="A128" s="29" t="s">
        <v>101</v>
      </c>
      <c r="B128" s="29" t="s">
        <v>101</v>
      </c>
      <c r="C128" s="29" t="s">
        <v>578</v>
      </c>
      <c r="D128" s="69">
        <v>0.05</v>
      </c>
      <c r="E128" s="69">
        <v>0.06</v>
      </c>
      <c r="F128" s="69">
        <v>7.0000000000000007E-2</v>
      </c>
      <c r="G128" s="69">
        <v>0.08</v>
      </c>
      <c r="H128" s="69">
        <v>0.1</v>
      </c>
      <c r="I128" s="67" t="s">
        <v>579</v>
      </c>
      <c r="J128" s="69">
        <v>0.2</v>
      </c>
      <c r="K128" s="67" t="s">
        <v>414</v>
      </c>
      <c r="L128" s="67" t="s">
        <v>341</v>
      </c>
      <c r="M128" s="69">
        <v>0.2</v>
      </c>
      <c r="N128" s="69">
        <v>0.1</v>
      </c>
      <c r="P128" s="68" t="s">
        <v>367</v>
      </c>
      <c r="U128" s="75"/>
      <c r="V128" s="69"/>
      <c r="W128" s="69"/>
      <c r="X128" s="69"/>
      <c r="Y128" s="69"/>
      <c r="Z128" s="69"/>
      <c r="AA128" s="76"/>
      <c r="AB128" s="76"/>
      <c r="AC128" s="76"/>
      <c r="AD128" s="76"/>
      <c r="AE128" s="76"/>
      <c r="AF128" s="76"/>
    </row>
    <row r="129" spans="1:32" x14ac:dyDescent="0.25">
      <c r="A129" s="29" t="s">
        <v>1534</v>
      </c>
      <c r="B129" s="29" t="s">
        <v>1534</v>
      </c>
      <c r="C129" s="29" t="s">
        <v>1537</v>
      </c>
      <c r="D129" s="69">
        <v>0.1</v>
      </c>
      <c r="E129" s="69">
        <v>0.2</v>
      </c>
      <c r="F129" s="69">
        <v>0.3</v>
      </c>
      <c r="G129" s="69">
        <v>0.4</v>
      </c>
      <c r="H129" s="69">
        <v>0.5</v>
      </c>
      <c r="I129" s="67" t="s">
        <v>1536</v>
      </c>
      <c r="J129" s="69">
        <v>0.1</v>
      </c>
      <c r="K129" s="67" t="s">
        <v>760</v>
      </c>
      <c r="L129" s="67" t="s">
        <v>341</v>
      </c>
      <c r="M129" s="69">
        <v>0.05</v>
      </c>
      <c r="N129" s="69">
        <v>0.02</v>
      </c>
      <c r="U129" s="75"/>
      <c r="V129" s="69"/>
      <c r="W129" s="69"/>
      <c r="X129" s="69"/>
      <c r="Y129" s="69"/>
      <c r="Z129" s="69"/>
      <c r="AA129" s="76"/>
      <c r="AB129" s="76"/>
      <c r="AC129" s="76"/>
      <c r="AD129" s="76"/>
      <c r="AE129" s="76"/>
      <c r="AF129" s="76"/>
    </row>
    <row r="130" spans="1:32" x14ac:dyDescent="0.25">
      <c r="A130" s="29" t="s">
        <v>1647</v>
      </c>
      <c r="B130" s="29" t="s">
        <v>1647</v>
      </c>
      <c r="C130" s="29" t="s">
        <v>382</v>
      </c>
      <c r="D130" s="69">
        <v>0.8</v>
      </c>
      <c r="E130" s="69">
        <v>1</v>
      </c>
      <c r="F130" s="69">
        <v>1.2</v>
      </c>
      <c r="G130" s="69">
        <v>1.4</v>
      </c>
      <c r="H130" s="69">
        <v>1.6</v>
      </c>
      <c r="I130" s="67" t="s">
        <v>383</v>
      </c>
      <c r="J130" s="69">
        <v>0.5</v>
      </c>
      <c r="K130" s="67" t="s">
        <v>342</v>
      </c>
      <c r="L130" s="67" t="s">
        <v>341</v>
      </c>
      <c r="M130" s="69">
        <v>0.75</v>
      </c>
      <c r="N130" s="69">
        <v>0.25</v>
      </c>
      <c r="U130" s="75"/>
      <c r="V130" s="69"/>
      <c r="W130" s="69"/>
      <c r="X130" s="69"/>
      <c r="Y130" s="69"/>
      <c r="Z130" s="69"/>
      <c r="AA130" s="76"/>
      <c r="AB130" s="76"/>
      <c r="AC130" s="76"/>
      <c r="AD130" s="76"/>
      <c r="AE130" s="76"/>
      <c r="AF130" s="76"/>
    </row>
    <row r="131" spans="1:32" x14ac:dyDescent="0.25">
      <c r="A131" s="29" t="s">
        <v>1634</v>
      </c>
      <c r="B131" s="29" t="s">
        <v>1634</v>
      </c>
      <c r="C131" s="29" t="s">
        <v>347</v>
      </c>
      <c r="D131" s="69">
        <v>3</v>
      </c>
      <c r="E131" s="69">
        <v>3.5</v>
      </c>
      <c r="F131" s="69">
        <v>4</v>
      </c>
      <c r="G131" s="69">
        <v>4.5</v>
      </c>
      <c r="H131" s="69">
        <v>5</v>
      </c>
      <c r="I131" s="67" t="s">
        <v>1538</v>
      </c>
      <c r="J131" s="69">
        <v>0.6</v>
      </c>
      <c r="K131" s="67" t="s">
        <v>342</v>
      </c>
      <c r="L131" s="67" t="s">
        <v>346</v>
      </c>
      <c r="M131" s="69">
        <v>0.45</v>
      </c>
      <c r="N131" s="69">
        <v>0.3</v>
      </c>
      <c r="U131" s="75"/>
      <c r="V131" s="69"/>
      <c r="W131" s="69"/>
      <c r="X131" s="69"/>
      <c r="Y131" s="69"/>
      <c r="Z131" s="69"/>
      <c r="AA131" s="76"/>
      <c r="AB131" s="76"/>
      <c r="AC131" s="76"/>
      <c r="AD131" s="76"/>
      <c r="AE131" s="76"/>
      <c r="AF131" s="76"/>
    </row>
    <row r="132" spans="1:32" x14ac:dyDescent="0.25">
      <c r="A132" s="29" t="s">
        <v>75</v>
      </c>
      <c r="B132" s="29" t="s">
        <v>75</v>
      </c>
      <c r="C132" s="29" t="s">
        <v>407</v>
      </c>
      <c r="D132" s="69">
        <v>0.3</v>
      </c>
      <c r="E132" s="69">
        <v>0.35</v>
      </c>
      <c r="F132" s="69">
        <v>0.4</v>
      </c>
      <c r="G132" s="69">
        <v>0.45</v>
      </c>
      <c r="H132" s="69">
        <v>0.5</v>
      </c>
      <c r="I132" s="67" t="s">
        <v>403</v>
      </c>
      <c r="J132" s="69">
        <v>0.1</v>
      </c>
      <c r="K132" s="67" t="s">
        <v>361</v>
      </c>
      <c r="L132" s="67" t="s">
        <v>341</v>
      </c>
      <c r="M132" s="69">
        <v>0.1</v>
      </c>
      <c r="N132" s="69">
        <v>0.05</v>
      </c>
      <c r="O132" s="341"/>
      <c r="P132" s="341"/>
      <c r="Q132" s="341"/>
      <c r="R132" s="341"/>
      <c r="S132" s="341"/>
      <c r="T132" s="341"/>
      <c r="U132" s="75"/>
      <c r="V132" s="69"/>
      <c r="W132" s="69"/>
      <c r="X132" s="69"/>
      <c r="Y132" s="69"/>
      <c r="Z132" s="69"/>
      <c r="AA132" s="76"/>
      <c r="AB132" s="76"/>
      <c r="AC132" s="76"/>
      <c r="AD132" s="76"/>
      <c r="AE132" s="76"/>
      <c r="AF132" s="76"/>
    </row>
    <row r="133" spans="1:32" x14ac:dyDescent="0.25">
      <c r="A133" s="29" t="s">
        <v>72</v>
      </c>
      <c r="B133" s="29" t="s">
        <v>72</v>
      </c>
      <c r="C133" s="29" t="s">
        <v>580</v>
      </c>
      <c r="D133" s="69">
        <v>0.35</v>
      </c>
      <c r="E133" s="69">
        <v>0.45</v>
      </c>
      <c r="F133" s="69">
        <v>0.55000000000000004</v>
      </c>
      <c r="G133" s="69">
        <v>0.65</v>
      </c>
      <c r="H133" s="69">
        <v>0.75</v>
      </c>
      <c r="I133" s="67" t="s">
        <v>613</v>
      </c>
      <c r="J133" s="69">
        <v>0.04</v>
      </c>
      <c r="K133" s="67" t="s">
        <v>360</v>
      </c>
      <c r="L133" s="67" t="s">
        <v>346</v>
      </c>
      <c r="M133" s="69">
        <v>0.02</v>
      </c>
      <c r="N133" s="69">
        <v>0.01</v>
      </c>
      <c r="U133" s="75"/>
      <c r="V133" s="69"/>
      <c r="W133" s="69"/>
      <c r="X133" s="69"/>
      <c r="Y133" s="69"/>
      <c r="Z133" s="69"/>
      <c r="AA133" s="76"/>
      <c r="AB133" s="76"/>
      <c r="AC133" s="76"/>
      <c r="AD133" s="76"/>
      <c r="AE133" s="76"/>
      <c r="AF133" s="76"/>
    </row>
    <row r="134" spans="1:32" x14ac:dyDescent="0.25">
      <c r="A134" s="29" t="s">
        <v>9</v>
      </c>
      <c r="B134" s="29" t="s">
        <v>9</v>
      </c>
      <c r="C134" s="29" t="s">
        <v>614</v>
      </c>
      <c r="D134" s="69">
        <v>0.05</v>
      </c>
      <c r="E134" s="69">
        <v>7.0000000000000007E-2</v>
      </c>
      <c r="F134" s="69">
        <v>0.1</v>
      </c>
      <c r="G134" s="69">
        <v>0.15</v>
      </c>
      <c r="H134" s="69">
        <v>0.2</v>
      </c>
      <c r="I134" s="67" t="s">
        <v>581</v>
      </c>
      <c r="J134" s="69">
        <v>0.15</v>
      </c>
      <c r="K134" s="67" t="s">
        <v>416</v>
      </c>
      <c r="L134" s="67" t="s">
        <v>344</v>
      </c>
      <c r="M134" s="69">
        <v>0.05</v>
      </c>
      <c r="N134" s="69">
        <v>0.03</v>
      </c>
      <c r="U134" s="75"/>
      <c r="V134" s="69"/>
      <c r="W134" s="69"/>
      <c r="X134" s="69"/>
      <c r="Y134" s="69"/>
      <c r="Z134" s="69"/>
      <c r="AA134" s="76"/>
      <c r="AB134" s="76"/>
      <c r="AC134" s="76"/>
      <c r="AD134" s="76"/>
      <c r="AE134" s="76"/>
      <c r="AF134" s="76"/>
    </row>
    <row r="135" spans="1:32" x14ac:dyDescent="0.25">
      <c r="A135" s="29" t="s">
        <v>1655</v>
      </c>
      <c r="B135" s="29" t="s">
        <v>1655</v>
      </c>
      <c r="C135" s="29" t="s">
        <v>1659</v>
      </c>
      <c r="D135" s="69">
        <v>0.25</v>
      </c>
      <c r="E135" s="69">
        <v>0.35</v>
      </c>
      <c r="F135" s="69">
        <v>0.75</v>
      </c>
      <c r="G135" s="69">
        <v>1.75</v>
      </c>
      <c r="H135" s="69">
        <v>5</v>
      </c>
      <c r="I135" s="67" t="s">
        <v>1660</v>
      </c>
      <c r="J135" s="69">
        <v>1</v>
      </c>
      <c r="K135" s="67" t="s">
        <v>1656</v>
      </c>
      <c r="L135" s="67" t="s">
        <v>346</v>
      </c>
      <c r="M135" s="69">
        <v>0.5</v>
      </c>
      <c r="N135" s="69">
        <v>0.25</v>
      </c>
      <c r="O135" s="436"/>
      <c r="P135" s="436"/>
      <c r="Q135" s="436"/>
      <c r="R135" s="436"/>
      <c r="S135" s="436"/>
      <c r="T135" s="436"/>
      <c r="U135" s="75"/>
      <c r="V135" s="69"/>
      <c r="W135" s="69"/>
      <c r="X135" s="69"/>
      <c r="Y135" s="69"/>
      <c r="Z135" s="69"/>
      <c r="AA135" s="76"/>
      <c r="AB135" s="76"/>
      <c r="AC135" s="76"/>
      <c r="AD135" s="76"/>
      <c r="AE135" s="76"/>
      <c r="AF135" s="76"/>
    </row>
    <row r="136" spans="1:32" x14ac:dyDescent="0.25">
      <c r="A136" s="29" t="s">
        <v>683</v>
      </c>
      <c r="B136" s="29" t="s">
        <v>691</v>
      </c>
      <c r="C136" s="29" t="s">
        <v>692</v>
      </c>
      <c r="D136" s="69">
        <v>0.3</v>
      </c>
      <c r="E136" s="69">
        <v>0.5</v>
      </c>
      <c r="F136" s="69">
        <v>0.75</v>
      </c>
      <c r="G136" s="69">
        <v>1</v>
      </c>
      <c r="H136" s="69">
        <v>1.5</v>
      </c>
      <c r="I136" s="67" t="s">
        <v>693</v>
      </c>
      <c r="J136" s="74">
        <v>10</v>
      </c>
      <c r="K136" s="67" t="s">
        <v>468</v>
      </c>
      <c r="L136" s="67" t="s">
        <v>346</v>
      </c>
      <c r="M136" s="74">
        <v>10</v>
      </c>
      <c r="N136" s="74">
        <v>5</v>
      </c>
      <c r="U136" s="75"/>
      <c r="V136" s="69"/>
      <c r="W136" s="69"/>
      <c r="X136" s="69"/>
      <c r="Y136" s="69"/>
      <c r="Z136" s="69"/>
      <c r="AA136" s="76"/>
      <c r="AB136" s="76"/>
      <c r="AC136" s="76"/>
      <c r="AD136" s="76"/>
      <c r="AE136" s="76"/>
      <c r="AF136" s="76"/>
    </row>
    <row r="137" spans="1:32" x14ac:dyDescent="0.25">
      <c r="A137" s="29" t="s">
        <v>252</v>
      </c>
      <c r="B137" s="29" t="s">
        <v>488</v>
      </c>
      <c r="C137" s="29" t="s">
        <v>489</v>
      </c>
      <c r="D137" s="69">
        <v>0.75</v>
      </c>
      <c r="E137" s="69">
        <v>0.8</v>
      </c>
      <c r="F137" s="69">
        <v>0.85</v>
      </c>
      <c r="G137" s="69">
        <v>0.9</v>
      </c>
      <c r="H137" s="69">
        <v>0.95</v>
      </c>
      <c r="I137" s="67" t="s">
        <v>582</v>
      </c>
      <c r="J137" s="69">
        <v>0.5</v>
      </c>
      <c r="K137" s="67" t="s">
        <v>468</v>
      </c>
      <c r="L137" s="67" t="s">
        <v>346</v>
      </c>
      <c r="M137" s="69">
        <v>0.5</v>
      </c>
      <c r="N137" s="69">
        <v>0.25</v>
      </c>
      <c r="O137" s="97"/>
      <c r="P137" s="97"/>
      <c r="Q137" s="97"/>
      <c r="R137" s="97"/>
      <c r="S137" s="97" t="s">
        <v>367</v>
      </c>
      <c r="T137" s="97" t="s">
        <v>367</v>
      </c>
      <c r="U137" s="75"/>
      <c r="V137" s="69"/>
      <c r="W137" s="69"/>
      <c r="X137" s="69"/>
      <c r="Y137" s="69"/>
      <c r="Z137" s="69"/>
      <c r="AA137" s="76"/>
      <c r="AB137" s="76"/>
      <c r="AC137" s="76"/>
      <c r="AD137" s="76"/>
      <c r="AE137" s="76"/>
      <c r="AF137" s="76"/>
    </row>
    <row r="138" spans="1:32" x14ac:dyDescent="0.25">
      <c r="A138" s="29" t="s">
        <v>649</v>
      </c>
      <c r="B138" s="29" t="s">
        <v>652</v>
      </c>
      <c r="C138" s="29" t="s">
        <v>656</v>
      </c>
      <c r="D138" s="69">
        <v>0.2</v>
      </c>
      <c r="E138" s="69">
        <v>0.4</v>
      </c>
      <c r="F138" s="69">
        <v>0.6</v>
      </c>
      <c r="G138" s="69">
        <v>0.8</v>
      </c>
      <c r="H138" s="69">
        <v>1</v>
      </c>
      <c r="I138" s="67" t="s">
        <v>657</v>
      </c>
      <c r="J138" s="69">
        <v>3</v>
      </c>
      <c r="K138" s="67" t="s">
        <v>468</v>
      </c>
      <c r="L138" s="67" t="s">
        <v>344</v>
      </c>
      <c r="M138" s="69">
        <v>1</v>
      </c>
      <c r="N138" s="69">
        <v>0.5</v>
      </c>
      <c r="U138" s="75"/>
      <c r="V138" s="69"/>
      <c r="W138" s="69"/>
      <c r="X138" s="69"/>
      <c r="Y138" s="69"/>
      <c r="Z138" s="69"/>
      <c r="AA138" s="76"/>
      <c r="AB138" s="76"/>
      <c r="AC138" s="76"/>
      <c r="AD138" s="76"/>
      <c r="AE138" s="76"/>
      <c r="AF138" s="76"/>
    </row>
    <row r="139" spans="1:32" x14ac:dyDescent="0.25">
      <c r="A139" s="29" t="s">
        <v>684</v>
      </c>
      <c r="B139" s="29" t="s">
        <v>688</v>
      </c>
      <c r="C139" s="29" t="s">
        <v>689</v>
      </c>
      <c r="D139" s="69">
        <v>0.1</v>
      </c>
      <c r="E139" s="69">
        <v>0.2</v>
      </c>
      <c r="F139" s="69">
        <v>0.3</v>
      </c>
      <c r="G139" s="69">
        <v>0.4</v>
      </c>
      <c r="H139" s="69">
        <v>0.5</v>
      </c>
      <c r="I139" s="67" t="s">
        <v>690</v>
      </c>
      <c r="J139" s="74">
        <v>4</v>
      </c>
      <c r="K139" s="67" t="s">
        <v>468</v>
      </c>
      <c r="L139" s="67" t="s">
        <v>341</v>
      </c>
      <c r="M139" s="74">
        <v>3</v>
      </c>
      <c r="N139" s="74">
        <v>2</v>
      </c>
      <c r="U139" s="75"/>
      <c r="V139" s="69"/>
      <c r="W139" s="69"/>
      <c r="X139" s="69"/>
      <c r="Y139" s="69"/>
      <c r="Z139" s="69"/>
      <c r="AA139" s="76"/>
      <c r="AB139" s="76"/>
      <c r="AC139" s="76"/>
      <c r="AD139" s="76"/>
      <c r="AE139" s="76"/>
      <c r="AF139" s="76"/>
    </row>
    <row r="140" spans="1:32" x14ac:dyDescent="0.25">
      <c r="A140" s="29" t="s">
        <v>253</v>
      </c>
      <c r="B140" s="29" t="s">
        <v>253</v>
      </c>
      <c r="C140" s="29" t="s">
        <v>599</v>
      </c>
      <c r="D140" s="69">
        <v>0.5</v>
      </c>
      <c r="E140" s="69">
        <v>0.75</v>
      </c>
      <c r="F140" s="69">
        <v>1</v>
      </c>
      <c r="G140" s="69">
        <v>1.25</v>
      </c>
      <c r="H140" s="69">
        <v>1.5</v>
      </c>
      <c r="I140" s="67" t="s">
        <v>467</v>
      </c>
      <c r="J140" s="69">
        <v>1</v>
      </c>
      <c r="K140" s="67" t="s">
        <v>468</v>
      </c>
      <c r="L140" s="67" t="s">
        <v>344</v>
      </c>
      <c r="M140" s="69">
        <v>1</v>
      </c>
      <c r="N140" s="69">
        <v>0.5</v>
      </c>
      <c r="T140" s="68" t="s">
        <v>367</v>
      </c>
      <c r="U140" s="75"/>
      <c r="V140" s="69"/>
      <c r="W140" s="69"/>
      <c r="X140" s="69"/>
      <c r="Y140" s="69"/>
      <c r="Z140" s="69"/>
      <c r="AA140" s="76"/>
      <c r="AB140" s="76"/>
      <c r="AC140" s="76"/>
      <c r="AD140" s="76"/>
      <c r="AE140" s="76"/>
      <c r="AF140" s="76"/>
    </row>
    <row r="141" spans="1:32" x14ac:dyDescent="0.25">
      <c r="A141" s="29" t="s">
        <v>650</v>
      </c>
      <c r="B141" s="29" t="s">
        <v>653</v>
      </c>
      <c r="C141" s="29" t="s">
        <v>654</v>
      </c>
      <c r="D141" s="69">
        <v>0.06</v>
      </c>
      <c r="E141" s="69">
        <v>0.08</v>
      </c>
      <c r="F141" s="69">
        <v>0.1</v>
      </c>
      <c r="G141" s="69">
        <v>0.12</v>
      </c>
      <c r="H141" s="69">
        <v>0.15</v>
      </c>
      <c r="I141" s="67" t="s">
        <v>655</v>
      </c>
      <c r="J141" s="69">
        <v>0.55000000000000004</v>
      </c>
      <c r="K141" s="67" t="s">
        <v>468</v>
      </c>
      <c r="L141" s="67" t="s">
        <v>346</v>
      </c>
      <c r="M141" s="69">
        <v>0.1</v>
      </c>
      <c r="N141" s="69">
        <v>0.05</v>
      </c>
      <c r="S141" s="68" t="s">
        <v>367</v>
      </c>
      <c r="T141" s="68" t="s">
        <v>367</v>
      </c>
      <c r="U141" s="75"/>
      <c r="V141" s="69"/>
      <c r="W141" s="69"/>
      <c r="X141" s="69"/>
      <c r="Y141" s="69"/>
      <c r="Z141" s="69"/>
      <c r="AA141" s="76"/>
      <c r="AB141" s="76"/>
      <c r="AC141" s="76"/>
      <c r="AD141" s="76"/>
      <c r="AE141" s="76"/>
      <c r="AF141" s="76"/>
    </row>
    <row r="142" spans="1:32" x14ac:dyDescent="0.25">
      <c r="A142" s="29" t="s">
        <v>1963</v>
      </c>
      <c r="B142" s="29" t="s">
        <v>257</v>
      </c>
      <c r="C142" s="29" t="s">
        <v>600</v>
      </c>
      <c r="D142" s="69">
        <v>0.08</v>
      </c>
      <c r="E142" s="69">
        <v>0.1</v>
      </c>
      <c r="F142" s="69">
        <v>0.12</v>
      </c>
      <c r="G142" s="69">
        <v>0.16</v>
      </c>
      <c r="H142" s="69">
        <v>0.2</v>
      </c>
      <c r="I142" s="67" t="s">
        <v>615</v>
      </c>
      <c r="J142" s="69">
        <v>0.1</v>
      </c>
      <c r="K142" s="67" t="s">
        <v>468</v>
      </c>
      <c r="L142" s="67" t="s">
        <v>341</v>
      </c>
      <c r="M142" s="69">
        <v>1</v>
      </c>
      <c r="N142" s="69">
        <v>0.25</v>
      </c>
      <c r="T142" s="68" t="s">
        <v>367</v>
      </c>
      <c r="U142" s="75"/>
      <c r="V142" s="69"/>
      <c r="W142" s="69"/>
      <c r="X142" s="69"/>
      <c r="Y142" s="69"/>
      <c r="Z142" s="69"/>
      <c r="AA142" s="76"/>
      <c r="AB142" s="76"/>
      <c r="AC142" s="76"/>
      <c r="AD142" s="76"/>
      <c r="AE142" s="76"/>
      <c r="AF142" s="76"/>
    </row>
    <row r="143" spans="1:32" x14ac:dyDescent="0.25">
      <c r="A143" s="29" t="s">
        <v>25</v>
      </c>
      <c r="B143" s="29" t="s">
        <v>25</v>
      </c>
      <c r="C143" s="29" t="s">
        <v>347</v>
      </c>
      <c r="D143" s="69">
        <v>0.5</v>
      </c>
      <c r="E143" s="69">
        <v>1</v>
      </c>
      <c r="F143" s="69">
        <v>1.5</v>
      </c>
      <c r="G143" s="69">
        <v>2</v>
      </c>
      <c r="H143" s="69">
        <v>3</v>
      </c>
      <c r="I143" s="67" t="s">
        <v>586</v>
      </c>
      <c r="J143" s="69">
        <v>0.4</v>
      </c>
      <c r="K143" s="67" t="s">
        <v>373</v>
      </c>
      <c r="L143" s="67" t="s">
        <v>346</v>
      </c>
      <c r="M143" s="69">
        <v>0.3</v>
      </c>
      <c r="N143" s="69">
        <v>0.2</v>
      </c>
      <c r="O143" s="97"/>
      <c r="P143" s="97"/>
      <c r="Q143" s="97"/>
      <c r="R143" s="97"/>
      <c r="S143" s="97"/>
      <c r="T143" s="97"/>
      <c r="U143" s="75"/>
      <c r="V143" s="69"/>
      <c r="W143" s="69"/>
      <c r="X143" s="69"/>
      <c r="Y143" s="69"/>
      <c r="Z143" s="69"/>
      <c r="AA143" s="76"/>
      <c r="AB143" s="76"/>
      <c r="AC143" s="76"/>
      <c r="AD143" s="76"/>
      <c r="AE143" s="76"/>
      <c r="AF143" s="76"/>
    </row>
    <row r="144" spans="1:32" x14ac:dyDescent="0.25">
      <c r="A144" s="29" t="s">
        <v>1633</v>
      </c>
      <c r="B144" s="29" t="s">
        <v>1633</v>
      </c>
      <c r="C144" s="29" t="s">
        <v>702</v>
      </c>
      <c r="D144" s="69">
        <v>0.5</v>
      </c>
      <c r="E144" s="69">
        <v>0.55000000000000004</v>
      </c>
      <c r="F144" s="69">
        <v>0.6</v>
      </c>
      <c r="G144" s="69">
        <v>0.65</v>
      </c>
      <c r="H144" s="69">
        <v>0.75</v>
      </c>
      <c r="I144" s="67" t="s">
        <v>703</v>
      </c>
      <c r="J144" s="69">
        <v>0.2</v>
      </c>
      <c r="K144" s="67" t="s">
        <v>342</v>
      </c>
      <c r="L144" s="67" t="s">
        <v>344</v>
      </c>
      <c r="M144" s="69">
        <v>0.15</v>
      </c>
      <c r="N144" s="69">
        <v>0.05</v>
      </c>
      <c r="U144" s="75"/>
      <c r="V144" s="69"/>
      <c r="W144" s="69"/>
      <c r="X144" s="69"/>
      <c r="Y144" s="69"/>
      <c r="Z144" s="69"/>
      <c r="AA144" s="76"/>
      <c r="AB144" s="76"/>
      <c r="AC144" s="76"/>
      <c r="AD144" s="76"/>
      <c r="AE144" s="76"/>
      <c r="AF144" s="76"/>
    </row>
    <row r="145" spans="1:32" x14ac:dyDescent="0.25">
      <c r="A145" s="29" t="s">
        <v>89</v>
      </c>
      <c r="B145" s="29" t="s">
        <v>587</v>
      </c>
      <c r="C145" s="29" t="s">
        <v>588</v>
      </c>
      <c r="D145" s="69">
        <v>0.5</v>
      </c>
      <c r="E145" s="69">
        <v>0.6</v>
      </c>
      <c r="F145" s="69">
        <v>0.7</v>
      </c>
      <c r="G145" s="69">
        <v>0.8</v>
      </c>
      <c r="H145" s="69">
        <v>1</v>
      </c>
      <c r="I145" s="67" t="s">
        <v>589</v>
      </c>
      <c r="J145" s="69">
        <v>0.6</v>
      </c>
      <c r="K145" s="67" t="s">
        <v>361</v>
      </c>
      <c r="L145" s="67" t="s">
        <v>341</v>
      </c>
      <c r="M145" s="69">
        <v>0.3</v>
      </c>
      <c r="N145" s="69">
        <v>0.15</v>
      </c>
      <c r="P145" s="68" t="s">
        <v>367</v>
      </c>
      <c r="U145" s="75"/>
      <c r="V145" s="69"/>
      <c r="W145" s="69"/>
      <c r="X145" s="69"/>
      <c r="Y145" s="69"/>
      <c r="Z145" s="69"/>
      <c r="AA145" s="76"/>
      <c r="AB145" s="76"/>
      <c r="AC145" s="76"/>
      <c r="AD145" s="76"/>
      <c r="AE145" s="76"/>
      <c r="AF145" s="76"/>
    </row>
    <row r="146" spans="1:32" x14ac:dyDescent="0.25">
      <c r="A146" s="29" t="s">
        <v>21</v>
      </c>
      <c r="B146" s="29" t="s">
        <v>583</v>
      </c>
      <c r="C146" s="29" t="s">
        <v>584</v>
      </c>
      <c r="D146" s="69">
        <v>0.4</v>
      </c>
      <c r="E146" s="69">
        <v>0.5</v>
      </c>
      <c r="F146" s="69">
        <v>0.6</v>
      </c>
      <c r="G146" s="69">
        <v>0.7</v>
      </c>
      <c r="H146" s="69">
        <v>0.8</v>
      </c>
      <c r="I146" s="67" t="s">
        <v>585</v>
      </c>
      <c r="J146" s="69">
        <v>0.5</v>
      </c>
      <c r="K146" s="67" t="s">
        <v>370</v>
      </c>
      <c r="L146" s="67" t="s">
        <v>341</v>
      </c>
      <c r="M146" s="69">
        <v>0.2</v>
      </c>
      <c r="N146" s="69">
        <v>0.1</v>
      </c>
      <c r="U146" s="75"/>
      <c r="V146" s="69"/>
      <c r="W146" s="69"/>
      <c r="X146" s="69"/>
      <c r="Y146" s="69"/>
      <c r="Z146" s="69"/>
      <c r="AA146" s="76"/>
      <c r="AB146" s="76"/>
      <c r="AC146" s="76"/>
      <c r="AD146" s="76"/>
      <c r="AE146" s="76"/>
      <c r="AF146" s="76"/>
    </row>
    <row r="147" spans="1:32" x14ac:dyDescent="0.25">
      <c r="A147" s="29" t="s">
        <v>10</v>
      </c>
      <c r="B147" s="29" t="s">
        <v>10</v>
      </c>
      <c r="C147" s="29" t="s">
        <v>590</v>
      </c>
      <c r="D147" s="69">
        <v>0.05</v>
      </c>
      <c r="E147" s="69">
        <v>7.0000000000000007E-2</v>
      </c>
      <c r="F147" s="69">
        <v>0.1</v>
      </c>
      <c r="G147" s="69">
        <v>0.15</v>
      </c>
      <c r="H147" s="69">
        <v>0.2</v>
      </c>
      <c r="I147" s="67" t="s">
        <v>1768</v>
      </c>
      <c r="J147" s="69">
        <v>0.2</v>
      </c>
      <c r="K147" s="67" t="s">
        <v>492</v>
      </c>
      <c r="L147" s="67" t="s">
        <v>346</v>
      </c>
      <c r="M147" s="69">
        <v>0.1</v>
      </c>
      <c r="N147" s="69">
        <v>0.05</v>
      </c>
      <c r="U147" s="75"/>
      <c r="V147" s="69"/>
      <c r="W147" s="69"/>
      <c r="X147" s="69"/>
      <c r="Y147" s="69"/>
      <c r="Z147" s="69"/>
      <c r="AA147" s="76"/>
      <c r="AB147" s="76"/>
      <c r="AC147" s="76"/>
      <c r="AD147" s="76"/>
      <c r="AE147" s="76"/>
      <c r="AF147" s="76"/>
    </row>
    <row r="148" spans="1:32" x14ac:dyDescent="0.25">
      <c r="A148" s="29" t="s">
        <v>12</v>
      </c>
      <c r="B148" s="29" t="s">
        <v>621</v>
      </c>
      <c r="C148" s="29" t="s">
        <v>591</v>
      </c>
      <c r="D148" s="69">
        <v>0.05</v>
      </c>
      <c r="E148" s="69">
        <v>7.0000000000000007E-2</v>
      </c>
      <c r="F148" s="69">
        <v>0.1</v>
      </c>
      <c r="G148" s="69">
        <v>0.15</v>
      </c>
      <c r="H148" s="69">
        <v>0.2</v>
      </c>
      <c r="I148" s="67" t="s">
        <v>592</v>
      </c>
      <c r="J148" s="69">
        <v>0.25</v>
      </c>
      <c r="K148" s="67" t="s">
        <v>416</v>
      </c>
      <c r="L148" s="67" t="s">
        <v>344</v>
      </c>
      <c r="M148" s="69">
        <v>0.1</v>
      </c>
      <c r="N148" s="69">
        <v>0.05</v>
      </c>
      <c r="U148" s="75"/>
      <c r="V148" s="69"/>
      <c r="W148" s="69"/>
      <c r="X148" s="69"/>
      <c r="Y148" s="69"/>
      <c r="Z148" s="69"/>
      <c r="AA148" s="76"/>
      <c r="AB148" s="76"/>
      <c r="AC148" s="76"/>
      <c r="AD148" s="76"/>
      <c r="AE148" s="76"/>
      <c r="AF148" s="76"/>
    </row>
    <row r="149" spans="1:32" x14ac:dyDescent="0.25">
      <c r="A149" s="29" t="s">
        <v>40</v>
      </c>
      <c r="B149" s="29" t="s">
        <v>40</v>
      </c>
      <c r="C149" s="29" t="s">
        <v>350</v>
      </c>
      <c r="D149" s="69">
        <v>0.05</v>
      </c>
      <c r="E149" s="69">
        <v>7.0000000000000007E-2</v>
      </c>
      <c r="F149" s="69">
        <v>0.09</v>
      </c>
      <c r="G149" s="69">
        <v>0.12</v>
      </c>
      <c r="H149" s="69">
        <v>0.15</v>
      </c>
      <c r="I149" s="67" t="s">
        <v>455</v>
      </c>
      <c r="J149" s="69">
        <v>0.1</v>
      </c>
      <c r="K149" s="67" t="s">
        <v>369</v>
      </c>
      <c r="L149" s="67" t="s">
        <v>344</v>
      </c>
      <c r="M149" s="69">
        <v>0.1</v>
      </c>
      <c r="N149" s="69">
        <v>0.05</v>
      </c>
      <c r="U149" s="75"/>
      <c r="V149" s="69"/>
      <c r="W149" s="69"/>
      <c r="X149" s="69"/>
      <c r="Y149" s="69"/>
      <c r="Z149" s="69">
        <f ca="1">IF(INDEX(RosterRank,MATCH(A149,RosterOfficer,0),0)=0,0,(INDEX(OfficerSkillsFull,MATCH(A149,OfficerSkillsOfficers,0),3+INDEX(RosterRank,MATCH(A149,RosterOfficer,0),0))))</f>
        <v>0</v>
      </c>
      <c r="AA149" s="76"/>
      <c r="AB149" s="76"/>
      <c r="AC149" s="76"/>
      <c r="AD149" s="76"/>
      <c r="AE149" s="76"/>
      <c r="AF149" s="76"/>
    </row>
    <row r="150" spans="1:32" x14ac:dyDescent="0.25">
      <c r="A150" s="29" t="s">
        <v>46</v>
      </c>
      <c r="B150" s="29" t="s">
        <v>46</v>
      </c>
      <c r="C150" s="29" t="s">
        <v>593</v>
      </c>
      <c r="D150" s="69">
        <v>0.25</v>
      </c>
      <c r="E150" s="69">
        <v>0.5</v>
      </c>
      <c r="F150" s="69">
        <v>1</v>
      </c>
      <c r="G150" s="69">
        <v>4</v>
      </c>
      <c r="H150" s="69">
        <v>7.5</v>
      </c>
      <c r="I150" s="67" t="s">
        <v>594</v>
      </c>
      <c r="J150" s="69">
        <v>0.05</v>
      </c>
      <c r="K150" s="67" t="s">
        <v>369</v>
      </c>
      <c r="L150" s="67" t="s">
        <v>344</v>
      </c>
      <c r="M150" s="69">
        <v>0.05</v>
      </c>
      <c r="N150" s="69">
        <v>0.02</v>
      </c>
      <c r="P150" s="68" t="s">
        <v>367</v>
      </c>
      <c r="U150" s="75"/>
      <c r="V150" s="69"/>
      <c r="W150" s="69"/>
      <c r="X150" s="69"/>
      <c r="Y150" s="69"/>
      <c r="Z150" s="69"/>
      <c r="AA150" s="76"/>
      <c r="AB150" s="76"/>
      <c r="AC150" s="76"/>
      <c r="AD150" s="76"/>
      <c r="AE150" s="76"/>
      <c r="AF150" s="76"/>
    </row>
    <row r="151" spans="1:32" x14ac:dyDescent="0.25">
      <c r="A151" s="29" t="s">
        <v>33</v>
      </c>
      <c r="B151" s="29" t="s">
        <v>33</v>
      </c>
      <c r="C151" s="29" t="s">
        <v>595</v>
      </c>
      <c r="D151" s="69">
        <v>0.1</v>
      </c>
      <c r="E151" s="69">
        <v>0.12</v>
      </c>
      <c r="F151" s="69">
        <v>0.15</v>
      </c>
      <c r="G151" s="69">
        <v>0.2</v>
      </c>
      <c r="H151" s="69">
        <v>0.3</v>
      </c>
      <c r="I151" s="67" t="s">
        <v>596</v>
      </c>
      <c r="J151" s="69">
        <v>0.06</v>
      </c>
      <c r="K151" s="67" t="s">
        <v>492</v>
      </c>
      <c r="L151" s="67" t="s">
        <v>344</v>
      </c>
      <c r="M151" s="69">
        <v>0.02</v>
      </c>
      <c r="N151" s="69">
        <v>0.01</v>
      </c>
      <c r="U151" s="75"/>
      <c r="V151" s="69"/>
      <c r="W151" s="69"/>
      <c r="X151" s="69"/>
      <c r="Y151" s="69"/>
      <c r="Z151" s="69"/>
      <c r="AA151" s="76"/>
      <c r="AB151" s="76"/>
      <c r="AC151" s="76"/>
      <c r="AD151" s="76"/>
      <c r="AE151" s="76"/>
      <c r="AF151" s="76"/>
    </row>
    <row r="152" spans="1:32" x14ac:dyDescent="0.25">
      <c r="A152" s="29" t="s">
        <v>871</v>
      </c>
      <c r="B152" s="29" t="s">
        <v>871</v>
      </c>
      <c r="C152" s="29" t="s">
        <v>875</v>
      </c>
      <c r="D152" s="69">
        <v>0.2</v>
      </c>
      <c r="E152" s="69">
        <v>0.4</v>
      </c>
      <c r="F152" s="69">
        <v>0.7</v>
      </c>
      <c r="G152" s="69">
        <v>1</v>
      </c>
      <c r="H152" s="69">
        <v>2</v>
      </c>
      <c r="I152" s="67" t="s">
        <v>876</v>
      </c>
      <c r="J152" s="69">
        <v>1</v>
      </c>
      <c r="K152" s="67" t="s">
        <v>760</v>
      </c>
      <c r="L152" s="67" t="s">
        <v>341</v>
      </c>
      <c r="M152" s="69">
        <v>0.5</v>
      </c>
      <c r="N152" s="69">
        <v>0.25</v>
      </c>
      <c r="O152" s="212"/>
      <c r="P152" s="212"/>
      <c r="Q152" s="212"/>
      <c r="R152" s="212"/>
      <c r="S152" s="212"/>
      <c r="T152" s="212"/>
      <c r="U152" s="75"/>
      <c r="V152" s="69"/>
      <c r="W152" s="69"/>
      <c r="X152" s="69"/>
      <c r="Y152" s="69"/>
      <c r="Z152" s="69"/>
      <c r="AA152" s="76"/>
      <c r="AB152" s="76"/>
      <c r="AC152" s="76"/>
      <c r="AD152" s="76"/>
      <c r="AE152" s="76"/>
      <c r="AF152" s="76"/>
    </row>
    <row r="153" spans="1:32" x14ac:dyDescent="0.25">
      <c r="A153" s="29" t="s">
        <v>918</v>
      </c>
      <c r="B153" s="29" t="s">
        <v>918</v>
      </c>
      <c r="C153" s="29" t="s">
        <v>954</v>
      </c>
      <c r="D153" s="69">
        <v>1</v>
      </c>
      <c r="E153" s="69">
        <v>1.5</v>
      </c>
      <c r="F153" s="69">
        <v>2</v>
      </c>
      <c r="G153" s="69">
        <v>2.5</v>
      </c>
      <c r="H153" s="69">
        <v>3</v>
      </c>
      <c r="I153" s="67" t="s">
        <v>955</v>
      </c>
      <c r="J153" s="69">
        <v>1</v>
      </c>
      <c r="K153" s="67" t="s">
        <v>760</v>
      </c>
      <c r="L153" s="67" t="s">
        <v>346</v>
      </c>
      <c r="M153" s="69">
        <v>0.2</v>
      </c>
      <c r="N153" s="69">
        <v>0.1</v>
      </c>
      <c r="O153" s="268"/>
      <c r="P153" s="268"/>
      <c r="Q153" s="268"/>
      <c r="R153" s="268"/>
      <c r="S153" s="268"/>
      <c r="T153" s="268"/>
      <c r="U153" s="75"/>
      <c r="V153" s="69"/>
      <c r="W153" s="69"/>
      <c r="X153" s="69"/>
      <c r="Y153" s="69"/>
      <c r="Z153" s="69"/>
      <c r="AA153" s="76"/>
      <c r="AB153" s="76"/>
      <c r="AC153" s="76"/>
      <c r="AD153" s="76"/>
      <c r="AE153" s="76"/>
      <c r="AF153" s="76"/>
    </row>
    <row r="154" spans="1:32" x14ac:dyDescent="0.25">
      <c r="A154" s="29" t="s">
        <v>1357</v>
      </c>
      <c r="B154" s="29" t="s">
        <v>1357</v>
      </c>
      <c r="C154" s="29" t="s">
        <v>1362</v>
      </c>
      <c r="D154" s="69">
        <v>0.2</v>
      </c>
      <c r="E154" s="69">
        <v>0.4</v>
      </c>
      <c r="F154" s="69">
        <v>0.6</v>
      </c>
      <c r="G154" s="69">
        <v>0.8</v>
      </c>
      <c r="H154" s="69">
        <v>1</v>
      </c>
      <c r="I154" s="67" t="s">
        <v>1363</v>
      </c>
      <c r="J154" s="69">
        <v>0.7</v>
      </c>
      <c r="K154" s="67" t="s">
        <v>760</v>
      </c>
      <c r="L154" s="67" t="s">
        <v>346</v>
      </c>
      <c r="M154" s="69">
        <v>0.15</v>
      </c>
      <c r="N154" s="69">
        <v>0.1</v>
      </c>
      <c r="O154" s="283"/>
      <c r="P154" s="283"/>
      <c r="Q154" s="283"/>
      <c r="R154" s="283"/>
      <c r="S154" s="283"/>
      <c r="T154" s="283"/>
      <c r="U154" s="75"/>
      <c r="V154" s="69"/>
      <c r="W154" s="69"/>
      <c r="X154" s="69"/>
      <c r="Y154" s="69"/>
      <c r="Z154" s="69"/>
      <c r="AA154" s="76"/>
      <c r="AB154" s="76"/>
      <c r="AC154" s="76"/>
      <c r="AD154" s="76"/>
      <c r="AE154" s="76"/>
      <c r="AF154" s="76"/>
    </row>
    <row r="155" spans="1:32" x14ac:dyDescent="0.25">
      <c r="A155" s="29" t="s">
        <v>41</v>
      </c>
      <c r="B155" s="29" t="s">
        <v>41</v>
      </c>
      <c r="C155" s="29" t="s">
        <v>597</v>
      </c>
      <c r="D155" s="69">
        <v>0.15</v>
      </c>
      <c r="E155" s="69">
        <v>0.2</v>
      </c>
      <c r="F155" s="69">
        <v>0.25</v>
      </c>
      <c r="G155" s="69">
        <v>0.3</v>
      </c>
      <c r="H155" s="69">
        <v>0.4</v>
      </c>
      <c r="I155" s="67" t="s">
        <v>598</v>
      </c>
      <c r="J155" s="69">
        <v>0.1</v>
      </c>
      <c r="K155" s="67" t="s">
        <v>371</v>
      </c>
      <c r="L155" s="67" t="s">
        <v>344</v>
      </c>
      <c r="M155" s="69">
        <v>0.1</v>
      </c>
      <c r="N155" s="69">
        <v>0.05</v>
      </c>
      <c r="U155" s="75"/>
      <c r="V155" s="69"/>
      <c r="W155" s="69"/>
      <c r="X155" s="69"/>
      <c r="Y155" s="69"/>
      <c r="Z155" s="69"/>
      <c r="AA155" s="76"/>
      <c r="AB155" s="76"/>
      <c r="AC155" s="76"/>
      <c r="AD155" s="76"/>
      <c r="AE155" s="76"/>
      <c r="AF155" s="76"/>
    </row>
    <row r="156" spans="1:32" x14ac:dyDescent="0.25">
      <c r="A156" s="29" t="s">
        <v>53</v>
      </c>
      <c r="B156" s="29" t="s">
        <v>53</v>
      </c>
      <c r="C156" s="29" t="s">
        <v>617</v>
      </c>
      <c r="D156" s="69">
        <v>0.25</v>
      </c>
      <c r="E156" s="69">
        <v>0.35</v>
      </c>
      <c r="F156" s="69">
        <v>0.75</v>
      </c>
      <c r="G156" s="69">
        <v>1.75</v>
      </c>
      <c r="H156" s="69">
        <v>5</v>
      </c>
      <c r="I156" s="67" t="s">
        <v>618</v>
      </c>
      <c r="J156" s="69">
        <v>0.1</v>
      </c>
      <c r="K156" s="67" t="s">
        <v>476</v>
      </c>
      <c r="L156" s="67" t="s">
        <v>341</v>
      </c>
      <c r="M156" s="69">
        <v>0.1</v>
      </c>
      <c r="N156" s="69">
        <v>0.05</v>
      </c>
      <c r="U156" s="75"/>
      <c r="V156" s="69"/>
      <c r="W156" s="69"/>
      <c r="X156" s="69"/>
      <c r="Y156" s="69"/>
      <c r="Z156" s="69"/>
      <c r="AA156" s="76"/>
      <c r="AB156" s="76"/>
      <c r="AC156" s="76"/>
      <c r="AD156" s="76"/>
      <c r="AE156" s="76"/>
      <c r="AF156" s="76"/>
    </row>
    <row r="157" spans="1:32" x14ac:dyDescent="0.25">
      <c r="A157" s="29" t="s">
        <v>65</v>
      </c>
      <c r="B157" s="29" t="s">
        <v>570</v>
      </c>
      <c r="C157" s="29" t="s">
        <v>571</v>
      </c>
      <c r="D157" s="69">
        <v>0.25</v>
      </c>
      <c r="E157" s="69">
        <v>0.35</v>
      </c>
      <c r="F157" s="69">
        <v>0.75</v>
      </c>
      <c r="G157" s="69">
        <v>1.75</v>
      </c>
      <c r="H157" s="69">
        <v>5</v>
      </c>
      <c r="I157" s="67" t="s">
        <v>616</v>
      </c>
      <c r="J157" s="69">
        <v>0.1</v>
      </c>
      <c r="K157" s="67" t="s">
        <v>438</v>
      </c>
      <c r="L157" s="67" t="s">
        <v>341</v>
      </c>
      <c r="M157" s="69">
        <v>0.05</v>
      </c>
      <c r="N157" s="69">
        <v>0.02</v>
      </c>
      <c r="U157" s="75"/>
      <c r="V157" s="69"/>
      <c r="W157" s="69"/>
      <c r="X157" s="69"/>
      <c r="Y157" s="69"/>
      <c r="Z157" s="69"/>
      <c r="AA157" s="76"/>
      <c r="AB157" s="76"/>
      <c r="AC157" s="76"/>
      <c r="AD157" s="76"/>
      <c r="AE157" s="76"/>
      <c r="AF157" s="76"/>
    </row>
    <row r="158" spans="1:32" x14ac:dyDescent="0.25">
      <c r="A158" s="29" t="s">
        <v>54</v>
      </c>
      <c r="B158" s="29" t="s">
        <v>54</v>
      </c>
      <c r="C158" s="29" t="s">
        <v>619</v>
      </c>
      <c r="D158" s="69">
        <v>0.05</v>
      </c>
      <c r="E158" s="69">
        <v>0.08</v>
      </c>
      <c r="F158" s="69">
        <v>0.1</v>
      </c>
      <c r="G158" s="69">
        <v>0.15</v>
      </c>
      <c r="H158" s="69">
        <v>0.2</v>
      </c>
      <c r="I158" s="67" t="s">
        <v>620</v>
      </c>
      <c r="J158" s="69">
        <v>0.1</v>
      </c>
      <c r="K158" s="67" t="s">
        <v>343</v>
      </c>
      <c r="L158" s="67" t="s">
        <v>341</v>
      </c>
      <c r="M158" s="69">
        <v>0.1</v>
      </c>
      <c r="N158" s="69">
        <v>0.05</v>
      </c>
      <c r="U158" s="75"/>
      <c r="V158" s="69"/>
      <c r="W158" s="69"/>
      <c r="X158" s="69"/>
      <c r="Y158" s="69"/>
      <c r="Z158" s="69"/>
      <c r="AA158" s="76"/>
      <c r="AB158" s="76"/>
      <c r="AC158" s="76"/>
      <c r="AD158" s="76"/>
      <c r="AE158" s="76"/>
      <c r="AF158" s="76"/>
    </row>
    <row r="159" spans="1:32" x14ac:dyDescent="0.25">
      <c r="A159" s="29" t="s">
        <v>42</v>
      </c>
      <c r="B159" s="29" t="s">
        <v>622</v>
      </c>
      <c r="C159" s="29" t="s">
        <v>623</v>
      </c>
      <c r="D159" s="69">
        <v>0.3</v>
      </c>
      <c r="E159" s="69">
        <v>0.4</v>
      </c>
      <c r="F159" s="69">
        <v>0.8</v>
      </c>
      <c r="G159" s="69">
        <v>1.6</v>
      </c>
      <c r="H159" s="69">
        <v>3</v>
      </c>
      <c r="I159" s="67" t="s">
        <v>624</v>
      </c>
      <c r="J159" s="69">
        <v>0.15</v>
      </c>
      <c r="K159" s="67" t="s">
        <v>438</v>
      </c>
      <c r="L159" s="67" t="s">
        <v>346</v>
      </c>
      <c r="M159" s="69">
        <v>0.1</v>
      </c>
      <c r="N159" s="69">
        <v>0.06</v>
      </c>
      <c r="T159" s="68" t="s">
        <v>367</v>
      </c>
      <c r="U159" s="75"/>
      <c r="V159" s="69"/>
      <c r="W159" s="69"/>
      <c r="X159" s="69"/>
      <c r="Y159" s="69"/>
      <c r="Z159" s="69"/>
      <c r="AA159" s="76"/>
      <c r="AB159" s="76"/>
      <c r="AC159" s="76" t="s">
        <v>367</v>
      </c>
      <c r="AD159" s="76"/>
      <c r="AE159" s="76"/>
      <c r="AF159" s="76"/>
    </row>
  </sheetData>
  <autoFilter ref="A1:AF1">
    <sortState ref="A2:AF151">
      <sortCondition ref="A1"/>
    </sortState>
  </autoFilter>
  <sortState ref="A2:A120">
    <sortCondition ref="A1"/>
  </sortState>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M158"/>
  <sheetViews>
    <sheetView workbookViewId="0">
      <selection activeCell="CM14" sqref="CM14"/>
    </sheetView>
  </sheetViews>
  <sheetFormatPr defaultRowHeight="15" x14ac:dyDescent="0.25"/>
  <cols>
    <col min="1" max="1" width="17.42578125" style="29" bestFit="1" customWidth="1"/>
    <col min="2" max="16384" width="9.140625" style="30"/>
  </cols>
  <sheetData>
    <row r="1" spans="1:91" x14ac:dyDescent="0.25">
      <c r="A1" s="29" t="s">
        <v>47</v>
      </c>
      <c r="B1" s="30">
        <v>15</v>
      </c>
      <c r="C1" s="30">
        <v>20</v>
      </c>
      <c r="D1" s="30">
        <v>25</v>
      </c>
      <c r="E1" s="30">
        <v>16</v>
      </c>
      <c r="F1" s="30">
        <v>22</v>
      </c>
      <c r="G1" s="30">
        <v>27</v>
      </c>
      <c r="H1" s="30">
        <v>19</v>
      </c>
      <c r="I1" s="30">
        <v>25</v>
      </c>
      <c r="J1" s="30">
        <v>31</v>
      </c>
      <c r="K1" s="30">
        <v>22</v>
      </c>
      <c r="L1" s="30">
        <v>29</v>
      </c>
      <c r="M1" s="30">
        <v>36</v>
      </c>
      <c r="N1" s="30">
        <v>25</v>
      </c>
      <c r="O1" s="30">
        <v>33</v>
      </c>
      <c r="P1" s="30">
        <v>41</v>
      </c>
      <c r="Q1" s="30">
        <v>29</v>
      </c>
      <c r="R1" s="30">
        <v>38</v>
      </c>
      <c r="S1" s="30">
        <v>48</v>
      </c>
      <c r="T1" s="30">
        <v>32</v>
      </c>
      <c r="U1" s="30">
        <v>43</v>
      </c>
      <c r="V1" s="30">
        <v>54</v>
      </c>
      <c r="W1" s="30">
        <v>37</v>
      </c>
      <c r="X1" s="30">
        <v>49</v>
      </c>
      <c r="Y1" s="30">
        <v>61</v>
      </c>
      <c r="Z1" s="30">
        <v>41</v>
      </c>
      <c r="AA1" s="30">
        <v>55</v>
      </c>
      <c r="AB1" s="30">
        <v>69</v>
      </c>
      <c r="AC1" s="30">
        <v>46</v>
      </c>
      <c r="AD1" s="30">
        <v>61</v>
      </c>
      <c r="AE1" s="30">
        <v>77</v>
      </c>
      <c r="AF1" s="30">
        <v>51</v>
      </c>
      <c r="AG1" s="30">
        <v>68</v>
      </c>
      <c r="AH1" s="30">
        <v>85</v>
      </c>
      <c r="AI1" s="30">
        <v>56</v>
      </c>
      <c r="AJ1" s="30">
        <v>75</v>
      </c>
      <c r="AK1" s="30">
        <v>94</v>
      </c>
      <c r="AL1" s="30">
        <v>62</v>
      </c>
      <c r="AM1" s="30">
        <v>82</v>
      </c>
      <c r="AN1" s="30">
        <v>103</v>
      </c>
      <c r="AO1" s="30">
        <v>67</v>
      </c>
      <c r="AP1" s="30">
        <v>90</v>
      </c>
      <c r="AQ1" s="30">
        <v>112</v>
      </c>
      <c r="AR1" s="30">
        <v>73</v>
      </c>
      <c r="AS1" s="30">
        <v>98</v>
      </c>
      <c r="AT1" s="30">
        <v>122</v>
      </c>
      <c r="AU1" s="30">
        <v>79</v>
      </c>
      <c r="AV1" s="30">
        <v>106</v>
      </c>
      <c r="AW1" s="30">
        <v>132</v>
      </c>
      <c r="AX1" s="30">
        <v>85</v>
      </c>
      <c r="AY1" s="30">
        <v>114</v>
      </c>
      <c r="AZ1" s="30">
        <v>142</v>
      </c>
      <c r="BA1" s="30">
        <v>92</v>
      </c>
      <c r="BB1" s="30">
        <v>122</v>
      </c>
      <c r="BC1" s="30">
        <v>153</v>
      </c>
      <c r="BD1" s="30">
        <v>98</v>
      </c>
      <c r="BE1" s="30">
        <v>131</v>
      </c>
      <c r="BF1" s="30">
        <v>164</v>
      </c>
      <c r="BG1" s="30">
        <v>105</v>
      </c>
      <c r="BH1" s="30">
        <v>140</v>
      </c>
      <c r="BI1" s="30">
        <v>175</v>
      </c>
      <c r="BJ1" s="30">
        <v>112</v>
      </c>
      <c r="BK1" s="30">
        <v>149</v>
      </c>
      <c r="BL1" s="30">
        <v>186</v>
      </c>
      <c r="BM1" s="30">
        <v>119</v>
      </c>
      <c r="BN1" s="30">
        <v>158</v>
      </c>
      <c r="BO1" s="30">
        <v>198</v>
      </c>
      <c r="BP1" s="30">
        <v>126</v>
      </c>
      <c r="BQ1" s="30">
        <v>168</v>
      </c>
      <c r="BR1" s="30">
        <v>209</v>
      </c>
      <c r="BS1" s="30">
        <v>133</v>
      </c>
      <c r="BT1" s="30">
        <v>177</v>
      </c>
      <c r="BU1" s="30">
        <v>221</v>
      </c>
      <c r="BV1" s="30">
        <v>140</v>
      </c>
      <c r="BW1" s="30">
        <v>187</v>
      </c>
      <c r="BX1" s="30">
        <v>234</v>
      </c>
      <c r="BY1" s="30">
        <v>148</v>
      </c>
      <c r="BZ1" s="30">
        <v>197</v>
      </c>
      <c r="CA1" s="30">
        <v>246</v>
      </c>
      <c r="CB1" s="30">
        <v>155</v>
      </c>
      <c r="CC1" s="30">
        <v>207</v>
      </c>
      <c r="CD1" s="30">
        <v>259</v>
      </c>
      <c r="CE1" s="30">
        <v>163</v>
      </c>
      <c r="CF1" s="30">
        <v>217</v>
      </c>
      <c r="CG1" s="30">
        <v>272</v>
      </c>
      <c r="CH1" s="30">
        <v>171</v>
      </c>
      <c r="CI1" s="30">
        <v>228</v>
      </c>
      <c r="CJ1" s="30">
        <v>285</v>
      </c>
      <c r="CK1" s="30">
        <v>179</v>
      </c>
      <c r="CL1" s="30">
        <v>238</v>
      </c>
      <c r="CM1" s="30">
        <v>298</v>
      </c>
    </row>
    <row r="2" spans="1:91" x14ac:dyDescent="0.25">
      <c r="A2" s="29" t="s">
        <v>102</v>
      </c>
      <c r="B2" s="30">
        <v>20</v>
      </c>
      <c r="C2" s="30">
        <v>30</v>
      </c>
      <c r="D2" s="30">
        <v>70</v>
      </c>
      <c r="E2" s="30">
        <v>22</v>
      </c>
      <c r="F2" s="30">
        <v>33</v>
      </c>
      <c r="G2" s="30">
        <v>77</v>
      </c>
      <c r="H2" s="30">
        <v>26</v>
      </c>
      <c r="I2" s="30">
        <v>39</v>
      </c>
      <c r="J2" s="30">
        <v>90</v>
      </c>
      <c r="K2" s="30">
        <v>30</v>
      </c>
      <c r="L2" s="30">
        <v>46</v>
      </c>
      <c r="M2" s="30">
        <v>106</v>
      </c>
      <c r="N2" s="30">
        <v>36</v>
      </c>
      <c r="O2" s="30">
        <v>54</v>
      </c>
      <c r="P2" s="30">
        <v>125</v>
      </c>
      <c r="Q2" s="30">
        <v>42</v>
      </c>
      <c r="R2" s="30">
        <v>63</v>
      </c>
      <c r="S2" s="30">
        <v>146</v>
      </c>
      <c r="T2" s="30">
        <v>48</v>
      </c>
      <c r="U2" s="30">
        <v>72</v>
      </c>
      <c r="V2" s="30">
        <v>169</v>
      </c>
      <c r="W2" s="30">
        <v>55</v>
      </c>
      <c r="X2" s="30">
        <v>83</v>
      </c>
      <c r="Y2" s="30">
        <v>193</v>
      </c>
      <c r="Z2" s="30">
        <v>63</v>
      </c>
      <c r="AA2" s="30">
        <v>94</v>
      </c>
      <c r="AB2" s="30">
        <v>219</v>
      </c>
      <c r="AC2" s="30">
        <v>71</v>
      </c>
      <c r="AD2" s="30">
        <v>106</v>
      </c>
      <c r="AE2" s="30">
        <v>247</v>
      </c>
      <c r="AF2" s="30">
        <v>79</v>
      </c>
      <c r="AG2" s="30">
        <v>118</v>
      </c>
      <c r="AH2" s="30">
        <v>276</v>
      </c>
      <c r="AI2" s="30">
        <v>87</v>
      </c>
      <c r="AJ2" s="30">
        <v>131</v>
      </c>
      <c r="AK2" s="30">
        <v>306</v>
      </c>
      <c r="AL2" s="30">
        <v>96</v>
      </c>
      <c r="AM2" s="30">
        <v>145</v>
      </c>
      <c r="AN2" s="30">
        <v>338</v>
      </c>
      <c r="AO2" s="30">
        <v>106</v>
      </c>
      <c r="AP2" s="30">
        <v>159</v>
      </c>
      <c r="AQ2" s="30">
        <v>370</v>
      </c>
      <c r="AR2" s="30">
        <v>115</v>
      </c>
      <c r="AS2" s="30">
        <v>173</v>
      </c>
      <c r="AT2" s="30">
        <v>404</v>
      </c>
      <c r="AU2" s="30">
        <v>125</v>
      </c>
      <c r="AV2" s="30">
        <v>188</v>
      </c>
      <c r="AW2" s="30">
        <v>439</v>
      </c>
      <c r="AX2" s="30">
        <v>136</v>
      </c>
      <c r="AY2" s="30">
        <v>204</v>
      </c>
      <c r="AZ2" s="30">
        <v>475</v>
      </c>
      <c r="BA2" s="30">
        <v>146</v>
      </c>
      <c r="BB2" s="30">
        <v>219</v>
      </c>
      <c r="BC2" s="30">
        <v>512</v>
      </c>
      <c r="BD2" s="30">
        <v>157</v>
      </c>
      <c r="BE2" s="30">
        <v>236</v>
      </c>
      <c r="BF2" s="30">
        <v>550</v>
      </c>
      <c r="BG2" s="30">
        <v>168</v>
      </c>
      <c r="BH2" s="30">
        <v>252</v>
      </c>
      <c r="BI2" s="30">
        <v>589</v>
      </c>
      <c r="BJ2" s="30">
        <v>180</v>
      </c>
      <c r="BK2" s="30">
        <v>269</v>
      </c>
      <c r="BL2" s="30">
        <v>629</v>
      </c>
      <c r="BM2" s="30">
        <v>191</v>
      </c>
      <c r="BN2" s="30">
        <v>287</v>
      </c>
      <c r="BO2" s="30">
        <v>669</v>
      </c>
      <c r="BP2" s="30">
        <v>203</v>
      </c>
      <c r="BQ2" s="30">
        <v>305</v>
      </c>
      <c r="BR2" s="30">
        <v>711</v>
      </c>
      <c r="BS2" s="30">
        <v>215</v>
      </c>
      <c r="BT2" s="30">
        <v>323</v>
      </c>
      <c r="BU2" s="30">
        <v>753</v>
      </c>
      <c r="BV2" s="30">
        <v>228</v>
      </c>
      <c r="BW2" s="30">
        <v>341</v>
      </c>
      <c r="BX2" s="30">
        <v>796</v>
      </c>
      <c r="BY2" s="30">
        <v>240</v>
      </c>
      <c r="BZ2" s="30">
        <v>360</v>
      </c>
      <c r="CA2" s="30">
        <v>840</v>
      </c>
      <c r="CB2" s="30">
        <v>253</v>
      </c>
      <c r="CC2" s="30">
        <v>379</v>
      </c>
      <c r="CD2" s="30">
        <v>885</v>
      </c>
      <c r="CE2" s="30">
        <v>266</v>
      </c>
      <c r="CF2" s="30">
        <v>399</v>
      </c>
      <c r="CG2" s="30">
        <v>931</v>
      </c>
      <c r="CH2" s="30">
        <v>279</v>
      </c>
      <c r="CI2" s="30">
        <v>419</v>
      </c>
      <c r="CJ2" s="30">
        <v>977</v>
      </c>
      <c r="CK2" s="30">
        <v>293</v>
      </c>
      <c r="CL2" s="30">
        <v>439</v>
      </c>
      <c r="CM2" s="30">
        <v>1024</v>
      </c>
    </row>
    <row r="3" spans="1:91" x14ac:dyDescent="0.25">
      <c r="A3" s="29" t="s">
        <v>84</v>
      </c>
      <c r="B3" s="30">
        <v>20</v>
      </c>
      <c r="C3" s="30">
        <v>30</v>
      </c>
      <c r="D3" s="30">
        <v>10</v>
      </c>
      <c r="E3" s="30">
        <v>22</v>
      </c>
      <c r="F3" s="30">
        <v>33</v>
      </c>
      <c r="G3" s="30">
        <v>11</v>
      </c>
      <c r="H3" s="30">
        <v>25</v>
      </c>
      <c r="I3" s="30">
        <v>37</v>
      </c>
      <c r="J3" s="30">
        <v>12</v>
      </c>
      <c r="K3" s="30">
        <v>29</v>
      </c>
      <c r="L3" s="30">
        <v>43</v>
      </c>
      <c r="M3" s="30">
        <v>14</v>
      </c>
      <c r="N3" s="30">
        <v>33</v>
      </c>
      <c r="O3" s="30">
        <v>50</v>
      </c>
      <c r="P3" s="30">
        <v>17</v>
      </c>
      <c r="Q3" s="30">
        <v>38</v>
      </c>
      <c r="R3" s="30">
        <v>57</v>
      </c>
      <c r="S3" s="30">
        <v>19</v>
      </c>
      <c r="T3" s="30">
        <v>43</v>
      </c>
      <c r="U3" s="30">
        <v>65</v>
      </c>
      <c r="V3" s="30">
        <v>22</v>
      </c>
      <c r="W3" s="30">
        <v>49</v>
      </c>
      <c r="X3" s="30">
        <v>74</v>
      </c>
      <c r="Y3" s="30">
        <v>25</v>
      </c>
      <c r="Z3" s="30">
        <v>55</v>
      </c>
      <c r="AA3" s="30">
        <v>83</v>
      </c>
      <c r="AB3" s="30">
        <v>28</v>
      </c>
      <c r="AC3" s="30">
        <v>61</v>
      </c>
      <c r="AD3" s="30">
        <v>92</v>
      </c>
      <c r="AE3" s="30">
        <v>31</v>
      </c>
      <c r="AF3" s="30">
        <v>68</v>
      </c>
      <c r="AG3" s="30">
        <v>102</v>
      </c>
      <c r="AH3" s="30">
        <v>34</v>
      </c>
      <c r="AI3" s="30">
        <v>75</v>
      </c>
      <c r="AJ3" s="30">
        <v>113</v>
      </c>
      <c r="AK3" s="30">
        <v>38</v>
      </c>
      <c r="AL3" s="30">
        <v>82</v>
      </c>
      <c r="AM3" s="30">
        <v>124</v>
      </c>
      <c r="AN3" s="30">
        <v>41</v>
      </c>
      <c r="AO3" s="30">
        <v>90</v>
      </c>
      <c r="AP3" s="30">
        <v>135</v>
      </c>
      <c r="AQ3" s="30">
        <v>45</v>
      </c>
      <c r="AR3" s="30">
        <v>98</v>
      </c>
      <c r="AS3" s="30">
        <v>147</v>
      </c>
      <c r="AT3" s="30">
        <v>49</v>
      </c>
      <c r="AU3" s="30">
        <v>106</v>
      </c>
      <c r="AV3" s="30">
        <v>159</v>
      </c>
      <c r="AW3" s="30">
        <v>53</v>
      </c>
      <c r="AX3" s="30">
        <v>114</v>
      </c>
      <c r="AY3" s="30">
        <v>171</v>
      </c>
      <c r="AZ3" s="30">
        <v>57</v>
      </c>
      <c r="BA3" s="30">
        <v>122</v>
      </c>
      <c r="BB3" s="30">
        <v>183</v>
      </c>
      <c r="BC3" s="30">
        <v>61</v>
      </c>
      <c r="BD3" s="30">
        <v>131</v>
      </c>
      <c r="BE3" s="30">
        <v>196</v>
      </c>
      <c r="BF3" s="30">
        <v>65</v>
      </c>
      <c r="BG3" s="30">
        <v>140</v>
      </c>
      <c r="BH3" s="30">
        <v>210</v>
      </c>
      <c r="BI3" s="30">
        <v>70</v>
      </c>
      <c r="BJ3" s="30">
        <v>149</v>
      </c>
      <c r="BK3" s="30">
        <v>223</v>
      </c>
      <c r="BL3" s="30">
        <v>74</v>
      </c>
      <c r="BM3" s="30">
        <v>158</v>
      </c>
      <c r="BN3" s="30">
        <v>237</v>
      </c>
      <c r="BO3" s="30">
        <v>79</v>
      </c>
      <c r="BP3" s="30">
        <v>168</v>
      </c>
      <c r="BQ3" s="30">
        <v>251</v>
      </c>
      <c r="BR3" s="30">
        <v>84</v>
      </c>
      <c r="BS3" s="30">
        <v>177</v>
      </c>
      <c r="BT3" s="30">
        <v>266</v>
      </c>
      <c r="BU3" s="30">
        <v>89</v>
      </c>
      <c r="BV3" s="30">
        <v>187</v>
      </c>
      <c r="BW3" s="30">
        <v>280</v>
      </c>
      <c r="BX3" s="30">
        <v>93</v>
      </c>
      <c r="BY3" s="30">
        <v>197</v>
      </c>
      <c r="BZ3" s="30">
        <v>295</v>
      </c>
      <c r="CA3" s="30">
        <v>98</v>
      </c>
      <c r="CB3" s="30">
        <v>207</v>
      </c>
      <c r="CC3" s="30">
        <v>311</v>
      </c>
      <c r="CD3" s="30">
        <v>104</v>
      </c>
      <c r="CE3" s="30">
        <v>217</v>
      </c>
      <c r="CF3" s="30">
        <v>326</v>
      </c>
      <c r="CG3" s="30">
        <v>109</v>
      </c>
      <c r="CH3" s="30">
        <v>228</v>
      </c>
      <c r="CI3" s="30">
        <v>342</v>
      </c>
      <c r="CJ3" s="30">
        <v>114</v>
      </c>
      <c r="CK3" s="30">
        <v>238</v>
      </c>
      <c r="CL3" s="30">
        <v>358</v>
      </c>
      <c r="CM3" s="30">
        <v>119</v>
      </c>
    </row>
    <row r="4" spans="1:91" x14ac:dyDescent="0.25">
      <c r="A4" s="29" t="s">
        <v>31</v>
      </c>
      <c r="B4" s="30">
        <v>8</v>
      </c>
      <c r="C4" s="30">
        <v>35</v>
      </c>
      <c r="D4" s="30">
        <v>18</v>
      </c>
      <c r="E4" s="30">
        <v>8</v>
      </c>
      <c r="F4" s="30">
        <v>38</v>
      </c>
      <c r="G4" s="30">
        <v>19</v>
      </c>
      <c r="H4" s="30">
        <v>9</v>
      </c>
      <c r="I4" s="30">
        <v>44</v>
      </c>
      <c r="J4" s="30">
        <v>22</v>
      </c>
      <c r="K4" s="30">
        <v>11</v>
      </c>
      <c r="L4" s="30">
        <v>50</v>
      </c>
      <c r="M4" s="30">
        <v>25</v>
      </c>
      <c r="N4" s="30">
        <v>12</v>
      </c>
      <c r="O4" s="30">
        <v>58</v>
      </c>
      <c r="P4" s="30">
        <v>29</v>
      </c>
      <c r="Q4" s="30">
        <v>14</v>
      </c>
      <c r="R4" s="30">
        <v>67</v>
      </c>
      <c r="S4" s="30">
        <v>33</v>
      </c>
      <c r="T4" s="30">
        <v>16</v>
      </c>
      <c r="U4" s="30">
        <v>76</v>
      </c>
      <c r="V4" s="30">
        <v>38</v>
      </c>
      <c r="W4" s="30">
        <v>18</v>
      </c>
      <c r="X4" s="30">
        <v>86</v>
      </c>
      <c r="Y4" s="30">
        <v>43</v>
      </c>
      <c r="Z4" s="30">
        <v>21</v>
      </c>
      <c r="AA4" s="30">
        <v>96</v>
      </c>
      <c r="AB4" s="30">
        <v>48</v>
      </c>
      <c r="AC4" s="30">
        <v>23</v>
      </c>
      <c r="AD4" s="30">
        <v>108</v>
      </c>
      <c r="AE4" s="30">
        <v>54</v>
      </c>
      <c r="AF4" s="30">
        <v>26</v>
      </c>
      <c r="AG4" s="30">
        <v>119</v>
      </c>
      <c r="AH4" s="30">
        <v>60</v>
      </c>
      <c r="AI4" s="30">
        <v>28</v>
      </c>
      <c r="AJ4" s="30">
        <v>131</v>
      </c>
      <c r="AK4" s="30">
        <v>66</v>
      </c>
      <c r="AL4" s="30">
        <v>31</v>
      </c>
      <c r="AM4" s="30">
        <v>144</v>
      </c>
      <c r="AN4" s="30">
        <v>72</v>
      </c>
      <c r="AO4" s="30">
        <v>34</v>
      </c>
      <c r="AP4" s="30">
        <v>157</v>
      </c>
      <c r="AQ4" s="30">
        <v>79</v>
      </c>
      <c r="AR4" s="30">
        <v>37</v>
      </c>
      <c r="AS4" s="30">
        <v>171</v>
      </c>
      <c r="AT4" s="30">
        <v>85</v>
      </c>
      <c r="AU4" s="30">
        <v>40</v>
      </c>
      <c r="AV4" s="30">
        <v>185</v>
      </c>
      <c r="AW4" s="30">
        <v>92</v>
      </c>
      <c r="AX4" s="30">
        <v>43</v>
      </c>
      <c r="AY4" s="30">
        <v>199</v>
      </c>
      <c r="AZ4" s="30">
        <v>100</v>
      </c>
      <c r="BA4" s="30">
        <v>46</v>
      </c>
      <c r="BB4" s="30">
        <v>214</v>
      </c>
      <c r="BC4" s="30">
        <v>107</v>
      </c>
      <c r="BD4" s="30">
        <v>49</v>
      </c>
      <c r="BE4" s="30">
        <v>229</v>
      </c>
      <c r="BF4" s="30">
        <v>115</v>
      </c>
      <c r="BG4" s="30">
        <v>52</v>
      </c>
      <c r="BH4" s="30">
        <v>245</v>
      </c>
      <c r="BI4" s="30">
        <v>122</v>
      </c>
      <c r="BJ4" s="30">
        <v>56</v>
      </c>
      <c r="BK4" s="30">
        <v>261</v>
      </c>
      <c r="BL4" s="30">
        <v>130</v>
      </c>
      <c r="BM4" s="30">
        <v>59</v>
      </c>
      <c r="BN4" s="30">
        <v>277</v>
      </c>
      <c r="BO4" s="30">
        <v>138</v>
      </c>
      <c r="BP4" s="30">
        <v>63</v>
      </c>
      <c r="BQ4" s="30">
        <v>293</v>
      </c>
      <c r="BR4" s="30">
        <v>147</v>
      </c>
      <c r="BS4" s="30">
        <v>66</v>
      </c>
      <c r="BT4" s="30">
        <v>310</v>
      </c>
      <c r="BU4" s="30">
        <v>155</v>
      </c>
      <c r="BV4" s="30">
        <v>70</v>
      </c>
      <c r="BW4" s="30">
        <v>327</v>
      </c>
      <c r="BX4" s="30">
        <v>164</v>
      </c>
      <c r="BY4" s="30">
        <v>74</v>
      </c>
      <c r="BZ4" s="30">
        <v>345</v>
      </c>
      <c r="CA4" s="30">
        <v>172</v>
      </c>
      <c r="CB4" s="30">
        <v>78</v>
      </c>
      <c r="CC4" s="30">
        <v>362</v>
      </c>
      <c r="CD4" s="30">
        <v>181</v>
      </c>
      <c r="CE4" s="30">
        <v>82</v>
      </c>
      <c r="CF4" s="30">
        <v>380</v>
      </c>
      <c r="CG4" s="30">
        <v>190</v>
      </c>
      <c r="CH4" s="30">
        <v>85</v>
      </c>
      <c r="CI4" s="30">
        <v>399</v>
      </c>
      <c r="CJ4" s="30">
        <v>199</v>
      </c>
      <c r="CK4" s="30">
        <v>89</v>
      </c>
      <c r="CL4" s="30">
        <v>417</v>
      </c>
      <c r="CM4" s="30">
        <v>209</v>
      </c>
    </row>
    <row r="5" spans="1:91" x14ac:dyDescent="0.25">
      <c r="A5" s="29" t="s">
        <v>29</v>
      </c>
      <c r="B5" s="30">
        <v>10</v>
      </c>
      <c r="C5" s="30">
        <v>30</v>
      </c>
      <c r="D5" s="30">
        <v>20</v>
      </c>
      <c r="E5" s="30">
        <v>11</v>
      </c>
      <c r="F5" s="30">
        <v>33</v>
      </c>
      <c r="G5" s="30">
        <v>22</v>
      </c>
      <c r="H5" s="30">
        <v>12</v>
      </c>
      <c r="I5" s="30">
        <v>37</v>
      </c>
      <c r="J5" s="30">
        <v>25</v>
      </c>
      <c r="K5" s="30">
        <v>14</v>
      </c>
      <c r="L5" s="30">
        <v>43</v>
      </c>
      <c r="M5" s="30">
        <v>29</v>
      </c>
      <c r="N5" s="30">
        <v>17</v>
      </c>
      <c r="O5" s="30">
        <v>50</v>
      </c>
      <c r="P5" s="30">
        <v>33</v>
      </c>
      <c r="Q5" s="30">
        <v>19</v>
      </c>
      <c r="R5" s="30">
        <v>57</v>
      </c>
      <c r="S5" s="30">
        <v>38</v>
      </c>
      <c r="T5" s="30">
        <v>22</v>
      </c>
      <c r="U5" s="30">
        <v>65</v>
      </c>
      <c r="V5" s="30">
        <v>43</v>
      </c>
      <c r="W5" s="30">
        <v>25</v>
      </c>
      <c r="X5" s="30">
        <v>74</v>
      </c>
      <c r="Y5" s="30">
        <v>49</v>
      </c>
      <c r="Z5" s="30">
        <v>28</v>
      </c>
      <c r="AA5" s="30">
        <v>83</v>
      </c>
      <c r="AB5" s="30">
        <v>55</v>
      </c>
      <c r="AC5" s="30">
        <v>31</v>
      </c>
      <c r="AD5" s="30">
        <v>92</v>
      </c>
      <c r="AE5" s="30">
        <v>61</v>
      </c>
      <c r="AF5" s="30">
        <v>34</v>
      </c>
      <c r="AG5" s="30">
        <v>102</v>
      </c>
      <c r="AH5" s="30">
        <v>68</v>
      </c>
      <c r="AI5" s="30">
        <v>38</v>
      </c>
      <c r="AJ5" s="30">
        <v>113</v>
      </c>
      <c r="AK5" s="30">
        <v>75</v>
      </c>
      <c r="AL5" s="30">
        <v>41</v>
      </c>
      <c r="AM5" s="30">
        <v>124</v>
      </c>
      <c r="AN5" s="30">
        <v>82</v>
      </c>
      <c r="AO5" s="30">
        <v>45</v>
      </c>
      <c r="AP5" s="30">
        <v>135</v>
      </c>
      <c r="AQ5" s="30">
        <v>90</v>
      </c>
      <c r="AR5" s="30">
        <v>49</v>
      </c>
      <c r="AS5" s="30">
        <v>147</v>
      </c>
      <c r="AT5" s="30">
        <v>98</v>
      </c>
      <c r="AU5" s="30">
        <v>53</v>
      </c>
      <c r="AV5" s="30">
        <v>159</v>
      </c>
      <c r="AW5" s="30">
        <v>106</v>
      </c>
      <c r="AX5" s="30">
        <v>57</v>
      </c>
      <c r="AY5" s="30">
        <v>171</v>
      </c>
      <c r="AZ5" s="30">
        <v>114</v>
      </c>
      <c r="BA5" s="30">
        <v>61</v>
      </c>
      <c r="BB5" s="30">
        <v>183</v>
      </c>
      <c r="BC5" s="30">
        <v>122</v>
      </c>
      <c r="BD5" s="30">
        <v>65</v>
      </c>
      <c r="BE5" s="30">
        <v>196</v>
      </c>
      <c r="BF5" s="30">
        <v>131</v>
      </c>
      <c r="BG5" s="30">
        <v>70</v>
      </c>
      <c r="BH5" s="30">
        <v>210</v>
      </c>
      <c r="BI5" s="30">
        <v>140</v>
      </c>
      <c r="BJ5" s="30">
        <v>74</v>
      </c>
      <c r="BK5" s="30">
        <v>223</v>
      </c>
      <c r="BL5" s="30">
        <v>149</v>
      </c>
      <c r="BM5" s="30">
        <v>79</v>
      </c>
      <c r="BN5" s="30">
        <v>237</v>
      </c>
      <c r="BO5" s="30">
        <v>158</v>
      </c>
      <c r="BP5" s="30">
        <v>84</v>
      </c>
      <c r="BQ5" s="30">
        <v>251</v>
      </c>
      <c r="BR5" s="30">
        <v>168</v>
      </c>
      <c r="BS5" s="30">
        <v>89</v>
      </c>
      <c r="BT5" s="30">
        <v>266</v>
      </c>
      <c r="BU5" s="30">
        <v>177</v>
      </c>
      <c r="BV5" s="30">
        <v>93</v>
      </c>
      <c r="BW5" s="30">
        <v>280</v>
      </c>
      <c r="BX5" s="30">
        <v>187</v>
      </c>
      <c r="BY5" s="30">
        <v>98</v>
      </c>
      <c r="BZ5" s="30">
        <v>295</v>
      </c>
      <c r="CA5" s="30">
        <v>197</v>
      </c>
      <c r="CB5" s="30">
        <v>104</v>
      </c>
      <c r="CC5" s="30">
        <v>311</v>
      </c>
      <c r="CD5" s="30">
        <v>207</v>
      </c>
      <c r="CE5" s="30">
        <v>109</v>
      </c>
      <c r="CF5" s="30">
        <v>326</v>
      </c>
      <c r="CG5" s="30">
        <v>217</v>
      </c>
      <c r="CH5" s="30">
        <v>114</v>
      </c>
      <c r="CI5" s="30">
        <v>342</v>
      </c>
      <c r="CJ5" s="30">
        <v>228</v>
      </c>
      <c r="CK5" s="30">
        <v>119</v>
      </c>
      <c r="CL5" s="30">
        <v>358</v>
      </c>
      <c r="CM5" s="30">
        <v>238</v>
      </c>
    </row>
    <row r="6" spans="1:91" x14ac:dyDescent="0.25">
      <c r="A6" s="29" t="s">
        <v>1973</v>
      </c>
      <c r="B6" s="340">
        <v>20</v>
      </c>
      <c r="C6" s="340">
        <v>50</v>
      </c>
      <c r="D6" s="340">
        <v>70</v>
      </c>
      <c r="E6" s="340">
        <v>22</v>
      </c>
      <c r="F6" s="340">
        <v>55</v>
      </c>
      <c r="G6" s="340">
        <v>77</v>
      </c>
      <c r="H6" s="340">
        <v>25.833333333333332</v>
      </c>
      <c r="I6" s="340">
        <v>64.583333333333343</v>
      </c>
      <c r="J6" s="340">
        <v>90.416666666666671</v>
      </c>
      <c r="K6" s="340">
        <v>30.333333333333332</v>
      </c>
      <c r="L6" s="340">
        <v>75.833333333333343</v>
      </c>
      <c r="M6" s="340">
        <v>106.16666666666667</v>
      </c>
      <c r="N6" s="340">
        <v>35.833333333333336</v>
      </c>
      <c r="O6" s="340">
        <v>89.583333333333343</v>
      </c>
      <c r="P6" s="340">
        <v>125.41666666666667</v>
      </c>
      <c r="Q6" s="340">
        <v>41.833333333333336</v>
      </c>
      <c r="R6" s="340">
        <v>104.58333333333334</v>
      </c>
      <c r="S6" s="340">
        <v>146.41666666666669</v>
      </c>
      <c r="T6" s="340">
        <v>48.166666666666664</v>
      </c>
      <c r="U6" s="340">
        <v>120.41666666666667</v>
      </c>
      <c r="V6" s="340">
        <v>168.58333333333334</v>
      </c>
      <c r="W6" s="340">
        <v>55.166666666666664</v>
      </c>
      <c r="X6" s="340">
        <v>137.91666666666669</v>
      </c>
      <c r="Y6" s="340">
        <v>193.08333333333334</v>
      </c>
      <c r="Z6" s="340">
        <v>62.666666666666664</v>
      </c>
      <c r="AA6" s="340">
        <v>156.66666666666669</v>
      </c>
      <c r="AB6" s="340">
        <v>219.33333333333334</v>
      </c>
      <c r="AC6" s="340">
        <v>70.666666666666671</v>
      </c>
      <c r="AD6" s="340">
        <v>176.66666666666669</v>
      </c>
      <c r="AE6" s="340">
        <v>247.33333333333334</v>
      </c>
      <c r="AF6" s="340">
        <v>78.833333333333329</v>
      </c>
      <c r="AG6" s="340">
        <v>197.08333333333334</v>
      </c>
      <c r="AH6" s="340">
        <v>275.91666666666669</v>
      </c>
      <c r="AI6" s="340">
        <v>87.333333333333329</v>
      </c>
      <c r="AJ6" s="340">
        <v>218.33333333333334</v>
      </c>
      <c r="AK6" s="340">
        <v>305.66666666666669</v>
      </c>
      <c r="AL6" s="340">
        <v>96.5</v>
      </c>
      <c r="AM6" s="340">
        <v>241.25</v>
      </c>
      <c r="AN6" s="340">
        <v>337.75</v>
      </c>
      <c r="AO6" s="340">
        <v>105.83333333333333</v>
      </c>
      <c r="AP6" s="340">
        <v>264.58333333333337</v>
      </c>
      <c r="AQ6" s="340">
        <v>370.41666666666669</v>
      </c>
      <c r="AR6" s="340">
        <v>115.33333333333333</v>
      </c>
      <c r="AS6" s="340">
        <v>288.33333333333337</v>
      </c>
      <c r="AT6" s="340">
        <v>403.66666666666669</v>
      </c>
      <c r="AU6" s="340">
        <v>125.33333333333333</v>
      </c>
      <c r="AV6" s="340">
        <v>313.33333333333337</v>
      </c>
      <c r="AW6" s="340">
        <v>438.66666666666669</v>
      </c>
      <c r="AX6" s="340">
        <v>135.83333333333334</v>
      </c>
      <c r="AY6" s="340">
        <v>339.58333333333337</v>
      </c>
      <c r="AZ6" s="340">
        <v>475.41666666666669</v>
      </c>
      <c r="BA6" s="340">
        <v>146.16666666666666</v>
      </c>
      <c r="BB6" s="340">
        <v>365.41666666666669</v>
      </c>
      <c r="BC6" s="340">
        <v>511.58333333333337</v>
      </c>
      <c r="BD6" s="340">
        <v>157.16666666666666</v>
      </c>
      <c r="BE6" s="340">
        <v>392.91666666666669</v>
      </c>
      <c r="BF6" s="340">
        <v>550.08333333333337</v>
      </c>
      <c r="BG6" s="340">
        <v>168.16666666666666</v>
      </c>
      <c r="BH6" s="340">
        <v>420.41666666666669</v>
      </c>
      <c r="BI6" s="340">
        <v>588.58333333333337</v>
      </c>
      <c r="BJ6" s="340">
        <v>179.66666666666666</v>
      </c>
      <c r="BK6" s="340">
        <v>449.16666666666669</v>
      </c>
      <c r="BL6" s="340">
        <v>628.83333333333337</v>
      </c>
      <c r="BM6" s="340">
        <v>191.16666666666666</v>
      </c>
      <c r="BN6" s="340">
        <v>477.91666666666669</v>
      </c>
      <c r="BO6" s="340">
        <v>669.08333333333337</v>
      </c>
      <c r="BP6" s="340">
        <v>203.16666666666666</v>
      </c>
      <c r="BQ6" s="340">
        <v>507.91666666666669</v>
      </c>
      <c r="BR6" s="340">
        <v>711.08333333333337</v>
      </c>
      <c r="BS6" s="340">
        <v>215.16666666666666</v>
      </c>
      <c r="BT6" s="340">
        <v>537.91666666666674</v>
      </c>
      <c r="BU6" s="340">
        <v>753.08333333333337</v>
      </c>
      <c r="BV6" s="340">
        <v>227.5</v>
      </c>
      <c r="BW6" s="340">
        <v>568.75</v>
      </c>
      <c r="BX6" s="340">
        <v>796.25</v>
      </c>
      <c r="BY6" s="340">
        <v>240</v>
      </c>
      <c r="BZ6" s="340">
        <v>600</v>
      </c>
      <c r="CA6" s="340">
        <v>840</v>
      </c>
      <c r="CB6" s="340">
        <v>252.83333333333334</v>
      </c>
      <c r="CC6" s="340">
        <v>632.08333333333337</v>
      </c>
      <c r="CD6" s="340">
        <v>884.91666666666674</v>
      </c>
      <c r="CE6" s="340">
        <v>266</v>
      </c>
      <c r="CF6" s="340">
        <v>665.00000000000011</v>
      </c>
      <c r="CG6" s="340">
        <v>931.00000000000011</v>
      </c>
      <c r="CH6" s="340">
        <v>279.16666666666669</v>
      </c>
      <c r="CI6" s="340">
        <v>697.91666666666674</v>
      </c>
      <c r="CJ6" s="340">
        <v>977.08333333333337</v>
      </c>
      <c r="CK6" s="340">
        <v>292.66666666666669</v>
      </c>
      <c r="CL6" s="340">
        <v>731.66666666666674</v>
      </c>
      <c r="CM6" s="340">
        <v>1024.3333333333335</v>
      </c>
    </row>
    <row r="7" spans="1:91" x14ac:dyDescent="0.25">
      <c r="A7" s="29" t="s">
        <v>22</v>
      </c>
      <c r="B7" s="30">
        <v>45</v>
      </c>
      <c r="C7" s="30">
        <v>50</v>
      </c>
      <c r="D7" s="30">
        <v>25</v>
      </c>
      <c r="E7" s="30">
        <v>50</v>
      </c>
      <c r="F7" s="30">
        <v>55</v>
      </c>
      <c r="G7" s="30">
        <v>28</v>
      </c>
      <c r="H7" s="30">
        <v>58</v>
      </c>
      <c r="I7" s="30">
        <v>65</v>
      </c>
      <c r="J7" s="30">
        <v>32</v>
      </c>
      <c r="K7" s="30">
        <v>68</v>
      </c>
      <c r="L7" s="30">
        <v>76</v>
      </c>
      <c r="M7" s="30">
        <v>38</v>
      </c>
      <c r="N7" s="30">
        <v>80</v>
      </c>
      <c r="O7" s="30">
        <v>89</v>
      </c>
      <c r="P7" s="30">
        <v>45</v>
      </c>
      <c r="Q7" s="30">
        <v>94</v>
      </c>
      <c r="R7" s="30">
        <v>104</v>
      </c>
      <c r="S7" s="30">
        <v>52</v>
      </c>
      <c r="T7" s="30">
        <v>108</v>
      </c>
      <c r="U7" s="30">
        <v>121</v>
      </c>
      <c r="V7" s="30">
        <v>60</v>
      </c>
      <c r="W7" s="30">
        <v>124</v>
      </c>
      <c r="X7" s="30">
        <v>138</v>
      </c>
      <c r="Y7" s="30">
        <v>69</v>
      </c>
      <c r="Z7" s="30">
        <v>141</v>
      </c>
      <c r="AA7" s="30">
        <v>157</v>
      </c>
      <c r="AB7" s="30">
        <v>78</v>
      </c>
      <c r="AC7" s="30">
        <v>159</v>
      </c>
      <c r="AD7" s="30">
        <v>176</v>
      </c>
      <c r="AE7" s="30">
        <v>88</v>
      </c>
      <c r="AF7" s="30">
        <v>177</v>
      </c>
      <c r="AG7" s="30">
        <v>197</v>
      </c>
      <c r="AH7" s="30">
        <v>99</v>
      </c>
      <c r="AI7" s="30">
        <v>197</v>
      </c>
      <c r="AJ7" s="30">
        <v>219</v>
      </c>
      <c r="AK7" s="30">
        <v>109</v>
      </c>
      <c r="AL7" s="30">
        <v>217</v>
      </c>
      <c r="AM7" s="30">
        <v>241</v>
      </c>
      <c r="AN7" s="30">
        <v>121</v>
      </c>
      <c r="AO7" s="30">
        <v>238</v>
      </c>
      <c r="AP7" s="30">
        <v>265</v>
      </c>
      <c r="AQ7" s="30">
        <v>132</v>
      </c>
      <c r="AR7" s="30">
        <v>260</v>
      </c>
      <c r="AS7" s="30">
        <v>289</v>
      </c>
      <c r="AT7" s="30">
        <v>144</v>
      </c>
      <c r="AU7" s="30">
        <v>282</v>
      </c>
      <c r="AV7" s="30">
        <v>314</v>
      </c>
      <c r="AW7" s="30">
        <v>157</v>
      </c>
      <c r="AX7" s="30">
        <v>305</v>
      </c>
      <c r="AY7" s="30">
        <v>339</v>
      </c>
      <c r="AZ7" s="30">
        <v>170</v>
      </c>
      <c r="BA7" s="30">
        <v>329</v>
      </c>
      <c r="BB7" s="30">
        <v>366</v>
      </c>
      <c r="BC7" s="30">
        <v>183</v>
      </c>
      <c r="BD7" s="30">
        <v>354</v>
      </c>
      <c r="BE7" s="30">
        <v>393</v>
      </c>
      <c r="BF7" s="30">
        <v>196</v>
      </c>
      <c r="BG7" s="30">
        <v>379</v>
      </c>
      <c r="BH7" s="30">
        <v>421</v>
      </c>
      <c r="BI7" s="30">
        <v>210</v>
      </c>
      <c r="BJ7" s="30">
        <v>404</v>
      </c>
      <c r="BK7" s="30">
        <v>449</v>
      </c>
      <c r="BL7" s="30">
        <v>225</v>
      </c>
      <c r="BM7" s="30">
        <v>430</v>
      </c>
      <c r="BN7" s="30">
        <v>478</v>
      </c>
      <c r="BO7" s="30">
        <v>239</v>
      </c>
      <c r="BP7" s="30">
        <v>457</v>
      </c>
      <c r="BQ7" s="30">
        <v>508</v>
      </c>
      <c r="BR7" s="30">
        <v>254</v>
      </c>
      <c r="BS7" s="30">
        <v>484</v>
      </c>
      <c r="BT7" s="30">
        <v>538</v>
      </c>
      <c r="BU7" s="30">
        <v>269</v>
      </c>
      <c r="BV7" s="30">
        <v>512</v>
      </c>
      <c r="BW7" s="30">
        <v>569</v>
      </c>
      <c r="BX7" s="30">
        <v>284</v>
      </c>
      <c r="BY7" s="30">
        <v>540</v>
      </c>
      <c r="BZ7" s="30">
        <v>600</v>
      </c>
      <c r="CA7" s="30">
        <v>300</v>
      </c>
      <c r="CB7" s="30">
        <v>569</v>
      </c>
      <c r="CC7" s="30">
        <v>632</v>
      </c>
      <c r="CD7" s="30">
        <v>316</v>
      </c>
      <c r="CE7" s="30">
        <v>598</v>
      </c>
      <c r="CF7" s="30">
        <v>665</v>
      </c>
      <c r="CG7" s="30">
        <v>332</v>
      </c>
      <c r="CH7" s="30">
        <v>628</v>
      </c>
      <c r="CI7" s="30">
        <v>698</v>
      </c>
      <c r="CJ7" s="30">
        <v>349</v>
      </c>
      <c r="CK7" s="30">
        <v>658</v>
      </c>
      <c r="CL7" s="30">
        <v>731</v>
      </c>
      <c r="CM7" s="30">
        <v>366</v>
      </c>
    </row>
    <row r="8" spans="1:91" x14ac:dyDescent="0.25">
      <c r="A8" s="29" t="s">
        <v>2291</v>
      </c>
      <c r="B8" s="340">
        <v>23</v>
      </c>
      <c r="C8" s="340">
        <v>18</v>
      </c>
      <c r="D8" s="340">
        <v>30</v>
      </c>
      <c r="E8" s="340">
        <v>25.3</v>
      </c>
      <c r="F8" s="340">
        <v>19.799999999999997</v>
      </c>
      <c r="G8" s="340">
        <v>33</v>
      </c>
      <c r="H8" s="340">
        <v>28.366666666666667</v>
      </c>
      <c r="I8" s="340">
        <v>22.2</v>
      </c>
      <c r="J8" s="340">
        <v>37</v>
      </c>
      <c r="K8" s="340">
        <v>32.966666666666669</v>
      </c>
      <c r="L8" s="340">
        <v>25.8</v>
      </c>
      <c r="M8" s="340">
        <v>43</v>
      </c>
      <c r="N8" s="340">
        <v>38.333333333333336</v>
      </c>
      <c r="O8" s="340">
        <v>30</v>
      </c>
      <c r="P8" s="340">
        <v>50</v>
      </c>
      <c r="Q8" s="340">
        <v>43.7</v>
      </c>
      <c r="R8" s="340">
        <v>34.200000000000003</v>
      </c>
      <c r="S8" s="340">
        <v>57</v>
      </c>
      <c r="T8" s="340">
        <v>49.833333333333336</v>
      </c>
      <c r="U8" s="340">
        <v>39</v>
      </c>
      <c r="V8" s="340">
        <v>65</v>
      </c>
      <c r="W8" s="340">
        <v>56.733333333333334</v>
      </c>
      <c r="X8" s="340">
        <v>44.4</v>
      </c>
      <c r="Y8" s="340">
        <v>74</v>
      </c>
      <c r="Z8" s="340">
        <v>63.63333333333334</v>
      </c>
      <c r="AA8" s="340">
        <v>49.8</v>
      </c>
      <c r="AB8" s="340">
        <v>83</v>
      </c>
      <c r="AC8" s="340">
        <v>70.533333333333346</v>
      </c>
      <c r="AD8" s="340">
        <v>55.2</v>
      </c>
      <c r="AE8" s="340">
        <v>92</v>
      </c>
      <c r="AF8" s="340">
        <v>78.2</v>
      </c>
      <c r="AG8" s="340">
        <v>61.2</v>
      </c>
      <c r="AH8" s="340">
        <v>102</v>
      </c>
      <c r="AI8" s="340">
        <v>86.63333333333334</v>
      </c>
      <c r="AJ8" s="340">
        <v>67.8</v>
      </c>
      <c r="AK8" s="340">
        <v>113</v>
      </c>
      <c r="AL8" s="340">
        <v>94.683333333333351</v>
      </c>
      <c r="AM8" s="340">
        <v>74.100000000000009</v>
      </c>
      <c r="AN8" s="340">
        <v>123.50000000000001</v>
      </c>
      <c r="AO8" s="340">
        <v>103.5</v>
      </c>
      <c r="AP8" s="340">
        <v>81</v>
      </c>
      <c r="AQ8" s="340">
        <v>135</v>
      </c>
      <c r="AR8" s="340">
        <v>112.7</v>
      </c>
      <c r="AS8" s="340">
        <v>88.199999999999989</v>
      </c>
      <c r="AT8" s="340">
        <v>147</v>
      </c>
      <c r="AU8" s="340">
        <v>121.9</v>
      </c>
      <c r="AV8" s="340">
        <v>95.4</v>
      </c>
      <c r="AW8" s="340">
        <v>159</v>
      </c>
      <c r="AX8" s="340">
        <v>131.1</v>
      </c>
      <c r="AY8" s="340">
        <v>102.6</v>
      </c>
      <c r="AZ8" s="340">
        <v>171</v>
      </c>
      <c r="BA8" s="340">
        <v>140.30000000000001</v>
      </c>
      <c r="BB8" s="340">
        <v>109.8</v>
      </c>
      <c r="BC8" s="340">
        <v>183</v>
      </c>
      <c r="BD8" s="340">
        <v>150.26666666666668</v>
      </c>
      <c r="BE8" s="340">
        <v>117.6</v>
      </c>
      <c r="BF8" s="340">
        <v>196</v>
      </c>
      <c r="BG8" s="340">
        <v>161</v>
      </c>
      <c r="BH8" s="340">
        <v>126</v>
      </c>
      <c r="BI8" s="340">
        <v>210</v>
      </c>
      <c r="BJ8" s="340">
        <v>170.96666666666667</v>
      </c>
      <c r="BK8" s="340">
        <v>133.79999999999998</v>
      </c>
      <c r="BL8" s="340">
        <v>223</v>
      </c>
      <c r="BM8" s="340">
        <v>181.7</v>
      </c>
      <c r="BN8" s="340">
        <v>142.19999999999999</v>
      </c>
      <c r="BO8" s="340">
        <v>237</v>
      </c>
      <c r="BP8" s="340">
        <v>192.81666666666669</v>
      </c>
      <c r="BQ8" s="340">
        <v>150.9</v>
      </c>
      <c r="BR8" s="340">
        <v>251.5</v>
      </c>
      <c r="BS8" s="340">
        <v>203.93333333333334</v>
      </c>
      <c r="BT8" s="340">
        <v>159.6</v>
      </c>
      <c r="BU8" s="340">
        <v>266</v>
      </c>
      <c r="BV8" s="340">
        <v>214.66666666666666</v>
      </c>
      <c r="BW8" s="340">
        <v>168</v>
      </c>
      <c r="BX8" s="340">
        <v>280</v>
      </c>
      <c r="BY8" s="340">
        <v>226.16666666666666</v>
      </c>
      <c r="BZ8" s="340">
        <v>177</v>
      </c>
      <c r="CA8" s="340">
        <v>295</v>
      </c>
      <c r="CB8" s="340">
        <v>238.43333333333334</v>
      </c>
      <c r="CC8" s="340">
        <v>186.6</v>
      </c>
      <c r="CD8" s="340">
        <v>311</v>
      </c>
      <c r="CE8" s="340">
        <v>249.93333333333334</v>
      </c>
      <c r="CF8" s="340">
        <v>195.6</v>
      </c>
      <c r="CG8" s="340">
        <v>326</v>
      </c>
      <c r="CH8" s="340">
        <v>262.2</v>
      </c>
      <c r="CI8" s="340">
        <v>205.2</v>
      </c>
      <c r="CJ8" s="340">
        <v>342</v>
      </c>
      <c r="CK8" s="340">
        <v>274.08333333333337</v>
      </c>
      <c r="CL8" s="340">
        <v>214.5</v>
      </c>
      <c r="CM8" s="340">
        <v>357.5</v>
      </c>
    </row>
    <row r="9" spans="1:91" x14ac:dyDescent="0.25">
      <c r="A9" s="29" t="s">
        <v>1938</v>
      </c>
      <c r="B9" s="340">
        <v>65</v>
      </c>
      <c r="C9" s="340">
        <v>55</v>
      </c>
      <c r="D9" s="340">
        <v>20</v>
      </c>
      <c r="E9" s="340">
        <v>71.5</v>
      </c>
      <c r="F9" s="340">
        <v>60.5</v>
      </c>
      <c r="G9" s="340">
        <v>22</v>
      </c>
      <c r="H9" s="340">
        <v>83.958333333333343</v>
      </c>
      <c r="I9" s="340">
        <v>71.041666666666671</v>
      </c>
      <c r="J9" s="340">
        <v>25.833333333333332</v>
      </c>
      <c r="K9" s="340">
        <v>98.583333333333343</v>
      </c>
      <c r="L9" s="340">
        <v>83.416666666666671</v>
      </c>
      <c r="M9" s="340">
        <v>30.333333333333332</v>
      </c>
      <c r="N9" s="340">
        <v>116.45833333333334</v>
      </c>
      <c r="O9" s="340">
        <v>98.541666666666671</v>
      </c>
      <c r="P9" s="340">
        <v>35.833333333333336</v>
      </c>
      <c r="Q9" s="340">
        <v>135.95833333333334</v>
      </c>
      <c r="R9" s="340">
        <v>115.04166666666669</v>
      </c>
      <c r="S9" s="340">
        <v>41.833333333333336</v>
      </c>
      <c r="T9" s="340">
        <v>156.54166666666669</v>
      </c>
      <c r="U9" s="340">
        <v>132.45833333333334</v>
      </c>
      <c r="V9" s="340">
        <v>48.166666666666664</v>
      </c>
      <c r="W9" s="340">
        <v>179.29166666666669</v>
      </c>
      <c r="X9" s="340">
        <v>151.70833333333334</v>
      </c>
      <c r="Y9" s="340">
        <v>55.166666666666664</v>
      </c>
      <c r="Z9" s="340">
        <v>203.66666666666669</v>
      </c>
      <c r="AA9" s="340">
        <v>172.33333333333334</v>
      </c>
      <c r="AB9" s="340">
        <v>62.666666666666664</v>
      </c>
      <c r="AC9" s="340">
        <v>229.66666666666669</v>
      </c>
      <c r="AD9" s="340">
        <v>194.33333333333334</v>
      </c>
      <c r="AE9" s="340">
        <v>70.666666666666671</v>
      </c>
      <c r="AF9" s="340">
        <v>256.20833333333337</v>
      </c>
      <c r="AG9" s="340">
        <v>216.79166666666669</v>
      </c>
      <c r="AH9" s="340">
        <v>78.833333333333329</v>
      </c>
      <c r="AI9" s="340">
        <v>283.83333333333337</v>
      </c>
      <c r="AJ9" s="340">
        <v>240.16666666666669</v>
      </c>
      <c r="AK9" s="340">
        <v>87.333333333333329</v>
      </c>
      <c r="AL9" s="340">
        <v>313.625</v>
      </c>
      <c r="AM9" s="340">
        <v>265.375</v>
      </c>
      <c r="AN9" s="340">
        <v>96.5</v>
      </c>
      <c r="AO9" s="340">
        <v>343.95833333333337</v>
      </c>
      <c r="AP9" s="340">
        <v>291.04166666666669</v>
      </c>
      <c r="AQ9" s="340">
        <v>105.83333333333333</v>
      </c>
      <c r="AR9" s="340">
        <v>374.83333333333337</v>
      </c>
      <c r="AS9" s="340">
        <v>317.16666666666669</v>
      </c>
      <c r="AT9" s="340">
        <v>115.33333333333333</v>
      </c>
      <c r="AU9" s="340">
        <v>407.33333333333337</v>
      </c>
      <c r="AV9" s="340">
        <v>344.66666666666669</v>
      </c>
      <c r="AW9" s="340">
        <v>125.33333333333333</v>
      </c>
      <c r="AX9" s="340">
        <v>441.45833333333337</v>
      </c>
      <c r="AY9" s="340">
        <v>373.54166666666669</v>
      </c>
      <c r="AZ9" s="340">
        <v>135.83333333333334</v>
      </c>
      <c r="BA9" s="340">
        <v>475.04166666666674</v>
      </c>
      <c r="BB9" s="340">
        <v>401.95833333333337</v>
      </c>
      <c r="BC9" s="340">
        <v>146.16666666666666</v>
      </c>
      <c r="BD9" s="340">
        <v>510.79166666666674</v>
      </c>
      <c r="BE9" s="340">
        <v>432.20833333333337</v>
      </c>
      <c r="BF9" s="340">
        <v>157.16666666666666</v>
      </c>
      <c r="BG9" s="340">
        <v>546.54166666666674</v>
      </c>
      <c r="BH9" s="340">
        <v>462.45833333333337</v>
      </c>
      <c r="BI9" s="340">
        <v>168.16666666666666</v>
      </c>
      <c r="BJ9" s="340">
        <v>583.91666666666674</v>
      </c>
      <c r="BK9" s="340">
        <v>494.08333333333337</v>
      </c>
      <c r="BL9" s="340">
        <v>179.66666666666666</v>
      </c>
      <c r="BM9" s="340">
        <v>621.29166666666674</v>
      </c>
      <c r="BN9" s="340">
        <v>525.70833333333337</v>
      </c>
      <c r="BO9" s="340">
        <v>191.16666666666666</v>
      </c>
      <c r="BP9" s="340">
        <v>660.29166666666674</v>
      </c>
      <c r="BQ9" s="340">
        <v>558.70833333333337</v>
      </c>
      <c r="BR9" s="340">
        <v>203.16666666666666</v>
      </c>
      <c r="BS9" s="340">
        <v>699.29166666666674</v>
      </c>
      <c r="BT9" s="340">
        <v>591.70833333333337</v>
      </c>
      <c r="BU9" s="340">
        <v>215.16666666666666</v>
      </c>
      <c r="BV9" s="340">
        <v>739.375</v>
      </c>
      <c r="BW9" s="340">
        <v>625.625</v>
      </c>
      <c r="BX9" s="340">
        <v>227.5</v>
      </c>
      <c r="BY9" s="340">
        <v>780</v>
      </c>
      <c r="BZ9" s="340">
        <v>660</v>
      </c>
      <c r="CA9" s="340">
        <v>240</v>
      </c>
      <c r="CB9" s="340">
        <v>821.70833333333348</v>
      </c>
      <c r="CC9" s="340">
        <v>695.29166666666674</v>
      </c>
      <c r="CD9" s="340">
        <v>252.83333333333334</v>
      </c>
      <c r="CE9" s="340">
        <v>864.50000000000011</v>
      </c>
      <c r="CF9" s="340">
        <v>731.50000000000011</v>
      </c>
      <c r="CG9" s="340">
        <v>266</v>
      </c>
      <c r="CH9" s="340">
        <v>907.29166666666674</v>
      </c>
      <c r="CI9" s="340">
        <v>767.70833333333337</v>
      </c>
      <c r="CJ9" s="340">
        <v>279.16666666666669</v>
      </c>
      <c r="CK9" s="340">
        <v>951.16666666666686</v>
      </c>
      <c r="CL9" s="340">
        <v>804.83333333333348</v>
      </c>
      <c r="CM9" s="340">
        <v>292.66666666666669</v>
      </c>
    </row>
    <row r="10" spans="1:91" x14ac:dyDescent="0.25">
      <c r="A10" s="29" t="s">
        <v>43</v>
      </c>
      <c r="B10" s="30">
        <v>100</v>
      </c>
      <c r="C10" s="30">
        <v>10</v>
      </c>
      <c r="D10" s="30">
        <v>10</v>
      </c>
      <c r="E10" s="30">
        <v>111</v>
      </c>
      <c r="F10" s="30">
        <v>11</v>
      </c>
      <c r="G10" s="30">
        <v>11</v>
      </c>
      <c r="H10" s="30">
        <v>129</v>
      </c>
      <c r="I10" s="30">
        <v>13</v>
      </c>
      <c r="J10" s="30">
        <v>13</v>
      </c>
      <c r="K10" s="30">
        <v>152</v>
      </c>
      <c r="L10" s="30">
        <v>15</v>
      </c>
      <c r="M10" s="30">
        <v>15</v>
      </c>
      <c r="N10" s="30">
        <v>179</v>
      </c>
      <c r="O10" s="30">
        <v>18</v>
      </c>
      <c r="P10" s="30">
        <v>18</v>
      </c>
      <c r="Q10" s="30">
        <v>208</v>
      </c>
      <c r="R10" s="30">
        <v>21</v>
      </c>
      <c r="S10" s="30">
        <v>21</v>
      </c>
      <c r="T10" s="30">
        <v>241</v>
      </c>
      <c r="U10" s="30">
        <v>24</v>
      </c>
      <c r="V10" s="30">
        <v>24</v>
      </c>
      <c r="W10" s="30">
        <v>276</v>
      </c>
      <c r="X10" s="30">
        <v>28</v>
      </c>
      <c r="Y10" s="30">
        <v>28</v>
      </c>
      <c r="Z10" s="30">
        <v>313</v>
      </c>
      <c r="AA10" s="30">
        <v>31</v>
      </c>
      <c r="AB10" s="30">
        <v>31</v>
      </c>
      <c r="AC10" s="30">
        <v>353</v>
      </c>
      <c r="AD10" s="30">
        <v>35</v>
      </c>
      <c r="AE10" s="30">
        <v>35</v>
      </c>
      <c r="AF10" s="30">
        <v>394</v>
      </c>
      <c r="AG10" s="30">
        <v>39</v>
      </c>
      <c r="AH10" s="30">
        <v>39</v>
      </c>
      <c r="AI10" s="30">
        <v>437</v>
      </c>
      <c r="AJ10" s="30">
        <v>44</v>
      </c>
      <c r="AK10" s="30">
        <v>44</v>
      </c>
      <c r="AL10" s="30">
        <v>482</v>
      </c>
      <c r="AM10" s="30">
        <v>48</v>
      </c>
      <c r="AN10" s="30">
        <v>48</v>
      </c>
      <c r="AO10" s="30">
        <v>529</v>
      </c>
      <c r="AP10" s="30">
        <v>53</v>
      </c>
      <c r="AQ10" s="30">
        <v>53</v>
      </c>
      <c r="AR10" s="30">
        <v>577</v>
      </c>
      <c r="AS10" s="30">
        <v>58</v>
      </c>
      <c r="AT10" s="30">
        <v>58</v>
      </c>
      <c r="AU10" s="30">
        <v>627</v>
      </c>
      <c r="AV10" s="30">
        <v>63</v>
      </c>
      <c r="AW10" s="30">
        <v>63</v>
      </c>
      <c r="AX10" s="30">
        <v>679</v>
      </c>
      <c r="AY10" s="30">
        <v>68</v>
      </c>
      <c r="AZ10" s="30">
        <v>68</v>
      </c>
      <c r="BA10" s="30">
        <v>731</v>
      </c>
      <c r="BB10" s="30">
        <v>73</v>
      </c>
      <c r="BC10" s="30">
        <v>73</v>
      </c>
      <c r="BD10" s="30">
        <v>786</v>
      </c>
      <c r="BE10" s="30">
        <v>79</v>
      </c>
      <c r="BF10" s="30">
        <v>79</v>
      </c>
      <c r="BG10" s="30">
        <v>841</v>
      </c>
      <c r="BH10" s="30">
        <v>84</v>
      </c>
      <c r="BI10" s="30">
        <v>84</v>
      </c>
      <c r="BJ10" s="30">
        <v>898</v>
      </c>
      <c r="BK10" s="30">
        <v>90</v>
      </c>
      <c r="BL10" s="30">
        <v>90</v>
      </c>
      <c r="BM10" s="30">
        <v>956</v>
      </c>
      <c r="BN10" s="30">
        <v>96</v>
      </c>
      <c r="BO10" s="30">
        <v>96</v>
      </c>
      <c r="BP10" s="30">
        <v>1015</v>
      </c>
      <c r="BQ10" s="30">
        <v>102</v>
      </c>
      <c r="BR10" s="30">
        <v>102</v>
      </c>
      <c r="BS10" s="30">
        <v>1076</v>
      </c>
      <c r="BT10" s="30">
        <v>108</v>
      </c>
      <c r="BU10" s="30">
        <v>108</v>
      </c>
      <c r="BV10" s="30">
        <v>1138</v>
      </c>
      <c r="BW10" s="30">
        <v>114</v>
      </c>
      <c r="BX10" s="30">
        <v>114</v>
      </c>
      <c r="BY10" s="30">
        <v>1200</v>
      </c>
      <c r="BZ10" s="30">
        <v>120</v>
      </c>
      <c r="CA10" s="30">
        <v>120</v>
      </c>
      <c r="CB10" s="30">
        <v>1264</v>
      </c>
      <c r="CC10" s="30">
        <v>126</v>
      </c>
      <c r="CD10" s="30">
        <v>126</v>
      </c>
      <c r="CE10" s="30">
        <v>1329</v>
      </c>
      <c r="CF10" s="30">
        <v>133</v>
      </c>
      <c r="CG10" s="30">
        <v>133</v>
      </c>
      <c r="CH10" s="30">
        <v>1395</v>
      </c>
      <c r="CI10" s="30">
        <v>140</v>
      </c>
      <c r="CJ10" s="30">
        <v>140</v>
      </c>
      <c r="CK10" s="30">
        <v>1463</v>
      </c>
      <c r="CL10" s="30">
        <v>146</v>
      </c>
      <c r="CM10" s="30">
        <v>146</v>
      </c>
    </row>
    <row r="11" spans="1:91" x14ac:dyDescent="0.25">
      <c r="A11" s="29" t="s">
        <v>2293</v>
      </c>
      <c r="B11" s="340">
        <v>168</v>
      </c>
      <c r="C11" s="340">
        <v>48</v>
      </c>
      <c r="D11" s="340">
        <v>120</v>
      </c>
      <c r="E11" s="340">
        <v>182</v>
      </c>
      <c r="F11" s="340">
        <v>52</v>
      </c>
      <c r="G11" s="340">
        <v>130</v>
      </c>
      <c r="H11" s="340">
        <v>205.91666666666669</v>
      </c>
      <c r="I11" s="340">
        <v>58.833333333333336</v>
      </c>
      <c r="J11" s="340">
        <v>147.08333333333334</v>
      </c>
      <c r="K11" s="340">
        <v>234.50000000000003</v>
      </c>
      <c r="L11" s="340">
        <v>67</v>
      </c>
      <c r="M11" s="340">
        <v>167.50000000000003</v>
      </c>
      <c r="N11" s="340">
        <v>268.33333333333337</v>
      </c>
      <c r="O11" s="340">
        <v>76.666666666666671</v>
      </c>
      <c r="P11" s="340">
        <v>191.66666666666669</v>
      </c>
      <c r="Q11" s="340">
        <v>304.5</v>
      </c>
      <c r="R11" s="340">
        <v>87</v>
      </c>
      <c r="S11" s="340">
        <v>217.5</v>
      </c>
      <c r="T11" s="340">
        <v>344.16666666666669</v>
      </c>
      <c r="U11" s="340">
        <v>98.333333333333329</v>
      </c>
      <c r="V11" s="340">
        <v>245.83333333333334</v>
      </c>
      <c r="W11" s="340">
        <v>386.16666666666669</v>
      </c>
      <c r="X11" s="340">
        <v>110.33333333333333</v>
      </c>
      <c r="Y11" s="340">
        <v>275.83333333333337</v>
      </c>
      <c r="Z11" s="340">
        <v>431.66666666666669</v>
      </c>
      <c r="AA11" s="340">
        <v>123.33333333333333</v>
      </c>
      <c r="AB11" s="340">
        <v>308.33333333333337</v>
      </c>
      <c r="AC11" s="340">
        <v>478.91666666666669</v>
      </c>
      <c r="AD11" s="340">
        <v>136.83333333333334</v>
      </c>
      <c r="AE11" s="340">
        <v>342.08333333333337</v>
      </c>
      <c r="AF11" s="340">
        <v>528.5</v>
      </c>
      <c r="AG11" s="340">
        <v>151</v>
      </c>
      <c r="AH11" s="340">
        <v>377.5</v>
      </c>
      <c r="AI11" s="340">
        <v>579.83333333333337</v>
      </c>
      <c r="AJ11" s="340">
        <v>165.66666666666666</v>
      </c>
      <c r="AK11" s="340">
        <v>414.16666666666669</v>
      </c>
      <c r="AL11" s="340">
        <v>632.91666666666674</v>
      </c>
      <c r="AM11" s="340">
        <v>180.83333333333334</v>
      </c>
      <c r="AN11" s="340">
        <v>452.08333333333337</v>
      </c>
      <c r="AO11" s="340">
        <v>688.33333333333337</v>
      </c>
      <c r="AP11" s="340">
        <v>196.66666666666666</v>
      </c>
      <c r="AQ11" s="340">
        <v>491.66666666666669</v>
      </c>
      <c r="AR11" s="340">
        <v>744.91666666666674</v>
      </c>
      <c r="AS11" s="340">
        <v>212.83333333333334</v>
      </c>
      <c r="AT11" s="340">
        <v>532.08333333333337</v>
      </c>
      <c r="AU11" s="340">
        <v>803.83333333333337</v>
      </c>
      <c r="AV11" s="340">
        <v>229.66666666666666</v>
      </c>
      <c r="AW11" s="340">
        <v>574.16666666666674</v>
      </c>
      <c r="AX11" s="340">
        <v>863.33333333333337</v>
      </c>
      <c r="AY11" s="340">
        <v>246.66666666666666</v>
      </c>
      <c r="AZ11" s="340">
        <v>616.66666666666674</v>
      </c>
      <c r="BA11" s="340">
        <v>925.16666666666674</v>
      </c>
      <c r="BB11" s="340">
        <v>264.33333333333331</v>
      </c>
      <c r="BC11" s="340">
        <v>660.83333333333337</v>
      </c>
      <c r="BD11" s="340">
        <v>988.16666666666674</v>
      </c>
      <c r="BE11" s="340">
        <v>282.33333333333331</v>
      </c>
      <c r="BF11" s="340">
        <v>705.83333333333337</v>
      </c>
      <c r="BG11" s="340">
        <v>1052.3333333333335</v>
      </c>
      <c r="BH11" s="340">
        <v>300.66666666666669</v>
      </c>
      <c r="BI11" s="340">
        <v>751.66666666666674</v>
      </c>
      <c r="BJ11" s="340">
        <v>1118.8333333333335</v>
      </c>
      <c r="BK11" s="340">
        <v>319.66666666666669</v>
      </c>
      <c r="BL11" s="340">
        <v>799.16666666666674</v>
      </c>
      <c r="BM11" s="340">
        <v>1185.3333333333335</v>
      </c>
      <c r="BN11" s="340">
        <v>338.66666666666669</v>
      </c>
      <c r="BO11" s="340">
        <v>846.66666666666674</v>
      </c>
      <c r="BP11" s="340">
        <v>1254.1666666666667</v>
      </c>
      <c r="BQ11" s="340">
        <v>358.33333333333331</v>
      </c>
      <c r="BR11" s="340">
        <v>895.83333333333337</v>
      </c>
      <c r="BS11" s="340">
        <v>1323.5833333333335</v>
      </c>
      <c r="BT11" s="340">
        <v>378.16666666666669</v>
      </c>
      <c r="BU11" s="340">
        <v>945.41666666666674</v>
      </c>
      <c r="BV11" s="340">
        <v>1394.1666666666667</v>
      </c>
      <c r="BW11" s="340">
        <v>398.33333333333331</v>
      </c>
      <c r="BX11" s="340">
        <v>995.83333333333337</v>
      </c>
      <c r="BY11" s="340">
        <v>1466.5</v>
      </c>
      <c r="BZ11" s="340">
        <v>419</v>
      </c>
      <c r="CA11" s="340">
        <v>1047.5</v>
      </c>
      <c r="CB11" s="340">
        <v>1540</v>
      </c>
      <c r="CC11" s="340">
        <v>440</v>
      </c>
      <c r="CD11" s="340">
        <v>1100</v>
      </c>
      <c r="CE11" s="340">
        <v>1614.6666666666667</v>
      </c>
      <c r="CF11" s="340">
        <v>461.33333333333331</v>
      </c>
      <c r="CG11" s="340">
        <v>1153.3333333333335</v>
      </c>
      <c r="CH11" s="340">
        <v>1690.5</v>
      </c>
      <c r="CI11" s="340">
        <v>483</v>
      </c>
      <c r="CJ11" s="340">
        <v>1207.5</v>
      </c>
      <c r="CK11" s="340">
        <v>1766.9166666666667</v>
      </c>
      <c r="CL11" s="340">
        <v>504.83333333333331</v>
      </c>
      <c r="CM11" s="340">
        <v>1262.0833333333335</v>
      </c>
    </row>
    <row r="12" spans="1:91" x14ac:dyDescent="0.25">
      <c r="A12" s="29" t="s">
        <v>1939</v>
      </c>
      <c r="B12" s="340">
        <v>40</v>
      </c>
      <c r="C12" s="340">
        <v>85</v>
      </c>
      <c r="D12" s="340">
        <v>15</v>
      </c>
      <c r="E12" s="340">
        <v>44</v>
      </c>
      <c r="F12" s="340">
        <v>93.499999999999986</v>
      </c>
      <c r="G12" s="340">
        <v>16.5</v>
      </c>
      <c r="H12" s="340">
        <v>51.666666666666664</v>
      </c>
      <c r="I12" s="340">
        <v>109.79166666666666</v>
      </c>
      <c r="J12" s="340">
        <v>19.375</v>
      </c>
      <c r="K12" s="340">
        <v>60.666666666666664</v>
      </c>
      <c r="L12" s="340">
        <v>128.91666666666666</v>
      </c>
      <c r="M12" s="340">
        <v>22.75</v>
      </c>
      <c r="N12" s="340">
        <v>71.666666666666671</v>
      </c>
      <c r="O12" s="340">
        <v>152.29166666666666</v>
      </c>
      <c r="P12" s="340">
        <v>26.875</v>
      </c>
      <c r="Q12" s="340">
        <v>83.666666666666671</v>
      </c>
      <c r="R12" s="340">
        <v>177.79166666666669</v>
      </c>
      <c r="S12" s="340">
        <v>31.375000000000004</v>
      </c>
      <c r="T12" s="340">
        <v>96.333333333333329</v>
      </c>
      <c r="U12" s="340">
        <v>204.70833333333334</v>
      </c>
      <c r="V12" s="340">
        <v>36.125</v>
      </c>
      <c r="W12" s="340">
        <v>110.33333333333333</v>
      </c>
      <c r="X12" s="340">
        <v>234.45833333333331</v>
      </c>
      <c r="Y12" s="340">
        <v>41.375</v>
      </c>
      <c r="Z12" s="340">
        <v>125.33333333333333</v>
      </c>
      <c r="AA12" s="340">
        <v>266.33333333333331</v>
      </c>
      <c r="AB12" s="340">
        <v>47</v>
      </c>
      <c r="AC12" s="340">
        <v>141.33333333333334</v>
      </c>
      <c r="AD12" s="340">
        <v>300.33333333333331</v>
      </c>
      <c r="AE12" s="340">
        <v>53</v>
      </c>
      <c r="AF12" s="340">
        <v>157.66666666666666</v>
      </c>
      <c r="AG12" s="340">
        <v>335.04166666666669</v>
      </c>
      <c r="AH12" s="340">
        <v>59.125</v>
      </c>
      <c r="AI12" s="340">
        <v>174.66666666666666</v>
      </c>
      <c r="AJ12" s="340">
        <v>371.16666666666669</v>
      </c>
      <c r="AK12" s="340">
        <v>65.5</v>
      </c>
      <c r="AL12" s="340">
        <v>193</v>
      </c>
      <c r="AM12" s="340">
        <v>410.12499999999994</v>
      </c>
      <c r="AN12" s="340">
        <v>72.375</v>
      </c>
      <c r="AO12" s="340">
        <v>211.66666666666666</v>
      </c>
      <c r="AP12" s="340">
        <v>449.79166666666663</v>
      </c>
      <c r="AQ12" s="340">
        <v>79.375</v>
      </c>
      <c r="AR12" s="340">
        <v>230.66666666666666</v>
      </c>
      <c r="AS12" s="340">
        <v>490.16666666666663</v>
      </c>
      <c r="AT12" s="340">
        <v>86.5</v>
      </c>
      <c r="AU12" s="340">
        <v>250.66666666666666</v>
      </c>
      <c r="AV12" s="340">
        <v>532.66666666666663</v>
      </c>
      <c r="AW12" s="340">
        <v>94</v>
      </c>
      <c r="AX12" s="340">
        <v>271.66666666666669</v>
      </c>
      <c r="AY12" s="340">
        <v>577.29166666666663</v>
      </c>
      <c r="AZ12" s="340">
        <v>101.875</v>
      </c>
      <c r="BA12" s="340">
        <v>292.33333333333331</v>
      </c>
      <c r="BB12" s="340">
        <v>621.20833333333337</v>
      </c>
      <c r="BC12" s="340">
        <v>109.625</v>
      </c>
      <c r="BD12" s="340">
        <v>314.33333333333331</v>
      </c>
      <c r="BE12" s="340">
        <v>667.95833333333337</v>
      </c>
      <c r="BF12" s="340">
        <v>117.875</v>
      </c>
      <c r="BG12" s="340">
        <v>336.33333333333331</v>
      </c>
      <c r="BH12" s="340">
        <v>714.70833333333337</v>
      </c>
      <c r="BI12" s="340">
        <v>126.125</v>
      </c>
      <c r="BJ12" s="340">
        <v>359.33333333333331</v>
      </c>
      <c r="BK12" s="340">
        <v>763.58333333333337</v>
      </c>
      <c r="BL12" s="340">
        <v>134.75</v>
      </c>
      <c r="BM12" s="340">
        <v>382.33333333333331</v>
      </c>
      <c r="BN12" s="340">
        <v>812.45833333333337</v>
      </c>
      <c r="BO12" s="340">
        <v>143.375</v>
      </c>
      <c r="BP12" s="340">
        <v>406.33333333333331</v>
      </c>
      <c r="BQ12" s="340">
        <v>863.45833333333326</v>
      </c>
      <c r="BR12" s="340">
        <v>152.375</v>
      </c>
      <c r="BS12" s="340">
        <v>430.33333333333331</v>
      </c>
      <c r="BT12" s="340">
        <v>914.45833333333326</v>
      </c>
      <c r="BU12" s="340">
        <v>161.375</v>
      </c>
      <c r="BV12" s="340">
        <v>455</v>
      </c>
      <c r="BW12" s="340">
        <v>966.87499999999989</v>
      </c>
      <c r="BX12" s="340">
        <v>170.625</v>
      </c>
      <c r="BY12" s="340">
        <v>480</v>
      </c>
      <c r="BZ12" s="340">
        <v>1019.9999999999999</v>
      </c>
      <c r="CA12" s="340">
        <v>180</v>
      </c>
      <c r="CB12" s="340">
        <v>505.66666666666669</v>
      </c>
      <c r="CC12" s="340">
        <v>1074.5416666666667</v>
      </c>
      <c r="CD12" s="340">
        <v>189.625</v>
      </c>
      <c r="CE12" s="340">
        <v>532</v>
      </c>
      <c r="CF12" s="340">
        <v>1130.5</v>
      </c>
      <c r="CG12" s="340">
        <v>199.5</v>
      </c>
      <c r="CH12" s="340">
        <v>558.33333333333337</v>
      </c>
      <c r="CI12" s="340">
        <v>1186.4583333333333</v>
      </c>
      <c r="CJ12" s="340">
        <v>209.375</v>
      </c>
      <c r="CK12" s="340">
        <v>585.33333333333337</v>
      </c>
      <c r="CL12" s="340">
        <v>1243.8333333333335</v>
      </c>
      <c r="CM12" s="340">
        <v>219.50000000000003</v>
      </c>
    </row>
    <row r="13" spans="1:91" x14ac:dyDescent="0.25">
      <c r="A13" s="29" t="s">
        <v>731</v>
      </c>
      <c r="B13" s="30">
        <v>20</v>
      </c>
      <c r="C13" s="30">
        <v>50</v>
      </c>
      <c r="D13" s="30">
        <v>50</v>
      </c>
      <c r="E13" s="30">
        <v>22</v>
      </c>
      <c r="F13" s="30">
        <v>55</v>
      </c>
      <c r="G13" s="30">
        <v>55</v>
      </c>
      <c r="H13" s="30">
        <v>26</v>
      </c>
      <c r="I13" s="30">
        <v>65</v>
      </c>
      <c r="J13" s="30">
        <v>65</v>
      </c>
      <c r="K13" s="30">
        <v>30</v>
      </c>
      <c r="L13" s="30">
        <v>76</v>
      </c>
      <c r="M13" s="30">
        <v>76</v>
      </c>
      <c r="N13" s="30">
        <v>36</v>
      </c>
      <c r="O13" s="30">
        <v>89</v>
      </c>
      <c r="P13" s="30">
        <v>89</v>
      </c>
      <c r="Q13" s="30">
        <v>42</v>
      </c>
      <c r="R13" s="30">
        <v>104</v>
      </c>
      <c r="S13" s="30">
        <v>104</v>
      </c>
      <c r="T13" s="30">
        <v>48</v>
      </c>
      <c r="U13" s="30">
        <v>121</v>
      </c>
      <c r="V13" s="30">
        <v>121</v>
      </c>
      <c r="W13" s="30">
        <v>55</v>
      </c>
      <c r="X13" s="30">
        <v>138</v>
      </c>
      <c r="Y13" s="30">
        <v>138</v>
      </c>
      <c r="Z13" s="30">
        <v>63</v>
      </c>
      <c r="AA13" s="30">
        <v>157</v>
      </c>
      <c r="AB13" s="30">
        <v>157</v>
      </c>
      <c r="AC13" s="30">
        <v>71</v>
      </c>
      <c r="AD13" s="30">
        <v>176</v>
      </c>
      <c r="AE13" s="30">
        <v>176</v>
      </c>
      <c r="AF13" s="30">
        <v>79</v>
      </c>
      <c r="AG13" s="30">
        <v>197</v>
      </c>
      <c r="AH13" s="30">
        <v>197</v>
      </c>
      <c r="AI13" s="30">
        <v>87</v>
      </c>
      <c r="AJ13" s="30">
        <v>219</v>
      </c>
      <c r="AK13" s="30">
        <v>219</v>
      </c>
      <c r="AL13" s="30">
        <v>96</v>
      </c>
      <c r="AM13" s="30">
        <v>241</v>
      </c>
      <c r="AN13" s="30">
        <v>241</v>
      </c>
      <c r="AO13" s="30">
        <v>106</v>
      </c>
      <c r="AP13" s="30">
        <v>265</v>
      </c>
      <c r="AQ13" s="30">
        <v>265</v>
      </c>
      <c r="AR13" s="30">
        <v>115</v>
      </c>
      <c r="AS13" s="30">
        <v>289</v>
      </c>
      <c r="AT13" s="30">
        <v>289</v>
      </c>
      <c r="AU13" s="30">
        <v>125</v>
      </c>
      <c r="AV13" s="30">
        <v>314</v>
      </c>
      <c r="AW13" s="30">
        <v>314</v>
      </c>
      <c r="AX13" s="30">
        <v>136</v>
      </c>
      <c r="AY13" s="30">
        <v>339</v>
      </c>
      <c r="AZ13" s="30">
        <v>339</v>
      </c>
      <c r="BA13" s="30">
        <v>146</v>
      </c>
      <c r="BB13" s="30">
        <v>366</v>
      </c>
      <c r="BC13" s="30">
        <v>366</v>
      </c>
      <c r="BD13" s="30">
        <v>157</v>
      </c>
      <c r="BE13" s="30">
        <v>393</v>
      </c>
      <c r="BF13" s="30">
        <v>393</v>
      </c>
      <c r="BG13" s="30">
        <v>168</v>
      </c>
      <c r="BH13" s="30">
        <v>421</v>
      </c>
      <c r="BI13" s="30">
        <v>421</v>
      </c>
      <c r="BJ13" s="30">
        <v>180</v>
      </c>
      <c r="BK13" s="30">
        <v>449</v>
      </c>
      <c r="BL13" s="30">
        <v>449</v>
      </c>
      <c r="BM13" s="30">
        <v>191</v>
      </c>
      <c r="BN13" s="30">
        <v>478</v>
      </c>
      <c r="BO13" s="30">
        <v>478</v>
      </c>
      <c r="BP13" s="30">
        <v>203</v>
      </c>
      <c r="BQ13" s="30">
        <v>508</v>
      </c>
      <c r="BR13" s="30">
        <v>508</v>
      </c>
      <c r="BS13" s="30">
        <v>215</v>
      </c>
      <c r="BT13" s="30">
        <v>538</v>
      </c>
      <c r="BU13" s="30">
        <v>538</v>
      </c>
      <c r="BV13" s="30">
        <v>228</v>
      </c>
      <c r="BW13" s="30">
        <v>569</v>
      </c>
      <c r="BX13" s="30">
        <v>569</v>
      </c>
      <c r="BY13" s="30">
        <v>240</v>
      </c>
      <c r="BZ13" s="30">
        <v>600</v>
      </c>
      <c r="CA13" s="30">
        <v>600</v>
      </c>
      <c r="CB13" s="30">
        <v>253</v>
      </c>
      <c r="CC13" s="30">
        <v>632</v>
      </c>
      <c r="CD13" s="30">
        <v>632</v>
      </c>
      <c r="CE13" s="30">
        <v>266</v>
      </c>
      <c r="CF13" s="30">
        <v>665</v>
      </c>
      <c r="CG13" s="30">
        <v>665</v>
      </c>
      <c r="CH13" s="30">
        <v>279</v>
      </c>
      <c r="CI13" s="30">
        <v>698</v>
      </c>
      <c r="CJ13" s="30">
        <v>698</v>
      </c>
      <c r="CK13" s="30">
        <v>293</v>
      </c>
      <c r="CL13" s="30">
        <v>731</v>
      </c>
      <c r="CM13" s="30">
        <v>731</v>
      </c>
    </row>
    <row r="14" spans="1:91" x14ac:dyDescent="0.25">
      <c r="A14" s="29" t="s">
        <v>44</v>
      </c>
      <c r="B14" s="30">
        <v>20</v>
      </c>
      <c r="C14" s="30">
        <v>45</v>
      </c>
      <c r="D14" s="30">
        <v>55</v>
      </c>
      <c r="E14" s="30">
        <v>22</v>
      </c>
      <c r="F14" s="30">
        <v>50</v>
      </c>
      <c r="G14" s="30">
        <v>61</v>
      </c>
      <c r="H14" s="30">
        <v>26</v>
      </c>
      <c r="I14" s="30">
        <v>58</v>
      </c>
      <c r="J14" s="30">
        <v>71</v>
      </c>
      <c r="K14" s="30">
        <v>30</v>
      </c>
      <c r="L14" s="30">
        <v>68</v>
      </c>
      <c r="M14" s="30">
        <v>84</v>
      </c>
      <c r="N14" s="30">
        <v>36</v>
      </c>
      <c r="O14" s="30">
        <v>80</v>
      </c>
      <c r="P14" s="30">
        <v>98</v>
      </c>
      <c r="Q14" s="30">
        <v>42</v>
      </c>
      <c r="R14" s="30">
        <v>94</v>
      </c>
      <c r="S14" s="30">
        <v>115</v>
      </c>
      <c r="T14" s="30">
        <v>48</v>
      </c>
      <c r="U14" s="30">
        <v>108</v>
      </c>
      <c r="V14" s="30">
        <v>133</v>
      </c>
      <c r="W14" s="30">
        <v>55</v>
      </c>
      <c r="X14" s="30">
        <v>124</v>
      </c>
      <c r="Y14" s="30">
        <v>152</v>
      </c>
      <c r="Z14" s="30">
        <v>63</v>
      </c>
      <c r="AA14" s="30">
        <v>141</v>
      </c>
      <c r="AB14" s="30">
        <v>172</v>
      </c>
      <c r="AC14" s="30">
        <v>71</v>
      </c>
      <c r="AD14" s="30">
        <v>159</v>
      </c>
      <c r="AE14" s="30">
        <v>194</v>
      </c>
      <c r="AF14" s="30">
        <v>79</v>
      </c>
      <c r="AG14" s="30">
        <v>177</v>
      </c>
      <c r="AH14" s="30">
        <v>217</v>
      </c>
      <c r="AI14" s="30">
        <v>87</v>
      </c>
      <c r="AJ14" s="30">
        <v>197</v>
      </c>
      <c r="AK14" s="30">
        <v>241</v>
      </c>
      <c r="AL14" s="30">
        <v>96</v>
      </c>
      <c r="AM14" s="30">
        <v>217</v>
      </c>
      <c r="AN14" s="30">
        <v>265</v>
      </c>
      <c r="AO14" s="30">
        <v>106</v>
      </c>
      <c r="AP14" s="30">
        <v>238</v>
      </c>
      <c r="AQ14" s="30">
        <v>291</v>
      </c>
      <c r="AR14" s="30">
        <v>115</v>
      </c>
      <c r="AS14" s="30">
        <v>260</v>
      </c>
      <c r="AT14" s="30">
        <v>318</v>
      </c>
      <c r="AU14" s="30">
        <v>125</v>
      </c>
      <c r="AV14" s="30">
        <v>282</v>
      </c>
      <c r="AW14" s="30">
        <v>345</v>
      </c>
      <c r="AX14" s="30">
        <v>136</v>
      </c>
      <c r="AY14" s="30">
        <v>305</v>
      </c>
      <c r="AZ14" s="30">
        <v>373</v>
      </c>
      <c r="BA14" s="30">
        <v>146</v>
      </c>
      <c r="BB14" s="30">
        <v>329</v>
      </c>
      <c r="BC14" s="30">
        <v>402</v>
      </c>
      <c r="BD14" s="30">
        <v>157</v>
      </c>
      <c r="BE14" s="30">
        <v>354</v>
      </c>
      <c r="BF14" s="30">
        <v>432</v>
      </c>
      <c r="BG14" s="30">
        <v>168</v>
      </c>
      <c r="BH14" s="30">
        <v>379</v>
      </c>
      <c r="BI14" s="30">
        <v>463</v>
      </c>
      <c r="BJ14" s="30">
        <v>180</v>
      </c>
      <c r="BK14" s="30">
        <v>404</v>
      </c>
      <c r="BL14" s="30">
        <v>494</v>
      </c>
      <c r="BM14" s="30">
        <v>191</v>
      </c>
      <c r="BN14" s="30">
        <v>430</v>
      </c>
      <c r="BO14" s="30">
        <v>526</v>
      </c>
      <c r="BP14" s="30">
        <v>203</v>
      </c>
      <c r="BQ14" s="30">
        <v>457</v>
      </c>
      <c r="BR14" s="30">
        <v>558</v>
      </c>
      <c r="BS14" s="30">
        <v>215</v>
      </c>
      <c r="BT14" s="30">
        <v>484</v>
      </c>
      <c r="BU14" s="30">
        <v>592</v>
      </c>
      <c r="BV14" s="30">
        <v>228</v>
      </c>
      <c r="BW14" s="30">
        <v>512</v>
      </c>
      <c r="BX14" s="30">
        <v>626</v>
      </c>
      <c r="BY14" s="30">
        <v>240</v>
      </c>
      <c r="BZ14" s="30">
        <v>540</v>
      </c>
      <c r="CA14" s="30">
        <v>660</v>
      </c>
      <c r="CB14" s="30">
        <v>253</v>
      </c>
      <c r="CC14" s="30">
        <v>569</v>
      </c>
      <c r="CD14" s="30">
        <v>695</v>
      </c>
      <c r="CE14" s="30">
        <v>266</v>
      </c>
      <c r="CF14" s="30">
        <v>598</v>
      </c>
      <c r="CG14" s="30">
        <v>731</v>
      </c>
      <c r="CH14" s="30">
        <v>279</v>
      </c>
      <c r="CI14" s="30">
        <v>628</v>
      </c>
      <c r="CJ14" s="30">
        <v>767</v>
      </c>
      <c r="CK14" s="30">
        <v>293</v>
      </c>
      <c r="CL14" s="30">
        <v>658</v>
      </c>
      <c r="CM14" s="30">
        <v>804</v>
      </c>
    </row>
    <row r="15" spans="1:91" x14ac:dyDescent="0.25">
      <c r="A15" s="29" t="s">
        <v>2295</v>
      </c>
      <c r="B15" s="340">
        <v>25</v>
      </c>
      <c r="C15" s="340">
        <v>70</v>
      </c>
      <c r="D15" s="340">
        <v>45</v>
      </c>
      <c r="E15" s="340">
        <v>27.5</v>
      </c>
      <c r="F15" s="340">
        <v>77</v>
      </c>
      <c r="G15" s="340">
        <v>49.500000000000007</v>
      </c>
      <c r="H15" s="340">
        <v>32.291666666666671</v>
      </c>
      <c r="I15" s="340">
        <v>90.416666666666671</v>
      </c>
      <c r="J15" s="340">
        <v>58.125000000000007</v>
      </c>
      <c r="K15" s="340">
        <v>37.916666666666671</v>
      </c>
      <c r="L15" s="340">
        <v>106.16666666666667</v>
      </c>
      <c r="M15" s="340">
        <v>68.250000000000014</v>
      </c>
      <c r="N15" s="340">
        <v>44.791666666666671</v>
      </c>
      <c r="O15" s="340">
        <v>125.41666666666667</v>
      </c>
      <c r="P15" s="340">
        <v>80.625000000000014</v>
      </c>
      <c r="Q15" s="340">
        <v>52.291666666666671</v>
      </c>
      <c r="R15" s="340">
        <v>146.41666666666669</v>
      </c>
      <c r="S15" s="340">
        <v>94.125000000000014</v>
      </c>
      <c r="T15" s="340">
        <v>60.208333333333336</v>
      </c>
      <c r="U15" s="340">
        <v>168.58333333333334</v>
      </c>
      <c r="V15" s="340">
        <v>108.37500000000001</v>
      </c>
      <c r="W15" s="340">
        <v>68.958333333333343</v>
      </c>
      <c r="X15" s="340">
        <v>193.08333333333334</v>
      </c>
      <c r="Y15" s="340">
        <v>124.12500000000001</v>
      </c>
      <c r="Z15" s="340">
        <v>78.333333333333343</v>
      </c>
      <c r="AA15" s="340">
        <v>219.33333333333334</v>
      </c>
      <c r="AB15" s="340">
        <v>141.00000000000003</v>
      </c>
      <c r="AC15" s="340">
        <v>88.333333333333343</v>
      </c>
      <c r="AD15" s="340">
        <v>247.33333333333334</v>
      </c>
      <c r="AE15" s="340">
        <v>159.00000000000003</v>
      </c>
      <c r="AF15" s="340">
        <v>98.541666666666671</v>
      </c>
      <c r="AG15" s="340">
        <v>275.91666666666669</v>
      </c>
      <c r="AH15" s="340">
        <v>177.37500000000003</v>
      </c>
      <c r="AI15" s="340">
        <v>109.16666666666667</v>
      </c>
      <c r="AJ15" s="340">
        <v>305.66666666666669</v>
      </c>
      <c r="AK15" s="340">
        <v>196.50000000000003</v>
      </c>
      <c r="AL15" s="340">
        <v>120.625</v>
      </c>
      <c r="AM15" s="340">
        <v>337.75</v>
      </c>
      <c r="AN15" s="340">
        <v>217.12500000000003</v>
      </c>
      <c r="AO15" s="340">
        <v>132.29166666666669</v>
      </c>
      <c r="AP15" s="340">
        <v>370.41666666666669</v>
      </c>
      <c r="AQ15" s="340">
        <v>238.12500000000003</v>
      </c>
      <c r="AR15" s="340">
        <v>144.16666666666669</v>
      </c>
      <c r="AS15" s="340">
        <v>403.66666666666669</v>
      </c>
      <c r="AT15" s="340">
        <v>259.50000000000006</v>
      </c>
      <c r="AU15" s="340">
        <v>156.66666666666669</v>
      </c>
      <c r="AV15" s="340">
        <v>438.66666666666669</v>
      </c>
      <c r="AW15" s="340">
        <v>282.00000000000006</v>
      </c>
      <c r="AX15" s="340">
        <v>169.79166666666669</v>
      </c>
      <c r="AY15" s="340">
        <v>475.41666666666669</v>
      </c>
      <c r="AZ15" s="340">
        <v>305.62500000000006</v>
      </c>
      <c r="BA15" s="340">
        <v>182.70833333333334</v>
      </c>
      <c r="BB15" s="340">
        <v>511.58333333333337</v>
      </c>
      <c r="BC15" s="340">
        <v>328.87500000000006</v>
      </c>
      <c r="BD15" s="340">
        <v>196.45833333333334</v>
      </c>
      <c r="BE15" s="340">
        <v>550.08333333333337</v>
      </c>
      <c r="BF15" s="340">
        <v>353.62500000000006</v>
      </c>
      <c r="BG15" s="340">
        <v>210.20833333333334</v>
      </c>
      <c r="BH15" s="340">
        <v>588.58333333333337</v>
      </c>
      <c r="BI15" s="340">
        <v>378.37500000000006</v>
      </c>
      <c r="BJ15" s="340">
        <v>224.58333333333334</v>
      </c>
      <c r="BK15" s="340">
        <v>628.83333333333337</v>
      </c>
      <c r="BL15" s="340">
        <v>404.25000000000006</v>
      </c>
      <c r="BM15" s="340">
        <v>238.95833333333334</v>
      </c>
      <c r="BN15" s="340">
        <v>669.08333333333337</v>
      </c>
      <c r="BO15" s="340">
        <v>430.12500000000006</v>
      </c>
      <c r="BP15" s="340">
        <v>253.95833333333334</v>
      </c>
      <c r="BQ15" s="340">
        <v>711.08333333333337</v>
      </c>
      <c r="BR15" s="340">
        <v>457.12500000000006</v>
      </c>
      <c r="BS15" s="340">
        <v>268.95833333333337</v>
      </c>
      <c r="BT15" s="340">
        <v>753.08333333333337</v>
      </c>
      <c r="BU15" s="340">
        <v>484.12500000000006</v>
      </c>
      <c r="BV15" s="340">
        <v>284.375</v>
      </c>
      <c r="BW15" s="340">
        <v>796.25</v>
      </c>
      <c r="BX15" s="340">
        <v>511.87500000000006</v>
      </c>
      <c r="BY15" s="340">
        <v>300</v>
      </c>
      <c r="BZ15" s="340">
        <v>840</v>
      </c>
      <c r="CA15" s="340">
        <v>540</v>
      </c>
      <c r="CB15" s="340">
        <v>316.04166666666669</v>
      </c>
      <c r="CC15" s="340">
        <v>884.91666666666674</v>
      </c>
      <c r="CD15" s="340">
        <v>568.87500000000011</v>
      </c>
      <c r="CE15" s="340">
        <v>332.50000000000006</v>
      </c>
      <c r="CF15" s="340">
        <v>931.00000000000011</v>
      </c>
      <c r="CG15" s="340">
        <v>598.50000000000011</v>
      </c>
      <c r="CH15" s="340">
        <v>348.95833333333337</v>
      </c>
      <c r="CI15" s="340">
        <v>977.08333333333337</v>
      </c>
      <c r="CJ15" s="340">
        <v>628.12500000000011</v>
      </c>
      <c r="CK15" s="340">
        <v>365.83333333333337</v>
      </c>
      <c r="CL15" s="340">
        <v>1024.3333333333335</v>
      </c>
      <c r="CM15" s="340">
        <v>658.50000000000011</v>
      </c>
    </row>
    <row r="16" spans="1:91" x14ac:dyDescent="0.25">
      <c r="A16" s="29" t="s">
        <v>13</v>
      </c>
      <c r="B16" s="30">
        <v>10</v>
      </c>
      <c r="C16" s="30">
        <v>10</v>
      </c>
      <c r="D16" s="30">
        <v>4</v>
      </c>
      <c r="E16" s="30">
        <v>11</v>
      </c>
      <c r="F16" s="30">
        <v>11</v>
      </c>
      <c r="G16" s="30">
        <v>4</v>
      </c>
      <c r="H16" s="30">
        <v>13</v>
      </c>
      <c r="I16" s="30">
        <v>13</v>
      </c>
      <c r="J16" s="30">
        <v>5</v>
      </c>
      <c r="K16" s="30">
        <v>15</v>
      </c>
      <c r="L16" s="30">
        <v>15</v>
      </c>
      <c r="M16" s="30">
        <v>6</v>
      </c>
      <c r="N16" s="30">
        <v>17</v>
      </c>
      <c r="O16" s="30">
        <v>17</v>
      </c>
      <c r="P16" s="30">
        <v>7</v>
      </c>
      <c r="Q16" s="30">
        <v>20</v>
      </c>
      <c r="R16" s="30">
        <v>20</v>
      </c>
      <c r="S16" s="30">
        <v>8</v>
      </c>
      <c r="T16" s="30">
        <v>23</v>
      </c>
      <c r="U16" s="30">
        <v>23</v>
      </c>
      <c r="V16" s="30">
        <v>9</v>
      </c>
      <c r="W16" s="30">
        <v>26</v>
      </c>
      <c r="X16" s="30">
        <v>26</v>
      </c>
      <c r="Y16" s="30">
        <v>10</v>
      </c>
      <c r="Z16" s="30">
        <v>29</v>
      </c>
      <c r="AA16" s="30">
        <v>29</v>
      </c>
      <c r="AB16" s="30">
        <v>12</v>
      </c>
      <c r="AC16" s="30">
        <v>32</v>
      </c>
      <c r="AD16" s="30">
        <v>32</v>
      </c>
      <c r="AE16" s="30">
        <v>13</v>
      </c>
      <c r="AF16" s="30">
        <v>36</v>
      </c>
      <c r="AG16" s="30">
        <v>36</v>
      </c>
      <c r="AH16" s="30">
        <v>14</v>
      </c>
      <c r="AI16" s="30">
        <v>40</v>
      </c>
      <c r="AJ16" s="30">
        <v>40</v>
      </c>
      <c r="AK16" s="30">
        <v>16</v>
      </c>
      <c r="AL16" s="30">
        <v>44</v>
      </c>
      <c r="AM16" s="30">
        <v>44</v>
      </c>
      <c r="AN16" s="30">
        <v>17</v>
      </c>
      <c r="AO16" s="30">
        <v>48</v>
      </c>
      <c r="AP16" s="30">
        <v>48</v>
      </c>
      <c r="AQ16" s="30">
        <v>19</v>
      </c>
      <c r="AR16" s="30">
        <v>52</v>
      </c>
      <c r="AS16" s="30">
        <v>52</v>
      </c>
      <c r="AT16" s="30">
        <v>21</v>
      </c>
      <c r="AU16" s="30">
        <v>56</v>
      </c>
      <c r="AV16" s="30">
        <v>56</v>
      </c>
      <c r="AW16" s="30">
        <v>22</v>
      </c>
      <c r="AX16" s="30">
        <v>60</v>
      </c>
      <c r="AY16" s="30">
        <v>60</v>
      </c>
      <c r="AZ16" s="30">
        <v>24</v>
      </c>
      <c r="BA16" s="30">
        <v>65</v>
      </c>
      <c r="BB16" s="30">
        <v>65</v>
      </c>
      <c r="BC16" s="30">
        <v>26</v>
      </c>
      <c r="BD16" s="30">
        <v>69</v>
      </c>
      <c r="BE16" s="30">
        <v>69</v>
      </c>
      <c r="BF16" s="30">
        <v>28</v>
      </c>
      <c r="BG16" s="30">
        <v>74</v>
      </c>
      <c r="BH16" s="30">
        <v>74</v>
      </c>
      <c r="BI16" s="30">
        <v>29</v>
      </c>
      <c r="BJ16" s="30">
        <v>79</v>
      </c>
      <c r="BK16" s="30">
        <v>79</v>
      </c>
      <c r="BL16" s="30">
        <v>31</v>
      </c>
      <c r="BM16" s="30">
        <v>83</v>
      </c>
      <c r="BN16" s="30">
        <v>83</v>
      </c>
      <c r="BO16" s="30">
        <v>33</v>
      </c>
      <c r="BP16" s="30">
        <v>88</v>
      </c>
      <c r="BQ16" s="30">
        <v>88</v>
      </c>
      <c r="BR16" s="30">
        <v>35</v>
      </c>
      <c r="BS16" s="30">
        <v>93</v>
      </c>
      <c r="BT16" s="30">
        <v>93</v>
      </c>
      <c r="BU16" s="30">
        <v>37</v>
      </c>
      <c r="BV16" s="30">
        <v>98</v>
      </c>
      <c r="BW16" s="30">
        <v>98</v>
      </c>
      <c r="BX16" s="30">
        <v>39</v>
      </c>
      <c r="BY16" s="30">
        <v>104</v>
      </c>
      <c r="BZ16" s="30">
        <v>104</v>
      </c>
      <c r="CA16" s="30">
        <v>41</v>
      </c>
      <c r="CB16" s="30">
        <v>109</v>
      </c>
      <c r="CC16" s="30">
        <v>109</v>
      </c>
      <c r="CD16" s="30">
        <v>44</v>
      </c>
      <c r="CE16" s="30">
        <v>114</v>
      </c>
      <c r="CF16" s="30">
        <v>114</v>
      </c>
      <c r="CG16" s="30">
        <v>46</v>
      </c>
      <c r="CH16" s="30">
        <v>120</v>
      </c>
      <c r="CI16" s="30">
        <v>120</v>
      </c>
      <c r="CJ16" s="30">
        <v>48</v>
      </c>
      <c r="CK16" s="30">
        <v>125</v>
      </c>
      <c r="CL16" s="30">
        <v>125</v>
      </c>
      <c r="CM16" s="30">
        <v>50</v>
      </c>
    </row>
    <row r="17" spans="1:91" x14ac:dyDescent="0.25">
      <c r="A17" s="29" t="s">
        <v>14</v>
      </c>
      <c r="B17" s="30">
        <v>6</v>
      </c>
      <c r="C17" s="30">
        <v>6</v>
      </c>
      <c r="D17" s="30">
        <v>12</v>
      </c>
      <c r="E17" s="30">
        <v>7</v>
      </c>
      <c r="F17" s="30">
        <v>7</v>
      </c>
      <c r="G17" s="30">
        <v>13</v>
      </c>
      <c r="H17" s="30">
        <v>8</v>
      </c>
      <c r="I17" s="30">
        <v>8</v>
      </c>
      <c r="J17" s="30">
        <v>15</v>
      </c>
      <c r="K17" s="30">
        <v>9</v>
      </c>
      <c r="L17" s="30">
        <v>9</v>
      </c>
      <c r="M17" s="30">
        <v>18</v>
      </c>
      <c r="N17" s="30">
        <v>10</v>
      </c>
      <c r="O17" s="30">
        <v>10</v>
      </c>
      <c r="P17" s="30">
        <v>21</v>
      </c>
      <c r="Q17" s="30">
        <v>12</v>
      </c>
      <c r="R17" s="30">
        <v>12</v>
      </c>
      <c r="S17" s="30">
        <v>24</v>
      </c>
      <c r="T17" s="30">
        <v>14</v>
      </c>
      <c r="U17" s="30">
        <v>14</v>
      </c>
      <c r="V17" s="30">
        <v>27</v>
      </c>
      <c r="W17" s="30">
        <v>15</v>
      </c>
      <c r="X17" s="30">
        <v>15</v>
      </c>
      <c r="Y17" s="30">
        <v>31</v>
      </c>
      <c r="Z17" s="30">
        <v>17</v>
      </c>
      <c r="AA17" s="30">
        <v>17</v>
      </c>
      <c r="AB17" s="30">
        <v>35</v>
      </c>
      <c r="AC17" s="30">
        <v>19</v>
      </c>
      <c r="AD17" s="30">
        <v>19</v>
      </c>
      <c r="AE17" s="30">
        <v>39</v>
      </c>
      <c r="AF17" s="30">
        <v>22</v>
      </c>
      <c r="AG17" s="30">
        <v>22</v>
      </c>
      <c r="AH17" s="30">
        <v>43</v>
      </c>
      <c r="AI17" s="30">
        <v>24</v>
      </c>
      <c r="AJ17" s="30">
        <v>24</v>
      </c>
      <c r="AK17" s="30">
        <v>48</v>
      </c>
      <c r="AL17" s="30">
        <v>26</v>
      </c>
      <c r="AM17" s="30">
        <v>26</v>
      </c>
      <c r="AN17" s="30">
        <v>52</v>
      </c>
      <c r="AO17" s="30">
        <v>29</v>
      </c>
      <c r="AP17" s="30">
        <v>29</v>
      </c>
      <c r="AQ17" s="30">
        <v>57</v>
      </c>
      <c r="AR17" s="30">
        <v>31</v>
      </c>
      <c r="AS17" s="30">
        <v>31</v>
      </c>
      <c r="AT17" s="30">
        <v>62</v>
      </c>
      <c r="AU17" s="30">
        <v>33</v>
      </c>
      <c r="AV17" s="30">
        <v>33</v>
      </c>
      <c r="AW17" s="30">
        <v>67</v>
      </c>
      <c r="AX17" s="30">
        <v>36</v>
      </c>
      <c r="AY17" s="30">
        <v>36</v>
      </c>
      <c r="AZ17" s="30">
        <v>72</v>
      </c>
      <c r="BA17" s="30">
        <v>39</v>
      </c>
      <c r="BB17" s="30">
        <v>39</v>
      </c>
      <c r="BC17" s="30">
        <v>77</v>
      </c>
      <c r="BD17" s="30">
        <v>41</v>
      </c>
      <c r="BE17" s="30">
        <v>41</v>
      </c>
      <c r="BF17" s="30">
        <v>83</v>
      </c>
      <c r="BG17" s="30">
        <v>44</v>
      </c>
      <c r="BH17" s="30">
        <v>44</v>
      </c>
      <c r="BI17" s="30">
        <v>88</v>
      </c>
      <c r="BJ17" s="30">
        <v>47</v>
      </c>
      <c r="BK17" s="30">
        <v>47</v>
      </c>
      <c r="BL17" s="30">
        <v>94</v>
      </c>
      <c r="BM17" s="30">
        <v>50</v>
      </c>
      <c r="BN17" s="30">
        <v>50</v>
      </c>
      <c r="BO17" s="30">
        <v>100</v>
      </c>
      <c r="BP17" s="30">
        <v>53</v>
      </c>
      <c r="BQ17" s="30">
        <v>53</v>
      </c>
      <c r="BR17" s="30">
        <v>106</v>
      </c>
      <c r="BS17" s="30">
        <v>56</v>
      </c>
      <c r="BT17" s="30">
        <v>56</v>
      </c>
      <c r="BU17" s="30">
        <v>112</v>
      </c>
      <c r="BV17" s="30">
        <v>59</v>
      </c>
      <c r="BW17" s="30">
        <v>59</v>
      </c>
      <c r="BX17" s="30">
        <v>118</v>
      </c>
      <c r="BY17" s="30">
        <v>62</v>
      </c>
      <c r="BZ17" s="30">
        <v>62</v>
      </c>
      <c r="CA17" s="30">
        <v>124</v>
      </c>
      <c r="CB17" s="30">
        <v>65</v>
      </c>
      <c r="CC17" s="30">
        <v>65</v>
      </c>
      <c r="CD17" s="30">
        <v>131</v>
      </c>
      <c r="CE17" s="30">
        <v>69</v>
      </c>
      <c r="CF17" s="30">
        <v>69</v>
      </c>
      <c r="CG17" s="30">
        <v>137</v>
      </c>
      <c r="CH17" s="30">
        <v>72</v>
      </c>
      <c r="CI17" s="30">
        <v>72</v>
      </c>
      <c r="CJ17" s="30">
        <v>144</v>
      </c>
      <c r="CK17" s="30">
        <v>75</v>
      </c>
      <c r="CL17" s="30">
        <v>75</v>
      </c>
      <c r="CM17" s="30">
        <v>150</v>
      </c>
    </row>
    <row r="18" spans="1:91" x14ac:dyDescent="0.25">
      <c r="A18" s="29" t="s">
        <v>15</v>
      </c>
      <c r="B18" s="30">
        <v>4</v>
      </c>
      <c r="C18" s="30">
        <v>10</v>
      </c>
      <c r="D18" s="30">
        <v>10</v>
      </c>
      <c r="E18" s="30">
        <v>4</v>
      </c>
      <c r="F18" s="30">
        <v>11</v>
      </c>
      <c r="G18" s="30">
        <v>11</v>
      </c>
      <c r="H18" s="30">
        <v>5</v>
      </c>
      <c r="I18" s="30">
        <v>13</v>
      </c>
      <c r="J18" s="30">
        <v>13</v>
      </c>
      <c r="K18" s="30">
        <v>6</v>
      </c>
      <c r="L18" s="30">
        <v>15</v>
      </c>
      <c r="M18" s="30">
        <v>15</v>
      </c>
      <c r="N18" s="30">
        <v>7</v>
      </c>
      <c r="O18" s="30">
        <v>17</v>
      </c>
      <c r="P18" s="30">
        <v>17</v>
      </c>
      <c r="Q18" s="30">
        <v>8</v>
      </c>
      <c r="R18" s="30">
        <v>20</v>
      </c>
      <c r="S18" s="30">
        <v>20</v>
      </c>
      <c r="T18" s="30">
        <v>9</v>
      </c>
      <c r="U18" s="30">
        <v>23</v>
      </c>
      <c r="V18" s="30">
        <v>23</v>
      </c>
      <c r="W18" s="30">
        <v>10</v>
      </c>
      <c r="X18" s="30">
        <v>26</v>
      </c>
      <c r="Y18" s="30">
        <v>26</v>
      </c>
      <c r="Z18" s="30">
        <v>12</v>
      </c>
      <c r="AA18" s="30">
        <v>29</v>
      </c>
      <c r="AB18" s="30">
        <v>29</v>
      </c>
      <c r="AC18" s="30">
        <v>13</v>
      </c>
      <c r="AD18" s="30">
        <v>32</v>
      </c>
      <c r="AE18" s="30">
        <v>32</v>
      </c>
      <c r="AF18" s="30">
        <v>14</v>
      </c>
      <c r="AG18" s="30">
        <v>36</v>
      </c>
      <c r="AH18" s="30">
        <v>36</v>
      </c>
      <c r="AI18" s="30">
        <v>16</v>
      </c>
      <c r="AJ18" s="30">
        <v>40</v>
      </c>
      <c r="AK18" s="30">
        <v>40</v>
      </c>
      <c r="AL18" s="30">
        <v>17</v>
      </c>
      <c r="AM18" s="30">
        <v>44</v>
      </c>
      <c r="AN18" s="30">
        <v>44</v>
      </c>
      <c r="AO18" s="30">
        <v>19</v>
      </c>
      <c r="AP18" s="30">
        <v>48</v>
      </c>
      <c r="AQ18" s="30">
        <v>48</v>
      </c>
      <c r="AR18" s="30">
        <v>21</v>
      </c>
      <c r="AS18" s="30">
        <v>52</v>
      </c>
      <c r="AT18" s="30">
        <v>52</v>
      </c>
      <c r="AU18" s="30">
        <v>22</v>
      </c>
      <c r="AV18" s="30">
        <v>56</v>
      </c>
      <c r="AW18" s="30">
        <v>56</v>
      </c>
      <c r="AX18" s="30">
        <v>24</v>
      </c>
      <c r="AY18" s="30">
        <v>60</v>
      </c>
      <c r="AZ18" s="30">
        <v>60</v>
      </c>
      <c r="BA18" s="30">
        <v>26</v>
      </c>
      <c r="BB18" s="30">
        <v>65</v>
      </c>
      <c r="BC18" s="30">
        <v>65</v>
      </c>
      <c r="BD18" s="30">
        <v>28</v>
      </c>
      <c r="BE18" s="30">
        <v>69</v>
      </c>
      <c r="BF18" s="30">
        <v>69</v>
      </c>
      <c r="BG18" s="30">
        <v>29</v>
      </c>
      <c r="BH18" s="30">
        <v>74</v>
      </c>
      <c r="BI18" s="30">
        <v>74</v>
      </c>
      <c r="BJ18" s="30">
        <v>31</v>
      </c>
      <c r="BK18" s="30">
        <v>79</v>
      </c>
      <c r="BL18" s="30">
        <v>79</v>
      </c>
      <c r="BM18" s="30">
        <v>33</v>
      </c>
      <c r="BN18" s="30">
        <v>83</v>
      </c>
      <c r="BO18" s="30">
        <v>83</v>
      </c>
      <c r="BP18" s="30">
        <v>35</v>
      </c>
      <c r="BQ18" s="30">
        <v>88</v>
      </c>
      <c r="BR18" s="30">
        <v>88</v>
      </c>
      <c r="BS18" s="30">
        <v>37</v>
      </c>
      <c r="BT18" s="30">
        <v>93</v>
      </c>
      <c r="BU18" s="30">
        <v>93</v>
      </c>
      <c r="BV18" s="30">
        <v>39</v>
      </c>
      <c r="BW18" s="30">
        <v>98</v>
      </c>
      <c r="BX18" s="30">
        <v>98</v>
      </c>
      <c r="BY18" s="30">
        <v>41</v>
      </c>
      <c r="BZ18" s="30">
        <v>104</v>
      </c>
      <c r="CA18" s="30">
        <v>104</v>
      </c>
      <c r="CB18" s="30">
        <v>44</v>
      </c>
      <c r="CC18" s="30">
        <v>109</v>
      </c>
      <c r="CD18" s="30">
        <v>109</v>
      </c>
      <c r="CE18" s="30">
        <v>46</v>
      </c>
      <c r="CF18" s="30">
        <v>114</v>
      </c>
      <c r="CG18" s="30">
        <v>114</v>
      </c>
      <c r="CH18" s="30">
        <v>48</v>
      </c>
      <c r="CI18" s="30">
        <v>120</v>
      </c>
      <c r="CJ18" s="30">
        <v>120</v>
      </c>
      <c r="CK18" s="30">
        <v>50</v>
      </c>
      <c r="CL18" s="30">
        <v>125</v>
      </c>
      <c r="CM18" s="30">
        <v>125</v>
      </c>
    </row>
    <row r="19" spans="1:91" x14ac:dyDescent="0.25">
      <c r="A19" s="29" t="s">
        <v>18</v>
      </c>
      <c r="B19" s="30">
        <v>12</v>
      </c>
      <c r="C19" s="30">
        <v>6</v>
      </c>
      <c r="D19" s="30">
        <v>6</v>
      </c>
      <c r="E19" s="30">
        <v>13</v>
      </c>
      <c r="F19" s="30">
        <v>7</v>
      </c>
      <c r="G19" s="30">
        <v>7</v>
      </c>
      <c r="H19" s="30">
        <v>15</v>
      </c>
      <c r="I19" s="30">
        <v>8</v>
      </c>
      <c r="J19" s="30">
        <v>8</v>
      </c>
      <c r="K19" s="30">
        <v>18</v>
      </c>
      <c r="L19" s="30">
        <v>9</v>
      </c>
      <c r="M19" s="30">
        <v>9</v>
      </c>
      <c r="N19" s="30">
        <v>21</v>
      </c>
      <c r="O19" s="30">
        <v>10</v>
      </c>
      <c r="P19" s="30">
        <v>10</v>
      </c>
      <c r="Q19" s="30">
        <v>24</v>
      </c>
      <c r="R19" s="30">
        <v>12</v>
      </c>
      <c r="S19" s="30">
        <v>12</v>
      </c>
      <c r="T19" s="30">
        <v>27</v>
      </c>
      <c r="U19" s="30">
        <v>14</v>
      </c>
      <c r="V19" s="30">
        <v>14</v>
      </c>
      <c r="W19" s="30">
        <v>31</v>
      </c>
      <c r="X19" s="30">
        <v>15</v>
      </c>
      <c r="Y19" s="30">
        <v>15</v>
      </c>
      <c r="Z19" s="30">
        <v>35</v>
      </c>
      <c r="AA19" s="30">
        <v>17</v>
      </c>
      <c r="AB19" s="30">
        <v>17</v>
      </c>
      <c r="AC19" s="30">
        <v>39</v>
      </c>
      <c r="AD19" s="30">
        <v>19</v>
      </c>
      <c r="AE19" s="30">
        <v>19</v>
      </c>
      <c r="AF19" s="30">
        <v>43</v>
      </c>
      <c r="AG19" s="30">
        <v>22</v>
      </c>
      <c r="AH19" s="30">
        <v>22</v>
      </c>
      <c r="AI19" s="30">
        <v>48</v>
      </c>
      <c r="AJ19" s="30">
        <v>24</v>
      </c>
      <c r="AK19" s="30">
        <v>24</v>
      </c>
      <c r="AL19" s="30">
        <v>52</v>
      </c>
      <c r="AM19" s="30">
        <v>26</v>
      </c>
      <c r="AN19" s="30">
        <v>26</v>
      </c>
      <c r="AO19" s="30">
        <v>57</v>
      </c>
      <c r="AP19" s="30">
        <v>29</v>
      </c>
      <c r="AQ19" s="30">
        <v>29</v>
      </c>
      <c r="AR19" s="30">
        <v>62</v>
      </c>
      <c r="AS19" s="30">
        <v>31</v>
      </c>
      <c r="AT19" s="30">
        <v>31</v>
      </c>
      <c r="AU19" s="30">
        <v>67</v>
      </c>
      <c r="AV19" s="30">
        <v>33</v>
      </c>
      <c r="AW19" s="30">
        <v>33</v>
      </c>
      <c r="AX19" s="30">
        <v>72</v>
      </c>
      <c r="AY19" s="30">
        <v>36</v>
      </c>
      <c r="AZ19" s="30">
        <v>36</v>
      </c>
      <c r="BA19" s="30">
        <v>77</v>
      </c>
      <c r="BB19" s="30">
        <v>39</v>
      </c>
      <c r="BC19" s="30">
        <v>39</v>
      </c>
      <c r="BD19" s="30">
        <v>83</v>
      </c>
      <c r="BE19" s="30">
        <v>41</v>
      </c>
      <c r="BF19" s="30">
        <v>41</v>
      </c>
      <c r="BG19" s="30">
        <v>88</v>
      </c>
      <c r="BH19" s="30">
        <v>44</v>
      </c>
      <c r="BI19" s="30">
        <v>44</v>
      </c>
      <c r="BJ19" s="30">
        <v>94</v>
      </c>
      <c r="BK19" s="30">
        <v>47</v>
      </c>
      <c r="BL19" s="30">
        <v>47</v>
      </c>
      <c r="BM19" s="30">
        <v>100</v>
      </c>
      <c r="BN19" s="30">
        <v>50</v>
      </c>
      <c r="BO19" s="30">
        <v>50</v>
      </c>
      <c r="BP19" s="30">
        <v>106</v>
      </c>
      <c r="BQ19" s="30">
        <v>53</v>
      </c>
      <c r="BR19" s="30">
        <v>53</v>
      </c>
      <c r="BS19" s="30">
        <v>112</v>
      </c>
      <c r="BT19" s="30">
        <v>56</v>
      </c>
      <c r="BU19" s="30">
        <v>56</v>
      </c>
      <c r="BV19" s="30">
        <v>118</v>
      </c>
      <c r="BW19" s="30">
        <v>59</v>
      </c>
      <c r="BX19" s="30">
        <v>59</v>
      </c>
      <c r="BY19" s="30">
        <v>124</v>
      </c>
      <c r="BZ19" s="30">
        <v>62</v>
      </c>
      <c r="CA19" s="30">
        <v>62</v>
      </c>
      <c r="CB19" s="30">
        <v>131</v>
      </c>
      <c r="CC19" s="30">
        <v>65</v>
      </c>
      <c r="CD19" s="30">
        <v>65</v>
      </c>
      <c r="CE19" s="30">
        <v>137</v>
      </c>
      <c r="CF19" s="30">
        <v>69</v>
      </c>
      <c r="CG19" s="30">
        <v>69</v>
      </c>
      <c r="CH19" s="30">
        <v>144</v>
      </c>
      <c r="CI19" s="30">
        <v>72</v>
      </c>
      <c r="CJ19" s="30">
        <v>72</v>
      </c>
      <c r="CK19" s="30">
        <v>150</v>
      </c>
      <c r="CL19" s="30">
        <v>75</v>
      </c>
      <c r="CM19" s="30">
        <v>75</v>
      </c>
    </row>
    <row r="20" spans="1:91" x14ac:dyDescent="0.25">
      <c r="A20" s="29" t="s">
        <v>17</v>
      </c>
      <c r="B20" s="30">
        <v>10</v>
      </c>
      <c r="C20" s="30">
        <v>4</v>
      </c>
      <c r="D20" s="30">
        <v>10</v>
      </c>
      <c r="E20" s="30">
        <v>11</v>
      </c>
      <c r="F20" s="30">
        <v>4</v>
      </c>
      <c r="G20" s="30">
        <v>11</v>
      </c>
      <c r="H20" s="30">
        <v>13</v>
      </c>
      <c r="I20" s="30">
        <v>5</v>
      </c>
      <c r="J20" s="30">
        <v>13</v>
      </c>
      <c r="K20" s="30">
        <v>15</v>
      </c>
      <c r="L20" s="30">
        <v>6</v>
      </c>
      <c r="M20" s="30">
        <v>15</v>
      </c>
      <c r="N20" s="30">
        <v>17</v>
      </c>
      <c r="O20" s="30">
        <v>7</v>
      </c>
      <c r="P20" s="30">
        <v>17</v>
      </c>
      <c r="Q20" s="30">
        <v>20</v>
      </c>
      <c r="R20" s="30">
        <v>8</v>
      </c>
      <c r="S20" s="30">
        <v>20</v>
      </c>
      <c r="T20" s="30">
        <v>23</v>
      </c>
      <c r="U20" s="30">
        <v>9</v>
      </c>
      <c r="V20" s="30">
        <v>23</v>
      </c>
      <c r="W20" s="30">
        <v>26</v>
      </c>
      <c r="X20" s="30">
        <v>10</v>
      </c>
      <c r="Y20" s="30">
        <v>26</v>
      </c>
      <c r="Z20" s="30">
        <v>29</v>
      </c>
      <c r="AA20" s="30">
        <v>12</v>
      </c>
      <c r="AB20" s="30">
        <v>29</v>
      </c>
      <c r="AC20" s="30">
        <v>32</v>
      </c>
      <c r="AD20" s="30">
        <v>13</v>
      </c>
      <c r="AE20" s="30">
        <v>32</v>
      </c>
      <c r="AF20" s="30">
        <v>36</v>
      </c>
      <c r="AG20" s="30">
        <v>14</v>
      </c>
      <c r="AH20" s="30">
        <v>36</v>
      </c>
      <c r="AI20" s="30">
        <v>40</v>
      </c>
      <c r="AJ20" s="30">
        <v>16</v>
      </c>
      <c r="AK20" s="30">
        <v>40</v>
      </c>
      <c r="AL20" s="30">
        <v>44</v>
      </c>
      <c r="AM20" s="30">
        <v>17</v>
      </c>
      <c r="AN20" s="30">
        <v>44</v>
      </c>
      <c r="AO20" s="30">
        <v>48</v>
      </c>
      <c r="AP20" s="30">
        <v>19</v>
      </c>
      <c r="AQ20" s="30">
        <v>48</v>
      </c>
      <c r="AR20" s="30">
        <v>52</v>
      </c>
      <c r="AS20" s="30">
        <v>21</v>
      </c>
      <c r="AT20" s="30">
        <v>52</v>
      </c>
      <c r="AU20" s="30">
        <v>56</v>
      </c>
      <c r="AV20" s="30">
        <v>22</v>
      </c>
      <c r="AW20" s="30">
        <v>56</v>
      </c>
      <c r="AX20" s="30">
        <v>60</v>
      </c>
      <c r="AY20" s="30">
        <v>24</v>
      </c>
      <c r="AZ20" s="30">
        <v>60</v>
      </c>
      <c r="BA20" s="30">
        <v>65</v>
      </c>
      <c r="BB20" s="30">
        <v>26</v>
      </c>
      <c r="BC20" s="30">
        <v>65</v>
      </c>
      <c r="BD20" s="30">
        <v>69</v>
      </c>
      <c r="BE20" s="30">
        <v>28</v>
      </c>
      <c r="BF20" s="30">
        <v>69</v>
      </c>
      <c r="BG20" s="30">
        <v>74</v>
      </c>
      <c r="BH20" s="30">
        <v>29</v>
      </c>
      <c r="BI20" s="30">
        <v>74</v>
      </c>
      <c r="BJ20" s="30">
        <v>79</v>
      </c>
      <c r="BK20" s="30">
        <v>31</v>
      </c>
      <c r="BL20" s="30">
        <v>79</v>
      </c>
      <c r="BM20" s="30">
        <v>83</v>
      </c>
      <c r="BN20" s="30">
        <v>33</v>
      </c>
      <c r="BO20" s="30">
        <v>83</v>
      </c>
      <c r="BP20" s="30">
        <v>88</v>
      </c>
      <c r="BQ20" s="30">
        <v>35</v>
      </c>
      <c r="BR20" s="30">
        <v>88</v>
      </c>
      <c r="BS20" s="30">
        <v>93</v>
      </c>
      <c r="BT20" s="30">
        <v>37</v>
      </c>
      <c r="BU20" s="30">
        <v>93</v>
      </c>
      <c r="BV20" s="30">
        <v>98</v>
      </c>
      <c r="BW20" s="30">
        <v>39</v>
      </c>
      <c r="BX20" s="30">
        <v>98</v>
      </c>
      <c r="BY20" s="30">
        <v>104</v>
      </c>
      <c r="BZ20" s="30">
        <v>41</v>
      </c>
      <c r="CA20" s="30">
        <v>104</v>
      </c>
      <c r="CB20" s="30">
        <v>109</v>
      </c>
      <c r="CC20" s="30">
        <v>44</v>
      </c>
      <c r="CD20" s="30">
        <v>109</v>
      </c>
      <c r="CE20" s="30">
        <v>114</v>
      </c>
      <c r="CF20" s="30">
        <v>46</v>
      </c>
      <c r="CG20" s="30">
        <v>114</v>
      </c>
      <c r="CH20" s="30">
        <v>120</v>
      </c>
      <c r="CI20" s="30">
        <v>48</v>
      </c>
      <c r="CJ20" s="30">
        <v>120</v>
      </c>
      <c r="CK20" s="30">
        <v>125</v>
      </c>
      <c r="CL20" s="30">
        <v>50</v>
      </c>
      <c r="CM20" s="30">
        <v>125</v>
      </c>
    </row>
    <row r="21" spans="1:91" x14ac:dyDescent="0.25">
      <c r="A21" s="29" t="s">
        <v>97</v>
      </c>
      <c r="B21" s="30">
        <v>55</v>
      </c>
      <c r="C21" s="30">
        <v>25</v>
      </c>
      <c r="D21" s="30">
        <v>55</v>
      </c>
      <c r="E21" s="30">
        <v>61</v>
      </c>
      <c r="F21" s="30">
        <v>28</v>
      </c>
      <c r="G21" s="30">
        <v>61</v>
      </c>
      <c r="H21" s="30">
        <v>71</v>
      </c>
      <c r="I21" s="30">
        <v>32</v>
      </c>
      <c r="J21" s="30">
        <v>71</v>
      </c>
      <c r="K21" s="30">
        <v>84</v>
      </c>
      <c r="L21" s="30">
        <v>38</v>
      </c>
      <c r="M21" s="30">
        <v>84</v>
      </c>
      <c r="N21" s="30">
        <v>98</v>
      </c>
      <c r="O21" s="30">
        <v>45</v>
      </c>
      <c r="P21" s="30">
        <v>98</v>
      </c>
      <c r="Q21" s="30">
        <v>115</v>
      </c>
      <c r="R21" s="30">
        <v>52</v>
      </c>
      <c r="S21" s="30">
        <v>115</v>
      </c>
      <c r="T21" s="30">
        <v>133</v>
      </c>
      <c r="U21" s="30">
        <v>60</v>
      </c>
      <c r="V21" s="30">
        <v>133</v>
      </c>
      <c r="W21" s="30">
        <v>152</v>
      </c>
      <c r="X21" s="30">
        <v>69</v>
      </c>
      <c r="Y21" s="30">
        <v>152</v>
      </c>
      <c r="Z21" s="30">
        <v>172</v>
      </c>
      <c r="AA21" s="30">
        <v>78</v>
      </c>
      <c r="AB21" s="30">
        <v>172</v>
      </c>
      <c r="AC21" s="30">
        <v>194</v>
      </c>
      <c r="AD21" s="30">
        <v>88</v>
      </c>
      <c r="AE21" s="30">
        <v>194</v>
      </c>
      <c r="AF21" s="30">
        <v>217</v>
      </c>
      <c r="AG21" s="30">
        <v>99</v>
      </c>
      <c r="AH21" s="30">
        <v>217</v>
      </c>
      <c r="AI21" s="30">
        <v>241</v>
      </c>
      <c r="AJ21" s="30">
        <v>109</v>
      </c>
      <c r="AK21" s="30">
        <v>241</v>
      </c>
      <c r="AL21" s="30">
        <v>265</v>
      </c>
      <c r="AM21" s="30">
        <v>121</v>
      </c>
      <c r="AN21" s="30">
        <v>265</v>
      </c>
      <c r="AO21" s="30">
        <v>291</v>
      </c>
      <c r="AP21" s="30">
        <v>132</v>
      </c>
      <c r="AQ21" s="30">
        <v>291</v>
      </c>
      <c r="AR21" s="30">
        <v>318</v>
      </c>
      <c r="AS21" s="30">
        <v>144</v>
      </c>
      <c r="AT21" s="30">
        <v>318</v>
      </c>
      <c r="AU21" s="30">
        <v>345</v>
      </c>
      <c r="AV21" s="30">
        <v>157</v>
      </c>
      <c r="AW21" s="30">
        <v>345</v>
      </c>
      <c r="AX21" s="30">
        <v>373</v>
      </c>
      <c r="AY21" s="30">
        <v>170</v>
      </c>
      <c r="AZ21" s="30">
        <v>373</v>
      </c>
      <c r="BA21" s="30">
        <v>402</v>
      </c>
      <c r="BB21" s="30">
        <v>183</v>
      </c>
      <c r="BC21" s="30">
        <v>402</v>
      </c>
      <c r="BD21" s="30">
        <v>432</v>
      </c>
      <c r="BE21" s="30">
        <v>196</v>
      </c>
      <c r="BF21" s="30">
        <v>432</v>
      </c>
      <c r="BG21" s="30">
        <v>463</v>
      </c>
      <c r="BH21" s="30">
        <v>210</v>
      </c>
      <c r="BI21" s="30">
        <v>463</v>
      </c>
      <c r="BJ21" s="30">
        <v>494</v>
      </c>
      <c r="BK21" s="30">
        <v>225</v>
      </c>
      <c r="BL21" s="30">
        <v>494</v>
      </c>
      <c r="BM21" s="30">
        <v>526</v>
      </c>
      <c r="BN21" s="30">
        <v>239</v>
      </c>
      <c r="BO21" s="30">
        <v>526</v>
      </c>
      <c r="BP21" s="30">
        <v>558</v>
      </c>
      <c r="BQ21" s="30">
        <v>254</v>
      </c>
      <c r="BR21" s="30">
        <v>558</v>
      </c>
      <c r="BS21" s="30">
        <v>592</v>
      </c>
      <c r="BT21" s="30">
        <v>269</v>
      </c>
      <c r="BU21" s="30">
        <v>592</v>
      </c>
      <c r="BV21" s="30">
        <v>626</v>
      </c>
      <c r="BW21" s="30">
        <v>284</v>
      </c>
      <c r="BX21" s="30">
        <v>626</v>
      </c>
      <c r="BY21" s="30">
        <v>660</v>
      </c>
      <c r="BZ21" s="30">
        <v>300</v>
      </c>
      <c r="CA21" s="30">
        <v>660</v>
      </c>
      <c r="CB21" s="30">
        <v>695</v>
      </c>
      <c r="CC21" s="30">
        <v>316</v>
      </c>
      <c r="CD21" s="30">
        <v>695</v>
      </c>
      <c r="CE21" s="30">
        <v>731</v>
      </c>
      <c r="CF21" s="30">
        <v>332</v>
      </c>
      <c r="CG21" s="30">
        <v>731</v>
      </c>
      <c r="CH21" s="30">
        <v>767</v>
      </c>
      <c r="CI21" s="30">
        <v>349</v>
      </c>
      <c r="CJ21" s="30">
        <v>767</v>
      </c>
      <c r="CK21" s="30">
        <v>804</v>
      </c>
      <c r="CL21" s="30">
        <v>366</v>
      </c>
      <c r="CM21" s="30">
        <v>804</v>
      </c>
    </row>
    <row r="22" spans="1:91" x14ac:dyDescent="0.25">
      <c r="A22" s="29" t="s">
        <v>71</v>
      </c>
      <c r="B22" s="30">
        <v>48</v>
      </c>
      <c r="C22" s="30">
        <v>96</v>
      </c>
      <c r="D22" s="30">
        <v>144</v>
      </c>
      <c r="E22" s="30">
        <v>52</v>
      </c>
      <c r="F22" s="30">
        <v>104</v>
      </c>
      <c r="G22" s="30">
        <v>156</v>
      </c>
      <c r="H22" s="30">
        <v>59</v>
      </c>
      <c r="I22" s="30">
        <v>118</v>
      </c>
      <c r="J22" s="30">
        <v>176</v>
      </c>
      <c r="K22" s="30">
        <v>67</v>
      </c>
      <c r="L22" s="30">
        <v>134</v>
      </c>
      <c r="M22" s="30">
        <v>201</v>
      </c>
      <c r="N22" s="30">
        <v>77</v>
      </c>
      <c r="O22" s="30">
        <v>153</v>
      </c>
      <c r="P22" s="30">
        <v>230</v>
      </c>
      <c r="Q22" s="30">
        <v>87</v>
      </c>
      <c r="R22" s="30">
        <v>174</v>
      </c>
      <c r="S22" s="30">
        <v>261</v>
      </c>
      <c r="T22" s="30">
        <v>98</v>
      </c>
      <c r="U22" s="30">
        <v>197</v>
      </c>
      <c r="V22" s="30">
        <v>295</v>
      </c>
      <c r="W22" s="30">
        <v>110</v>
      </c>
      <c r="X22" s="30">
        <v>221</v>
      </c>
      <c r="Y22" s="30">
        <v>331</v>
      </c>
      <c r="Z22" s="30">
        <v>123</v>
      </c>
      <c r="AA22" s="30">
        <v>247</v>
      </c>
      <c r="AB22" s="30">
        <v>370</v>
      </c>
      <c r="AC22" s="30">
        <v>137</v>
      </c>
      <c r="AD22" s="30">
        <v>274</v>
      </c>
      <c r="AE22" s="30">
        <v>410</v>
      </c>
      <c r="AF22" s="30">
        <v>151</v>
      </c>
      <c r="AG22" s="30">
        <v>302</v>
      </c>
      <c r="AH22" s="30">
        <v>453</v>
      </c>
      <c r="AI22" s="30">
        <v>166</v>
      </c>
      <c r="AJ22" s="30">
        <v>331</v>
      </c>
      <c r="AK22" s="30">
        <v>497</v>
      </c>
      <c r="AL22" s="30">
        <v>181</v>
      </c>
      <c r="AM22" s="30">
        <v>362</v>
      </c>
      <c r="AN22" s="30">
        <v>542</v>
      </c>
      <c r="AO22" s="30">
        <v>197</v>
      </c>
      <c r="AP22" s="30">
        <v>393</v>
      </c>
      <c r="AQ22" s="30">
        <v>590</v>
      </c>
      <c r="AR22" s="30">
        <v>213</v>
      </c>
      <c r="AS22" s="30">
        <v>426</v>
      </c>
      <c r="AT22" s="30">
        <v>638</v>
      </c>
      <c r="AU22" s="30">
        <v>230</v>
      </c>
      <c r="AV22" s="30">
        <v>459</v>
      </c>
      <c r="AW22" s="30">
        <v>689</v>
      </c>
      <c r="AX22" s="30">
        <v>247</v>
      </c>
      <c r="AY22" s="30">
        <v>493</v>
      </c>
      <c r="AZ22" s="30">
        <v>740</v>
      </c>
      <c r="BA22" s="30">
        <v>264</v>
      </c>
      <c r="BB22" s="30">
        <v>529</v>
      </c>
      <c r="BC22" s="30">
        <v>793</v>
      </c>
      <c r="BD22" s="30">
        <v>282</v>
      </c>
      <c r="BE22" s="30">
        <v>565</v>
      </c>
      <c r="BF22" s="30">
        <v>847</v>
      </c>
      <c r="BG22" s="30">
        <v>301</v>
      </c>
      <c r="BH22" s="30">
        <v>601</v>
      </c>
      <c r="BI22" s="30">
        <v>902</v>
      </c>
      <c r="BJ22" s="30">
        <v>320</v>
      </c>
      <c r="BK22" s="30">
        <v>639</v>
      </c>
      <c r="BL22" s="30">
        <v>959</v>
      </c>
      <c r="BM22" s="30">
        <v>339</v>
      </c>
      <c r="BN22" s="30">
        <v>677</v>
      </c>
      <c r="BO22" s="30">
        <v>1016</v>
      </c>
      <c r="BP22" s="30">
        <v>358</v>
      </c>
      <c r="BQ22" s="30">
        <v>717</v>
      </c>
      <c r="BR22" s="30">
        <v>1075</v>
      </c>
      <c r="BS22" s="30">
        <v>378</v>
      </c>
      <c r="BT22" s="30">
        <v>756</v>
      </c>
      <c r="BU22" s="30">
        <v>1135</v>
      </c>
      <c r="BV22" s="30">
        <v>398</v>
      </c>
      <c r="BW22" s="30">
        <v>797</v>
      </c>
      <c r="BX22" s="30">
        <v>1195</v>
      </c>
      <c r="BY22" s="30">
        <v>419</v>
      </c>
      <c r="BZ22" s="30">
        <v>838</v>
      </c>
      <c r="CA22" s="30">
        <v>1257</v>
      </c>
      <c r="CB22" s="30">
        <v>440</v>
      </c>
      <c r="CC22" s="30">
        <v>880</v>
      </c>
      <c r="CD22" s="30">
        <v>1320</v>
      </c>
      <c r="CE22" s="30">
        <v>461</v>
      </c>
      <c r="CF22" s="30">
        <v>923</v>
      </c>
      <c r="CG22" s="30">
        <v>1384</v>
      </c>
      <c r="CH22" s="30">
        <v>483</v>
      </c>
      <c r="CI22" s="30">
        <v>966</v>
      </c>
      <c r="CJ22" s="30">
        <v>1449</v>
      </c>
      <c r="CK22" s="30">
        <v>505</v>
      </c>
      <c r="CL22" s="30">
        <v>1010</v>
      </c>
      <c r="CM22" s="30">
        <v>1514</v>
      </c>
    </row>
    <row r="23" spans="1:91" x14ac:dyDescent="0.25">
      <c r="A23" s="29" t="s">
        <v>2178</v>
      </c>
      <c r="B23" s="340">
        <v>90</v>
      </c>
      <c r="C23" s="340">
        <v>25</v>
      </c>
      <c r="D23" s="340">
        <v>25</v>
      </c>
      <c r="E23" s="340">
        <v>99.000000000000014</v>
      </c>
      <c r="F23" s="340">
        <v>27.5</v>
      </c>
      <c r="G23" s="340">
        <v>27.5</v>
      </c>
      <c r="H23" s="340">
        <v>116.25000000000001</v>
      </c>
      <c r="I23" s="340">
        <v>32.291666666666671</v>
      </c>
      <c r="J23" s="340">
        <v>32.291666666666671</v>
      </c>
      <c r="K23" s="340">
        <v>136.50000000000003</v>
      </c>
      <c r="L23" s="340">
        <v>37.916666666666671</v>
      </c>
      <c r="M23" s="340">
        <v>37.916666666666671</v>
      </c>
      <c r="N23" s="340">
        <v>161.25000000000003</v>
      </c>
      <c r="O23" s="340">
        <v>44.791666666666671</v>
      </c>
      <c r="P23" s="340">
        <v>44.791666666666671</v>
      </c>
      <c r="Q23" s="340">
        <v>188.25000000000003</v>
      </c>
      <c r="R23" s="340">
        <v>52.291666666666671</v>
      </c>
      <c r="S23" s="340">
        <v>52.291666666666671</v>
      </c>
      <c r="T23" s="340">
        <v>216.75000000000003</v>
      </c>
      <c r="U23" s="340">
        <v>60.208333333333336</v>
      </c>
      <c r="V23" s="340">
        <v>60.208333333333336</v>
      </c>
      <c r="W23" s="340">
        <v>248.25000000000003</v>
      </c>
      <c r="X23" s="340">
        <v>68.958333333333343</v>
      </c>
      <c r="Y23" s="340">
        <v>68.958333333333343</v>
      </c>
      <c r="Z23" s="340">
        <v>282.00000000000006</v>
      </c>
      <c r="AA23" s="340">
        <v>78.333333333333343</v>
      </c>
      <c r="AB23" s="340">
        <v>78.333333333333343</v>
      </c>
      <c r="AC23" s="340">
        <v>318.00000000000006</v>
      </c>
      <c r="AD23" s="340">
        <v>88.333333333333343</v>
      </c>
      <c r="AE23" s="340">
        <v>88.333333333333343</v>
      </c>
      <c r="AF23" s="340">
        <v>354.75000000000006</v>
      </c>
      <c r="AG23" s="340">
        <v>98.541666666666671</v>
      </c>
      <c r="AH23" s="340">
        <v>98.541666666666671</v>
      </c>
      <c r="AI23" s="340">
        <v>393.00000000000006</v>
      </c>
      <c r="AJ23" s="340">
        <v>109.16666666666667</v>
      </c>
      <c r="AK23" s="340">
        <v>109.16666666666667</v>
      </c>
      <c r="AL23" s="340">
        <v>434.25000000000006</v>
      </c>
      <c r="AM23" s="340">
        <v>120.625</v>
      </c>
      <c r="AN23" s="340">
        <v>120.625</v>
      </c>
      <c r="AO23" s="340">
        <v>476.25000000000006</v>
      </c>
      <c r="AP23" s="340">
        <v>132.29166666666669</v>
      </c>
      <c r="AQ23" s="340">
        <v>132.29166666666669</v>
      </c>
      <c r="AR23" s="340">
        <v>519.00000000000011</v>
      </c>
      <c r="AS23" s="340">
        <v>144.16666666666669</v>
      </c>
      <c r="AT23" s="340">
        <v>144.16666666666669</v>
      </c>
      <c r="AU23" s="340">
        <v>564.00000000000011</v>
      </c>
      <c r="AV23" s="340">
        <v>156.66666666666669</v>
      </c>
      <c r="AW23" s="340">
        <v>156.66666666666669</v>
      </c>
      <c r="AX23" s="340">
        <v>611.25000000000011</v>
      </c>
      <c r="AY23" s="340">
        <v>169.79166666666669</v>
      </c>
      <c r="AZ23" s="340">
        <v>169.79166666666669</v>
      </c>
      <c r="BA23" s="340">
        <v>657.75000000000011</v>
      </c>
      <c r="BB23" s="340">
        <v>182.70833333333334</v>
      </c>
      <c r="BC23" s="340">
        <v>182.70833333333334</v>
      </c>
      <c r="BD23" s="340">
        <v>707.25000000000011</v>
      </c>
      <c r="BE23" s="340">
        <v>196.45833333333334</v>
      </c>
      <c r="BF23" s="340">
        <v>196.45833333333334</v>
      </c>
      <c r="BG23" s="340">
        <v>756.75000000000011</v>
      </c>
      <c r="BH23" s="340">
        <v>210.20833333333334</v>
      </c>
      <c r="BI23" s="340">
        <v>210.20833333333334</v>
      </c>
      <c r="BJ23" s="340">
        <v>808.50000000000011</v>
      </c>
      <c r="BK23" s="340">
        <v>224.58333333333334</v>
      </c>
      <c r="BL23" s="340">
        <v>224.58333333333334</v>
      </c>
      <c r="BM23" s="340">
        <v>860.25000000000011</v>
      </c>
      <c r="BN23" s="340">
        <v>238.95833333333334</v>
      </c>
      <c r="BO23" s="340">
        <v>238.95833333333334</v>
      </c>
      <c r="BP23" s="340">
        <v>914.25000000000011</v>
      </c>
      <c r="BQ23" s="340">
        <v>253.95833333333334</v>
      </c>
      <c r="BR23" s="340">
        <v>253.95833333333334</v>
      </c>
      <c r="BS23" s="340">
        <v>968.25000000000011</v>
      </c>
      <c r="BT23" s="340">
        <v>268.95833333333337</v>
      </c>
      <c r="BU23" s="340">
        <v>268.95833333333337</v>
      </c>
      <c r="BV23" s="340">
        <v>1023.7500000000001</v>
      </c>
      <c r="BW23" s="340">
        <v>284.375</v>
      </c>
      <c r="BX23" s="340">
        <v>284.375</v>
      </c>
      <c r="BY23" s="340">
        <v>1080</v>
      </c>
      <c r="BZ23" s="340">
        <v>300</v>
      </c>
      <c r="CA23" s="340">
        <v>300</v>
      </c>
      <c r="CB23" s="340">
        <v>1137.7500000000002</v>
      </c>
      <c r="CC23" s="340">
        <v>316.04166666666669</v>
      </c>
      <c r="CD23" s="340">
        <v>316.04166666666669</v>
      </c>
      <c r="CE23" s="340">
        <v>1197.0000000000002</v>
      </c>
      <c r="CF23" s="340">
        <v>332.50000000000006</v>
      </c>
      <c r="CG23" s="340">
        <v>332.50000000000006</v>
      </c>
      <c r="CH23" s="340">
        <v>1256.2500000000002</v>
      </c>
      <c r="CI23" s="340">
        <v>348.95833333333337</v>
      </c>
      <c r="CJ23" s="340">
        <v>348.95833333333337</v>
      </c>
      <c r="CK23" s="340">
        <v>1317.0000000000002</v>
      </c>
      <c r="CL23" s="340">
        <v>365.83333333333337</v>
      </c>
      <c r="CM23" s="340">
        <v>365.83333333333337</v>
      </c>
    </row>
    <row r="24" spans="1:91" x14ac:dyDescent="0.25">
      <c r="A24" s="29" t="s">
        <v>45</v>
      </c>
      <c r="B24" s="30">
        <v>85</v>
      </c>
      <c r="C24" s="30">
        <v>20</v>
      </c>
      <c r="D24" s="30">
        <v>15</v>
      </c>
      <c r="E24" s="30">
        <v>94</v>
      </c>
      <c r="F24" s="30">
        <v>22</v>
      </c>
      <c r="G24" s="30">
        <v>17</v>
      </c>
      <c r="H24" s="30">
        <v>110</v>
      </c>
      <c r="I24" s="30">
        <v>26</v>
      </c>
      <c r="J24" s="30">
        <v>19</v>
      </c>
      <c r="K24" s="30">
        <v>129</v>
      </c>
      <c r="L24" s="30">
        <v>30</v>
      </c>
      <c r="M24" s="30">
        <v>23</v>
      </c>
      <c r="N24" s="30">
        <v>152</v>
      </c>
      <c r="O24" s="30">
        <v>36</v>
      </c>
      <c r="P24" s="30">
        <v>27</v>
      </c>
      <c r="Q24" s="30">
        <v>177</v>
      </c>
      <c r="R24" s="30">
        <v>42</v>
      </c>
      <c r="S24" s="30">
        <v>31</v>
      </c>
      <c r="T24" s="30">
        <v>205</v>
      </c>
      <c r="U24" s="30">
        <v>48</v>
      </c>
      <c r="V24" s="30">
        <v>36</v>
      </c>
      <c r="W24" s="30">
        <v>235</v>
      </c>
      <c r="X24" s="30">
        <v>55</v>
      </c>
      <c r="Y24" s="30">
        <v>41</v>
      </c>
      <c r="Z24" s="30">
        <v>266</v>
      </c>
      <c r="AA24" s="30">
        <v>63</v>
      </c>
      <c r="AB24" s="30">
        <v>47</v>
      </c>
      <c r="AC24" s="30">
        <v>300</v>
      </c>
      <c r="AD24" s="30">
        <v>71</v>
      </c>
      <c r="AE24" s="30">
        <v>53</v>
      </c>
      <c r="AF24" s="30">
        <v>335</v>
      </c>
      <c r="AG24" s="30">
        <v>79</v>
      </c>
      <c r="AH24" s="30">
        <v>59</v>
      </c>
      <c r="AI24" s="30">
        <v>372</v>
      </c>
      <c r="AJ24" s="30">
        <v>87</v>
      </c>
      <c r="AK24" s="30">
        <v>66</v>
      </c>
      <c r="AL24" s="30">
        <v>410</v>
      </c>
      <c r="AM24" s="30">
        <v>96</v>
      </c>
      <c r="AN24" s="30">
        <v>72</v>
      </c>
      <c r="AO24" s="30">
        <v>450</v>
      </c>
      <c r="AP24" s="30">
        <v>106</v>
      </c>
      <c r="AQ24" s="30">
        <v>79</v>
      </c>
      <c r="AR24" s="30">
        <v>491</v>
      </c>
      <c r="AS24" s="30">
        <v>115</v>
      </c>
      <c r="AT24" s="30">
        <v>87</v>
      </c>
      <c r="AU24" s="30">
        <v>533</v>
      </c>
      <c r="AV24" s="30">
        <v>125</v>
      </c>
      <c r="AW24" s="30">
        <v>94</v>
      </c>
      <c r="AX24" s="30">
        <v>577</v>
      </c>
      <c r="AY24" s="30">
        <v>136</v>
      </c>
      <c r="AZ24" s="30">
        <v>102</v>
      </c>
      <c r="BA24" s="30">
        <v>622</v>
      </c>
      <c r="BB24" s="30">
        <v>146</v>
      </c>
      <c r="BC24" s="30">
        <v>110</v>
      </c>
      <c r="BD24" s="30">
        <v>668</v>
      </c>
      <c r="BE24" s="30">
        <v>157</v>
      </c>
      <c r="BF24" s="30">
        <v>118</v>
      </c>
      <c r="BG24" s="30">
        <v>715</v>
      </c>
      <c r="BH24" s="30">
        <v>168</v>
      </c>
      <c r="BI24" s="30">
        <v>126</v>
      </c>
      <c r="BJ24" s="30">
        <v>763</v>
      </c>
      <c r="BK24" s="30">
        <v>180</v>
      </c>
      <c r="BL24" s="30">
        <v>135</v>
      </c>
      <c r="BM24" s="30">
        <v>813</v>
      </c>
      <c r="BN24" s="30">
        <v>191</v>
      </c>
      <c r="BO24" s="30">
        <v>143</v>
      </c>
      <c r="BP24" s="30">
        <v>863</v>
      </c>
      <c r="BQ24" s="30">
        <v>203</v>
      </c>
      <c r="BR24" s="30">
        <v>152</v>
      </c>
      <c r="BS24" s="30">
        <v>914</v>
      </c>
      <c r="BT24" s="30">
        <v>215</v>
      </c>
      <c r="BU24" s="30">
        <v>161</v>
      </c>
      <c r="BV24" s="30">
        <v>967</v>
      </c>
      <c r="BW24" s="30">
        <v>228</v>
      </c>
      <c r="BX24" s="30">
        <v>171</v>
      </c>
      <c r="BY24" s="30">
        <v>1020</v>
      </c>
      <c r="BZ24" s="30">
        <v>240</v>
      </c>
      <c r="CA24" s="30">
        <v>180</v>
      </c>
      <c r="CB24" s="30">
        <v>1075</v>
      </c>
      <c r="CC24" s="30">
        <v>253</v>
      </c>
      <c r="CD24" s="30">
        <v>190</v>
      </c>
      <c r="CE24" s="30">
        <v>1130</v>
      </c>
      <c r="CF24" s="30">
        <v>266</v>
      </c>
      <c r="CG24" s="30">
        <v>199</v>
      </c>
      <c r="CH24" s="30">
        <v>1186</v>
      </c>
      <c r="CI24" s="30">
        <v>279</v>
      </c>
      <c r="CJ24" s="30">
        <v>209</v>
      </c>
      <c r="CK24" s="30">
        <v>1243</v>
      </c>
      <c r="CL24" s="30">
        <v>293</v>
      </c>
      <c r="CM24" s="30">
        <v>219</v>
      </c>
    </row>
    <row r="25" spans="1:91" x14ac:dyDescent="0.25">
      <c r="A25" s="29" t="s">
        <v>80</v>
      </c>
      <c r="B25" s="30">
        <v>36</v>
      </c>
      <c r="C25" s="30">
        <v>36</v>
      </c>
      <c r="D25" s="30">
        <v>216</v>
      </c>
      <c r="E25" s="30">
        <v>39</v>
      </c>
      <c r="F25" s="30">
        <v>39</v>
      </c>
      <c r="G25" s="30">
        <v>234</v>
      </c>
      <c r="H25" s="30">
        <v>44</v>
      </c>
      <c r="I25" s="30">
        <v>44</v>
      </c>
      <c r="J25" s="30">
        <v>265</v>
      </c>
      <c r="K25" s="30">
        <v>50</v>
      </c>
      <c r="L25" s="30">
        <v>50</v>
      </c>
      <c r="M25" s="30">
        <v>302</v>
      </c>
      <c r="N25" s="30">
        <v>57</v>
      </c>
      <c r="O25" s="30">
        <v>57</v>
      </c>
      <c r="P25" s="30">
        <v>344</v>
      </c>
      <c r="Q25" s="30">
        <v>65</v>
      </c>
      <c r="R25" s="30">
        <v>65</v>
      </c>
      <c r="S25" s="30">
        <v>392</v>
      </c>
      <c r="T25" s="30">
        <v>74</v>
      </c>
      <c r="U25" s="30">
        <v>74</v>
      </c>
      <c r="V25" s="30">
        <v>442</v>
      </c>
      <c r="W25" s="30">
        <v>83</v>
      </c>
      <c r="X25" s="30">
        <v>83</v>
      </c>
      <c r="Y25" s="30">
        <v>497</v>
      </c>
      <c r="Z25" s="30">
        <v>92</v>
      </c>
      <c r="AA25" s="30">
        <v>92</v>
      </c>
      <c r="AB25" s="30">
        <v>555</v>
      </c>
      <c r="AC25" s="30">
        <v>103</v>
      </c>
      <c r="AD25" s="30">
        <v>103</v>
      </c>
      <c r="AE25" s="30">
        <v>615</v>
      </c>
      <c r="AF25" s="30">
        <v>113</v>
      </c>
      <c r="AG25" s="30">
        <v>113</v>
      </c>
      <c r="AH25" s="30">
        <v>679</v>
      </c>
      <c r="AI25" s="30">
        <v>124</v>
      </c>
      <c r="AJ25" s="30">
        <v>124</v>
      </c>
      <c r="AK25" s="30">
        <v>745</v>
      </c>
      <c r="AL25" s="30">
        <v>136</v>
      </c>
      <c r="AM25" s="30">
        <v>136</v>
      </c>
      <c r="AN25" s="30">
        <v>814</v>
      </c>
      <c r="AO25" s="30">
        <v>147</v>
      </c>
      <c r="AP25" s="30">
        <v>147</v>
      </c>
      <c r="AQ25" s="30">
        <v>885</v>
      </c>
      <c r="AR25" s="30">
        <v>160</v>
      </c>
      <c r="AS25" s="30">
        <v>160</v>
      </c>
      <c r="AT25" s="30">
        <v>958</v>
      </c>
      <c r="AU25" s="30">
        <v>172</v>
      </c>
      <c r="AV25" s="30">
        <v>172</v>
      </c>
      <c r="AW25" s="30">
        <v>1033</v>
      </c>
      <c r="AX25" s="30">
        <v>185</v>
      </c>
      <c r="AY25" s="30">
        <v>185</v>
      </c>
      <c r="AZ25" s="30">
        <v>1110</v>
      </c>
      <c r="BA25" s="30">
        <v>198</v>
      </c>
      <c r="BB25" s="30">
        <v>198</v>
      </c>
      <c r="BC25" s="30">
        <v>1189</v>
      </c>
      <c r="BD25" s="30">
        <v>212</v>
      </c>
      <c r="BE25" s="30">
        <v>212</v>
      </c>
      <c r="BF25" s="30">
        <v>1270</v>
      </c>
      <c r="BG25" s="30">
        <v>226</v>
      </c>
      <c r="BH25" s="30">
        <v>226</v>
      </c>
      <c r="BI25" s="30">
        <v>1353</v>
      </c>
      <c r="BJ25" s="30">
        <v>240</v>
      </c>
      <c r="BK25" s="30">
        <v>240</v>
      </c>
      <c r="BL25" s="30">
        <v>1438</v>
      </c>
      <c r="BM25" s="30">
        <v>254</v>
      </c>
      <c r="BN25" s="30">
        <v>254</v>
      </c>
      <c r="BO25" s="30">
        <v>1524</v>
      </c>
      <c r="BP25" s="30">
        <v>269</v>
      </c>
      <c r="BQ25" s="30">
        <v>269</v>
      </c>
      <c r="BR25" s="30">
        <v>1612</v>
      </c>
      <c r="BS25" s="30">
        <v>284</v>
      </c>
      <c r="BT25" s="30">
        <v>284</v>
      </c>
      <c r="BU25" s="30">
        <v>1702</v>
      </c>
      <c r="BV25" s="30">
        <v>299</v>
      </c>
      <c r="BW25" s="30">
        <v>299</v>
      </c>
      <c r="BX25" s="30">
        <v>1793</v>
      </c>
      <c r="BY25" s="30">
        <v>314</v>
      </c>
      <c r="BZ25" s="30">
        <v>314</v>
      </c>
      <c r="CA25" s="30">
        <v>1886</v>
      </c>
      <c r="CB25" s="30">
        <v>330</v>
      </c>
      <c r="CC25" s="30">
        <v>330</v>
      </c>
      <c r="CD25" s="30">
        <v>1980</v>
      </c>
      <c r="CE25" s="30">
        <v>346</v>
      </c>
      <c r="CF25" s="30">
        <v>346</v>
      </c>
      <c r="CG25" s="30">
        <v>2076</v>
      </c>
      <c r="CH25" s="30">
        <v>362</v>
      </c>
      <c r="CI25" s="30">
        <v>362</v>
      </c>
      <c r="CJ25" s="30">
        <v>2173</v>
      </c>
      <c r="CK25" s="30">
        <v>379</v>
      </c>
      <c r="CL25" s="30">
        <v>379</v>
      </c>
      <c r="CM25" s="30">
        <v>2272</v>
      </c>
    </row>
    <row r="26" spans="1:91" x14ac:dyDescent="0.25">
      <c r="A26" s="29" t="s">
        <v>20</v>
      </c>
      <c r="B26" s="30">
        <v>25</v>
      </c>
      <c r="C26" s="30">
        <v>25</v>
      </c>
      <c r="D26" s="30">
        <v>18</v>
      </c>
      <c r="E26" s="30">
        <v>27</v>
      </c>
      <c r="F26" s="30">
        <v>27</v>
      </c>
      <c r="G26" s="30">
        <v>19</v>
      </c>
      <c r="H26" s="30">
        <v>31</v>
      </c>
      <c r="I26" s="30">
        <v>31</v>
      </c>
      <c r="J26" s="30">
        <v>22</v>
      </c>
      <c r="K26" s="30">
        <v>36</v>
      </c>
      <c r="L26" s="30">
        <v>36</v>
      </c>
      <c r="M26" s="30">
        <v>25</v>
      </c>
      <c r="N26" s="30">
        <v>41</v>
      </c>
      <c r="O26" s="30">
        <v>41</v>
      </c>
      <c r="P26" s="30">
        <v>29</v>
      </c>
      <c r="Q26" s="30">
        <v>48</v>
      </c>
      <c r="R26" s="30">
        <v>48</v>
      </c>
      <c r="S26" s="30">
        <v>33</v>
      </c>
      <c r="T26" s="30">
        <v>54</v>
      </c>
      <c r="U26" s="30">
        <v>54</v>
      </c>
      <c r="V26" s="30">
        <v>38</v>
      </c>
      <c r="W26" s="30">
        <v>61</v>
      </c>
      <c r="X26" s="30">
        <v>61</v>
      </c>
      <c r="Y26" s="30">
        <v>43</v>
      </c>
      <c r="Z26" s="30">
        <v>69</v>
      </c>
      <c r="AA26" s="30">
        <v>69</v>
      </c>
      <c r="AB26" s="30">
        <v>48</v>
      </c>
      <c r="AC26" s="30">
        <v>77</v>
      </c>
      <c r="AD26" s="30">
        <v>77</v>
      </c>
      <c r="AE26" s="30">
        <v>54</v>
      </c>
      <c r="AF26" s="30">
        <v>85</v>
      </c>
      <c r="AG26" s="30">
        <v>85</v>
      </c>
      <c r="AH26" s="30">
        <v>60</v>
      </c>
      <c r="AI26" s="30">
        <v>94</v>
      </c>
      <c r="AJ26" s="30">
        <v>94</v>
      </c>
      <c r="AK26" s="30">
        <v>66</v>
      </c>
      <c r="AL26" s="30">
        <v>103</v>
      </c>
      <c r="AM26" s="30">
        <v>103</v>
      </c>
      <c r="AN26" s="30">
        <v>72</v>
      </c>
      <c r="AO26" s="30">
        <v>112</v>
      </c>
      <c r="AP26" s="30">
        <v>112</v>
      </c>
      <c r="AQ26" s="30">
        <v>79</v>
      </c>
      <c r="AR26" s="30">
        <v>122</v>
      </c>
      <c r="AS26" s="30">
        <v>122</v>
      </c>
      <c r="AT26" s="30">
        <v>85</v>
      </c>
      <c r="AU26" s="30">
        <v>132</v>
      </c>
      <c r="AV26" s="30">
        <v>132</v>
      </c>
      <c r="AW26" s="30">
        <v>92</v>
      </c>
      <c r="AX26" s="30">
        <v>142</v>
      </c>
      <c r="AY26" s="30">
        <v>142</v>
      </c>
      <c r="AZ26" s="30">
        <v>100</v>
      </c>
      <c r="BA26" s="30">
        <v>153</v>
      </c>
      <c r="BB26" s="30">
        <v>153</v>
      </c>
      <c r="BC26" s="30">
        <v>107</v>
      </c>
      <c r="BD26" s="30">
        <v>164</v>
      </c>
      <c r="BE26" s="30">
        <v>164</v>
      </c>
      <c r="BF26" s="30">
        <v>115</v>
      </c>
      <c r="BG26" s="30">
        <v>175</v>
      </c>
      <c r="BH26" s="30">
        <v>175</v>
      </c>
      <c r="BI26" s="30">
        <v>122</v>
      </c>
      <c r="BJ26" s="30">
        <v>186</v>
      </c>
      <c r="BK26" s="30">
        <v>186</v>
      </c>
      <c r="BL26" s="30">
        <v>130</v>
      </c>
      <c r="BM26" s="30">
        <v>198</v>
      </c>
      <c r="BN26" s="30">
        <v>198</v>
      </c>
      <c r="BO26" s="30">
        <v>138</v>
      </c>
      <c r="BP26" s="30">
        <v>209</v>
      </c>
      <c r="BQ26" s="30">
        <v>209</v>
      </c>
      <c r="BR26" s="30">
        <v>147</v>
      </c>
      <c r="BS26" s="30">
        <v>221</v>
      </c>
      <c r="BT26" s="30">
        <v>221</v>
      </c>
      <c r="BU26" s="30">
        <v>155</v>
      </c>
      <c r="BV26" s="30">
        <v>234</v>
      </c>
      <c r="BW26" s="30">
        <v>234</v>
      </c>
      <c r="BX26" s="30">
        <v>164</v>
      </c>
      <c r="BY26" s="30">
        <v>246</v>
      </c>
      <c r="BZ26" s="30">
        <v>246</v>
      </c>
      <c r="CA26" s="30">
        <v>172</v>
      </c>
      <c r="CB26" s="30">
        <v>259</v>
      </c>
      <c r="CC26" s="30">
        <v>259</v>
      </c>
      <c r="CD26" s="30">
        <v>181</v>
      </c>
      <c r="CE26" s="30">
        <v>272</v>
      </c>
      <c r="CF26" s="30">
        <v>272</v>
      </c>
      <c r="CG26" s="30">
        <v>190</v>
      </c>
      <c r="CH26" s="30">
        <v>285</v>
      </c>
      <c r="CI26" s="30">
        <v>285</v>
      </c>
      <c r="CJ26" s="30">
        <v>199</v>
      </c>
      <c r="CK26" s="30">
        <v>298</v>
      </c>
      <c r="CL26" s="30">
        <v>298</v>
      </c>
      <c r="CM26" s="30">
        <v>209</v>
      </c>
    </row>
    <row r="27" spans="1:91" x14ac:dyDescent="0.25">
      <c r="A27" s="29" t="s">
        <v>85</v>
      </c>
      <c r="B27" s="30">
        <v>10</v>
      </c>
      <c r="C27" s="30">
        <v>10</v>
      </c>
      <c r="D27" s="30">
        <v>40</v>
      </c>
      <c r="E27" s="30">
        <v>11</v>
      </c>
      <c r="F27" s="30">
        <v>11</v>
      </c>
      <c r="G27" s="30">
        <v>44</v>
      </c>
      <c r="H27" s="30">
        <v>12</v>
      </c>
      <c r="I27" s="30">
        <v>12</v>
      </c>
      <c r="J27" s="30">
        <v>50</v>
      </c>
      <c r="K27" s="30">
        <v>14</v>
      </c>
      <c r="L27" s="30">
        <v>14</v>
      </c>
      <c r="M27" s="30">
        <v>57</v>
      </c>
      <c r="N27" s="30">
        <v>17</v>
      </c>
      <c r="O27" s="30">
        <v>17</v>
      </c>
      <c r="P27" s="30">
        <v>66</v>
      </c>
      <c r="Q27" s="30">
        <v>19</v>
      </c>
      <c r="R27" s="30">
        <v>19</v>
      </c>
      <c r="S27" s="30">
        <v>76</v>
      </c>
      <c r="T27" s="30">
        <v>22</v>
      </c>
      <c r="U27" s="30">
        <v>22</v>
      </c>
      <c r="V27" s="30">
        <v>87</v>
      </c>
      <c r="W27" s="30">
        <v>25</v>
      </c>
      <c r="X27" s="30">
        <v>25</v>
      </c>
      <c r="Y27" s="30">
        <v>98</v>
      </c>
      <c r="Z27" s="30">
        <v>28</v>
      </c>
      <c r="AA27" s="30">
        <v>28</v>
      </c>
      <c r="AB27" s="30">
        <v>110</v>
      </c>
      <c r="AC27" s="30">
        <v>31</v>
      </c>
      <c r="AD27" s="30">
        <v>31</v>
      </c>
      <c r="AE27" s="30">
        <v>123</v>
      </c>
      <c r="AF27" s="30">
        <v>34</v>
      </c>
      <c r="AG27" s="30">
        <v>34</v>
      </c>
      <c r="AH27" s="30">
        <v>136</v>
      </c>
      <c r="AI27" s="30">
        <v>38</v>
      </c>
      <c r="AJ27" s="30">
        <v>38</v>
      </c>
      <c r="AK27" s="30">
        <v>150</v>
      </c>
      <c r="AL27" s="30">
        <v>41</v>
      </c>
      <c r="AM27" s="30">
        <v>41</v>
      </c>
      <c r="AN27" s="30">
        <v>165</v>
      </c>
      <c r="AO27" s="30">
        <v>45</v>
      </c>
      <c r="AP27" s="30">
        <v>45</v>
      </c>
      <c r="AQ27" s="30">
        <v>180</v>
      </c>
      <c r="AR27" s="30">
        <v>49</v>
      </c>
      <c r="AS27" s="30">
        <v>49</v>
      </c>
      <c r="AT27" s="30">
        <v>195</v>
      </c>
      <c r="AU27" s="30">
        <v>53</v>
      </c>
      <c r="AV27" s="30">
        <v>53</v>
      </c>
      <c r="AW27" s="30">
        <v>211</v>
      </c>
      <c r="AX27" s="30">
        <v>57</v>
      </c>
      <c r="AY27" s="30">
        <v>57</v>
      </c>
      <c r="AZ27" s="30">
        <v>228</v>
      </c>
      <c r="BA27" s="30">
        <v>61</v>
      </c>
      <c r="BB27" s="30">
        <v>61</v>
      </c>
      <c r="BC27" s="30">
        <v>245</v>
      </c>
      <c r="BD27" s="30">
        <v>65</v>
      </c>
      <c r="BE27" s="30">
        <v>65</v>
      </c>
      <c r="BF27" s="30">
        <v>262</v>
      </c>
      <c r="BG27" s="30">
        <v>70</v>
      </c>
      <c r="BH27" s="30">
        <v>70</v>
      </c>
      <c r="BI27" s="30">
        <v>280</v>
      </c>
      <c r="BJ27" s="30">
        <v>74</v>
      </c>
      <c r="BK27" s="30">
        <v>74</v>
      </c>
      <c r="BL27" s="30">
        <v>298</v>
      </c>
      <c r="BM27" s="30">
        <v>79</v>
      </c>
      <c r="BN27" s="30">
        <v>79</v>
      </c>
      <c r="BO27" s="30">
        <v>316</v>
      </c>
      <c r="BP27" s="30">
        <v>84</v>
      </c>
      <c r="BQ27" s="30">
        <v>84</v>
      </c>
      <c r="BR27" s="30">
        <v>335</v>
      </c>
      <c r="BS27" s="30">
        <v>89</v>
      </c>
      <c r="BT27" s="30">
        <v>89</v>
      </c>
      <c r="BU27" s="30">
        <v>354</v>
      </c>
      <c r="BV27" s="30">
        <v>93</v>
      </c>
      <c r="BW27" s="30">
        <v>93</v>
      </c>
      <c r="BX27" s="30">
        <v>374</v>
      </c>
      <c r="BY27" s="30">
        <v>98</v>
      </c>
      <c r="BZ27" s="30">
        <v>98</v>
      </c>
      <c r="CA27" s="30">
        <v>394</v>
      </c>
      <c r="CB27" s="30">
        <v>104</v>
      </c>
      <c r="CC27" s="30">
        <v>104</v>
      </c>
      <c r="CD27" s="30">
        <v>414</v>
      </c>
      <c r="CE27" s="30">
        <v>109</v>
      </c>
      <c r="CF27" s="30">
        <v>109</v>
      </c>
      <c r="CG27" s="30">
        <v>435</v>
      </c>
      <c r="CH27" s="30">
        <v>114</v>
      </c>
      <c r="CI27" s="30">
        <v>114</v>
      </c>
      <c r="CJ27" s="30">
        <v>456</v>
      </c>
      <c r="CK27" s="30">
        <v>119</v>
      </c>
      <c r="CL27" s="30">
        <v>119</v>
      </c>
      <c r="CM27" s="30">
        <v>477</v>
      </c>
    </row>
    <row r="28" spans="1:91" x14ac:dyDescent="0.25">
      <c r="A28" s="29" t="s">
        <v>91</v>
      </c>
      <c r="B28" s="30">
        <v>9</v>
      </c>
      <c r="C28" s="30">
        <v>8</v>
      </c>
      <c r="D28" s="30">
        <v>7</v>
      </c>
      <c r="E28" s="30">
        <v>10</v>
      </c>
      <c r="F28" s="30">
        <v>9</v>
      </c>
      <c r="G28" s="30">
        <v>8</v>
      </c>
      <c r="H28" s="30">
        <v>11</v>
      </c>
      <c r="I28" s="30">
        <v>10</v>
      </c>
      <c r="J28" s="30">
        <v>9</v>
      </c>
      <c r="K28" s="30">
        <v>13</v>
      </c>
      <c r="L28" s="30">
        <v>12</v>
      </c>
      <c r="M28" s="30">
        <v>10</v>
      </c>
      <c r="N28" s="30">
        <v>15</v>
      </c>
      <c r="O28" s="30">
        <v>14</v>
      </c>
      <c r="P28" s="30">
        <v>12</v>
      </c>
      <c r="Q28" s="30">
        <v>18</v>
      </c>
      <c r="R28" s="30">
        <v>16</v>
      </c>
      <c r="S28" s="30">
        <v>14</v>
      </c>
      <c r="T28" s="30">
        <v>20</v>
      </c>
      <c r="U28" s="30">
        <v>18</v>
      </c>
      <c r="V28" s="30">
        <v>16</v>
      </c>
      <c r="W28" s="30">
        <v>23</v>
      </c>
      <c r="X28" s="30">
        <v>21</v>
      </c>
      <c r="Y28" s="30">
        <v>18</v>
      </c>
      <c r="Z28" s="30">
        <v>26</v>
      </c>
      <c r="AA28" s="30">
        <v>23</v>
      </c>
      <c r="AB28" s="30">
        <v>20</v>
      </c>
      <c r="AC28" s="30">
        <v>29</v>
      </c>
      <c r="AD28" s="30">
        <v>26</v>
      </c>
      <c r="AE28" s="30">
        <v>23</v>
      </c>
      <c r="AF28" s="30">
        <v>32</v>
      </c>
      <c r="AG28" s="30">
        <v>29</v>
      </c>
      <c r="AH28" s="30">
        <v>25</v>
      </c>
      <c r="AI28" s="30">
        <v>36</v>
      </c>
      <c r="AJ28" s="30">
        <v>32</v>
      </c>
      <c r="AK28" s="30">
        <v>28</v>
      </c>
      <c r="AL28" s="30">
        <v>39</v>
      </c>
      <c r="AM28" s="30">
        <v>35</v>
      </c>
      <c r="AN28" s="30">
        <v>30</v>
      </c>
      <c r="AO28" s="30">
        <v>43</v>
      </c>
      <c r="AP28" s="30">
        <v>38</v>
      </c>
      <c r="AQ28" s="30">
        <v>33</v>
      </c>
      <c r="AR28" s="30">
        <v>46</v>
      </c>
      <c r="AS28" s="30">
        <v>41</v>
      </c>
      <c r="AT28" s="30">
        <v>36</v>
      </c>
      <c r="AU28" s="30">
        <v>50</v>
      </c>
      <c r="AV28" s="30">
        <v>45</v>
      </c>
      <c r="AW28" s="30">
        <v>39</v>
      </c>
      <c r="AX28" s="30">
        <v>54</v>
      </c>
      <c r="AY28" s="30">
        <v>48</v>
      </c>
      <c r="AZ28" s="30">
        <v>42</v>
      </c>
      <c r="BA28" s="30">
        <v>58</v>
      </c>
      <c r="BB28" s="30">
        <v>52</v>
      </c>
      <c r="BC28" s="30">
        <v>45</v>
      </c>
      <c r="BD28" s="30">
        <v>62</v>
      </c>
      <c r="BE28" s="30">
        <v>55</v>
      </c>
      <c r="BF28" s="30">
        <v>48</v>
      </c>
      <c r="BG28" s="30">
        <v>66</v>
      </c>
      <c r="BH28" s="30">
        <v>59</v>
      </c>
      <c r="BI28" s="30">
        <v>52</v>
      </c>
      <c r="BJ28" s="30">
        <v>71</v>
      </c>
      <c r="BK28" s="30">
        <v>63</v>
      </c>
      <c r="BL28" s="30">
        <v>55</v>
      </c>
      <c r="BM28" s="30">
        <v>75</v>
      </c>
      <c r="BN28" s="30">
        <v>67</v>
      </c>
      <c r="BO28" s="30">
        <v>58</v>
      </c>
      <c r="BP28" s="30">
        <v>79</v>
      </c>
      <c r="BQ28" s="30">
        <v>71</v>
      </c>
      <c r="BR28" s="30">
        <v>62</v>
      </c>
      <c r="BS28" s="30">
        <v>84</v>
      </c>
      <c r="BT28" s="30">
        <v>75</v>
      </c>
      <c r="BU28" s="30">
        <v>65</v>
      </c>
      <c r="BV28" s="30">
        <v>89</v>
      </c>
      <c r="BW28" s="30">
        <v>79</v>
      </c>
      <c r="BX28" s="30">
        <v>69</v>
      </c>
      <c r="BY28" s="30">
        <v>93</v>
      </c>
      <c r="BZ28" s="30">
        <v>83</v>
      </c>
      <c r="CA28" s="30">
        <v>73</v>
      </c>
      <c r="CB28" s="30">
        <v>98</v>
      </c>
      <c r="CC28" s="30">
        <v>87</v>
      </c>
      <c r="CD28" s="30">
        <v>76</v>
      </c>
      <c r="CE28" s="30">
        <v>103</v>
      </c>
      <c r="CF28" s="30">
        <v>91</v>
      </c>
      <c r="CG28" s="30">
        <v>80</v>
      </c>
      <c r="CH28" s="30">
        <v>108</v>
      </c>
      <c r="CI28" s="30">
        <v>96</v>
      </c>
      <c r="CJ28" s="30">
        <v>84</v>
      </c>
      <c r="CK28" s="30">
        <v>113</v>
      </c>
      <c r="CL28" s="30">
        <v>100</v>
      </c>
      <c r="CM28" s="30">
        <v>88</v>
      </c>
    </row>
    <row r="29" spans="1:91" x14ac:dyDescent="0.25">
      <c r="A29" s="29" t="s">
        <v>732</v>
      </c>
      <c r="B29" s="30">
        <v>192</v>
      </c>
      <c r="C29" s="30">
        <v>132</v>
      </c>
      <c r="D29" s="30">
        <v>12</v>
      </c>
      <c r="E29" s="30">
        <v>208</v>
      </c>
      <c r="F29" s="30">
        <v>143</v>
      </c>
      <c r="G29" s="30">
        <v>13</v>
      </c>
      <c r="H29" s="30">
        <v>235</v>
      </c>
      <c r="I29" s="30">
        <v>162</v>
      </c>
      <c r="J29" s="30">
        <v>15</v>
      </c>
      <c r="K29" s="30">
        <v>268</v>
      </c>
      <c r="L29" s="30">
        <v>184</v>
      </c>
      <c r="M29" s="30">
        <v>17</v>
      </c>
      <c r="N29" s="30">
        <v>306</v>
      </c>
      <c r="O29" s="30">
        <v>210</v>
      </c>
      <c r="P29" s="30">
        <v>19</v>
      </c>
      <c r="Q29" s="30">
        <v>348</v>
      </c>
      <c r="R29" s="30">
        <v>239</v>
      </c>
      <c r="S29" s="30">
        <v>22</v>
      </c>
      <c r="T29" s="30">
        <v>393</v>
      </c>
      <c r="U29" s="30">
        <v>270</v>
      </c>
      <c r="V29" s="30">
        <v>25</v>
      </c>
      <c r="W29" s="30">
        <v>442</v>
      </c>
      <c r="X29" s="30">
        <v>304</v>
      </c>
      <c r="Y29" s="30">
        <v>28</v>
      </c>
      <c r="Z29" s="30">
        <v>493</v>
      </c>
      <c r="AA29" s="30">
        <v>339</v>
      </c>
      <c r="AB29" s="30">
        <v>31</v>
      </c>
      <c r="AC29" s="30">
        <v>547</v>
      </c>
      <c r="AD29" s="30">
        <v>376</v>
      </c>
      <c r="AE29" s="30">
        <v>34</v>
      </c>
      <c r="AF29" s="30">
        <v>604</v>
      </c>
      <c r="AG29" s="30">
        <v>415</v>
      </c>
      <c r="AH29" s="30">
        <v>38</v>
      </c>
      <c r="AI29" s="30">
        <v>662</v>
      </c>
      <c r="AJ29" s="30">
        <v>455</v>
      </c>
      <c r="AK29" s="30">
        <v>41</v>
      </c>
      <c r="AL29" s="30">
        <v>723</v>
      </c>
      <c r="AM29" s="30">
        <v>497</v>
      </c>
      <c r="AN29" s="30">
        <v>45</v>
      </c>
      <c r="AO29" s="30">
        <v>786</v>
      </c>
      <c r="AP29" s="30">
        <v>541</v>
      </c>
      <c r="AQ29" s="30">
        <v>49</v>
      </c>
      <c r="AR29" s="30">
        <v>851</v>
      </c>
      <c r="AS29" s="30">
        <v>585</v>
      </c>
      <c r="AT29" s="30">
        <v>53</v>
      </c>
      <c r="AU29" s="30">
        <v>918</v>
      </c>
      <c r="AV29" s="30">
        <v>631</v>
      </c>
      <c r="AW29" s="30">
        <v>57</v>
      </c>
      <c r="AX29" s="30">
        <v>987</v>
      </c>
      <c r="AY29" s="30">
        <v>678</v>
      </c>
      <c r="AZ29" s="30">
        <v>62</v>
      </c>
      <c r="BA29" s="30">
        <v>1057</v>
      </c>
      <c r="BB29" s="30">
        <v>727</v>
      </c>
      <c r="BC29" s="30">
        <v>66</v>
      </c>
      <c r="BD29" s="30">
        <v>1129</v>
      </c>
      <c r="BE29" s="30">
        <v>776</v>
      </c>
      <c r="BF29" s="30">
        <v>71</v>
      </c>
      <c r="BG29" s="30">
        <v>1203</v>
      </c>
      <c r="BH29" s="30">
        <v>827</v>
      </c>
      <c r="BI29" s="30">
        <v>75</v>
      </c>
      <c r="BJ29" s="30">
        <v>1278</v>
      </c>
      <c r="BK29" s="30">
        <v>879</v>
      </c>
      <c r="BL29" s="30">
        <v>80</v>
      </c>
      <c r="BM29" s="30">
        <v>1355</v>
      </c>
      <c r="BN29" s="30">
        <v>931</v>
      </c>
      <c r="BO29" s="30">
        <v>85</v>
      </c>
      <c r="BP29" s="30">
        <v>1433</v>
      </c>
      <c r="BQ29" s="30">
        <v>985</v>
      </c>
      <c r="BR29" s="30">
        <v>90</v>
      </c>
      <c r="BS29" s="30">
        <v>1513</v>
      </c>
      <c r="BT29" s="30">
        <v>1040</v>
      </c>
      <c r="BU29" s="30">
        <v>95</v>
      </c>
      <c r="BV29" s="30">
        <v>1594</v>
      </c>
      <c r="BW29" s="30">
        <v>1096</v>
      </c>
      <c r="BX29" s="30">
        <v>100</v>
      </c>
      <c r="BY29" s="30">
        <v>1676</v>
      </c>
      <c r="BZ29" s="30">
        <v>1152</v>
      </c>
      <c r="CA29" s="30">
        <v>105</v>
      </c>
      <c r="CB29" s="30">
        <v>1760</v>
      </c>
      <c r="CC29" s="30">
        <v>1210</v>
      </c>
      <c r="CD29" s="30">
        <v>110</v>
      </c>
      <c r="CE29" s="30">
        <v>1845</v>
      </c>
      <c r="CF29" s="30">
        <v>1269</v>
      </c>
      <c r="CG29" s="30">
        <v>115</v>
      </c>
      <c r="CH29" s="30">
        <v>1932</v>
      </c>
      <c r="CI29" s="30">
        <v>1328</v>
      </c>
      <c r="CJ29" s="30">
        <v>121</v>
      </c>
      <c r="CK29" s="30">
        <v>2019</v>
      </c>
      <c r="CL29" s="30">
        <v>1388</v>
      </c>
      <c r="CM29" s="30">
        <v>126</v>
      </c>
    </row>
    <row r="30" spans="1:91" x14ac:dyDescent="0.25">
      <c r="A30" s="29" t="s">
        <v>1354</v>
      </c>
      <c r="B30" s="340">
        <v>48</v>
      </c>
      <c r="C30" s="340">
        <v>48</v>
      </c>
      <c r="D30" s="340">
        <v>192</v>
      </c>
      <c r="E30" s="340">
        <v>52</v>
      </c>
      <c r="F30" s="340">
        <v>52</v>
      </c>
      <c r="G30" s="340">
        <v>208</v>
      </c>
      <c r="H30" s="340">
        <v>58.833333333333329</v>
      </c>
      <c r="I30" s="340">
        <v>58.833333333333329</v>
      </c>
      <c r="J30" s="340">
        <v>235.33333333333331</v>
      </c>
      <c r="K30" s="340">
        <v>67</v>
      </c>
      <c r="L30" s="340">
        <v>67</v>
      </c>
      <c r="M30" s="340">
        <v>268</v>
      </c>
      <c r="N30" s="340">
        <v>76.666666666666657</v>
      </c>
      <c r="O30" s="340">
        <v>76.666666666666657</v>
      </c>
      <c r="P30" s="340">
        <v>306.66666666666663</v>
      </c>
      <c r="Q30" s="340">
        <v>87</v>
      </c>
      <c r="R30" s="340">
        <v>87</v>
      </c>
      <c r="S30" s="340">
        <v>348</v>
      </c>
      <c r="T30" s="340">
        <v>98.333333333333329</v>
      </c>
      <c r="U30" s="340">
        <v>98.333333333333329</v>
      </c>
      <c r="V30" s="340">
        <v>393.33333333333331</v>
      </c>
      <c r="W30" s="340">
        <v>110.33333333333333</v>
      </c>
      <c r="X30" s="340">
        <v>110.33333333333333</v>
      </c>
      <c r="Y30" s="340">
        <v>441.33333333333331</v>
      </c>
      <c r="Z30" s="340">
        <v>123.33333333333333</v>
      </c>
      <c r="AA30" s="340">
        <v>123.33333333333333</v>
      </c>
      <c r="AB30" s="340">
        <v>493.33333333333331</v>
      </c>
      <c r="AC30" s="340">
        <v>136.83333333333331</v>
      </c>
      <c r="AD30" s="340">
        <v>136.83333333333331</v>
      </c>
      <c r="AE30" s="340">
        <v>547.33333333333326</v>
      </c>
      <c r="AF30" s="340">
        <v>151</v>
      </c>
      <c r="AG30" s="340">
        <v>151</v>
      </c>
      <c r="AH30" s="340">
        <v>604</v>
      </c>
      <c r="AI30" s="340">
        <v>165.66666666666666</v>
      </c>
      <c r="AJ30" s="340">
        <v>165.66666666666666</v>
      </c>
      <c r="AK30" s="340">
        <v>662.66666666666663</v>
      </c>
      <c r="AL30" s="340">
        <v>180.83333333333331</v>
      </c>
      <c r="AM30" s="340">
        <v>180.83333333333331</v>
      </c>
      <c r="AN30" s="340">
        <v>723.33333333333326</v>
      </c>
      <c r="AO30" s="340">
        <v>196.66666666666666</v>
      </c>
      <c r="AP30" s="340">
        <v>196.66666666666666</v>
      </c>
      <c r="AQ30" s="340">
        <v>786.66666666666663</v>
      </c>
      <c r="AR30" s="340">
        <v>212.83333333333331</v>
      </c>
      <c r="AS30" s="340">
        <v>212.83333333333331</v>
      </c>
      <c r="AT30" s="340">
        <v>851.33333333333326</v>
      </c>
      <c r="AU30" s="340">
        <v>229.66666666666666</v>
      </c>
      <c r="AV30" s="340">
        <v>229.66666666666666</v>
      </c>
      <c r="AW30" s="340">
        <v>918.66666666666663</v>
      </c>
      <c r="AX30" s="340">
        <v>246.66666666666666</v>
      </c>
      <c r="AY30" s="340">
        <v>246.66666666666666</v>
      </c>
      <c r="AZ30" s="340">
        <v>986.66666666666663</v>
      </c>
      <c r="BA30" s="340">
        <v>264.33333333333331</v>
      </c>
      <c r="BB30" s="340">
        <v>264.33333333333331</v>
      </c>
      <c r="BC30" s="340">
        <v>1057.3333333333333</v>
      </c>
      <c r="BD30" s="340">
        <v>282.33333333333331</v>
      </c>
      <c r="BE30" s="340">
        <v>282.33333333333331</v>
      </c>
      <c r="BF30" s="340">
        <v>1129.3333333333333</v>
      </c>
      <c r="BG30" s="340">
        <v>300.66666666666663</v>
      </c>
      <c r="BH30" s="340">
        <v>300.66666666666663</v>
      </c>
      <c r="BI30" s="340">
        <v>1202.6666666666665</v>
      </c>
      <c r="BJ30" s="340">
        <v>319.66666666666663</v>
      </c>
      <c r="BK30" s="340">
        <v>319.66666666666663</v>
      </c>
      <c r="BL30" s="340">
        <v>1278.6666666666665</v>
      </c>
      <c r="BM30" s="340">
        <v>338.66666666666663</v>
      </c>
      <c r="BN30" s="340">
        <v>338.66666666666663</v>
      </c>
      <c r="BO30" s="340">
        <v>1354.6666666666665</v>
      </c>
      <c r="BP30" s="340">
        <v>358.33333333333331</v>
      </c>
      <c r="BQ30" s="340">
        <v>358.33333333333331</v>
      </c>
      <c r="BR30" s="340">
        <v>1433.3333333333333</v>
      </c>
      <c r="BS30" s="340">
        <v>378.16666666666663</v>
      </c>
      <c r="BT30" s="340">
        <v>378.16666666666663</v>
      </c>
      <c r="BU30" s="340">
        <v>1512.6666666666665</v>
      </c>
      <c r="BV30" s="340">
        <v>398.33333333333331</v>
      </c>
      <c r="BW30" s="340">
        <v>398.33333333333331</v>
      </c>
      <c r="BX30" s="340">
        <v>1593.3333333333333</v>
      </c>
      <c r="BY30" s="340">
        <v>419</v>
      </c>
      <c r="BZ30" s="340">
        <v>419</v>
      </c>
      <c r="CA30" s="340">
        <v>1676</v>
      </c>
      <c r="CB30" s="340">
        <v>440</v>
      </c>
      <c r="CC30" s="340">
        <v>440</v>
      </c>
      <c r="CD30" s="340">
        <v>1760</v>
      </c>
      <c r="CE30" s="340">
        <v>461.33333333333331</v>
      </c>
      <c r="CF30" s="340">
        <v>461.33333333333331</v>
      </c>
      <c r="CG30" s="340">
        <v>1845.3333333333333</v>
      </c>
      <c r="CH30" s="340">
        <v>483</v>
      </c>
      <c r="CI30" s="340">
        <v>483</v>
      </c>
      <c r="CJ30" s="340">
        <v>1932</v>
      </c>
      <c r="CK30" s="340">
        <v>504.83333333333331</v>
      </c>
      <c r="CL30" s="340">
        <v>504.83333333333331</v>
      </c>
      <c r="CM30" s="340">
        <v>2019.3333333333333</v>
      </c>
    </row>
    <row r="31" spans="1:91" x14ac:dyDescent="0.25">
      <c r="A31" s="29" t="s">
        <v>48</v>
      </c>
      <c r="B31" s="30">
        <v>40</v>
      </c>
      <c r="C31" s="30">
        <v>55</v>
      </c>
      <c r="D31" s="30">
        <v>25</v>
      </c>
      <c r="E31" s="30">
        <v>44</v>
      </c>
      <c r="F31" s="30">
        <v>61</v>
      </c>
      <c r="G31" s="30">
        <v>28</v>
      </c>
      <c r="H31" s="30">
        <v>52</v>
      </c>
      <c r="I31" s="30">
        <v>71</v>
      </c>
      <c r="J31" s="30">
        <v>32</v>
      </c>
      <c r="K31" s="30">
        <v>61</v>
      </c>
      <c r="L31" s="30">
        <v>84</v>
      </c>
      <c r="M31" s="30">
        <v>38</v>
      </c>
      <c r="N31" s="30">
        <v>71</v>
      </c>
      <c r="O31" s="30">
        <v>98</v>
      </c>
      <c r="P31" s="30">
        <v>45</v>
      </c>
      <c r="Q31" s="30">
        <v>83</v>
      </c>
      <c r="R31" s="30">
        <v>115</v>
      </c>
      <c r="S31" s="30">
        <v>52</v>
      </c>
      <c r="T31" s="30">
        <v>96</v>
      </c>
      <c r="U31" s="30">
        <v>133</v>
      </c>
      <c r="V31" s="30">
        <v>60</v>
      </c>
      <c r="W31" s="30">
        <v>110</v>
      </c>
      <c r="X31" s="30">
        <v>152</v>
      </c>
      <c r="Y31" s="30">
        <v>69</v>
      </c>
      <c r="Z31" s="30">
        <v>125</v>
      </c>
      <c r="AA31" s="30">
        <v>172</v>
      </c>
      <c r="AB31" s="30">
        <v>78</v>
      </c>
      <c r="AC31" s="30">
        <v>141</v>
      </c>
      <c r="AD31" s="30">
        <v>194</v>
      </c>
      <c r="AE31" s="30">
        <v>88</v>
      </c>
      <c r="AF31" s="30">
        <v>158</v>
      </c>
      <c r="AG31" s="30">
        <v>217</v>
      </c>
      <c r="AH31" s="30">
        <v>99</v>
      </c>
      <c r="AI31" s="30">
        <v>175</v>
      </c>
      <c r="AJ31" s="30">
        <v>241</v>
      </c>
      <c r="AK31" s="30">
        <v>109</v>
      </c>
      <c r="AL31" s="30">
        <v>193</v>
      </c>
      <c r="AM31" s="30">
        <v>265</v>
      </c>
      <c r="AN31" s="30">
        <v>121</v>
      </c>
      <c r="AO31" s="30">
        <v>212</v>
      </c>
      <c r="AP31" s="30">
        <v>291</v>
      </c>
      <c r="AQ31" s="30">
        <v>132</v>
      </c>
      <c r="AR31" s="30">
        <v>231</v>
      </c>
      <c r="AS31" s="30">
        <v>318</v>
      </c>
      <c r="AT31" s="30">
        <v>144</v>
      </c>
      <c r="AU31" s="30">
        <v>251</v>
      </c>
      <c r="AV31" s="30">
        <v>345</v>
      </c>
      <c r="AW31" s="30">
        <v>157</v>
      </c>
      <c r="AX31" s="30">
        <v>271</v>
      </c>
      <c r="AY31" s="30">
        <v>373</v>
      </c>
      <c r="AZ31" s="30">
        <v>170</v>
      </c>
      <c r="BA31" s="30">
        <v>293</v>
      </c>
      <c r="BB31" s="30">
        <v>402</v>
      </c>
      <c r="BC31" s="30">
        <v>183</v>
      </c>
      <c r="BD31" s="30">
        <v>314</v>
      </c>
      <c r="BE31" s="30">
        <v>432</v>
      </c>
      <c r="BF31" s="30">
        <v>196</v>
      </c>
      <c r="BG31" s="30">
        <v>336</v>
      </c>
      <c r="BH31" s="30">
        <v>463</v>
      </c>
      <c r="BI31" s="30">
        <v>210</v>
      </c>
      <c r="BJ31" s="30">
        <v>359</v>
      </c>
      <c r="BK31" s="30">
        <v>494</v>
      </c>
      <c r="BL31" s="30">
        <v>225</v>
      </c>
      <c r="BM31" s="30">
        <v>382</v>
      </c>
      <c r="BN31" s="30">
        <v>526</v>
      </c>
      <c r="BO31" s="30">
        <v>239</v>
      </c>
      <c r="BP31" s="30">
        <v>406</v>
      </c>
      <c r="BQ31" s="30">
        <v>558</v>
      </c>
      <c r="BR31" s="30">
        <v>254</v>
      </c>
      <c r="BS31" s="30">
        <v>430</v>
      </c>
      <c r="BT31" s="30">
        <v>592</v>
      </c>
      <c r="BU31" s="30">
        <v>269</v>
      </c>
      <c r="BV31" s="30">
        <v>455</v>
      </c>
      <c r="BW31" s="30">
        <v>626</v>
      </c>
      <c r="BX31" s="30">
        <v>284</v>
      </c>
      <c r="BY31" s="30">
        <v>480</v>
      </c>
      <c r="BZ31" s="30">
        <v>660</v>
      </c>
      <c r="CA31" s="30">
        <v>300</v>
      </c>
      <c r="CB31" s="30">
        <v>506</v>
      </c>
      <c r="CC31" s="30">
        <v>695</v>
      </c>
      <c r="CD31" s="30">
        <v>316</v>
      </c>
      <c r="CE31" s="30">
        <v>532</v>
      </c>
      <c r="CF31" s="30">
        <v>731</v>
      </c>
      <c r="CG31" s="30">
        <v>332</v>
      </c>
      <c r="CH31" s="30">
        <v>558</v>
      </c>
      <c r="CI31" s="30">
        <v>767</v>
      </c>
      <c r="CJ31" s="30">
        <v>349</v>
      </c>
      <c r="CK31" s="30">
        <v>585</v>
      </c>
      <c r="CL31" s="30">
        <v>804</v>
      </c>
      <c r="CM31" s="30">
        <v>366</v>
      </c>
    </row>
    <row r="32" spans="1:91" x14ac:dyDescent="0.25">
      <c r="A32" s="29" t="s">
        <v>34</v>
      </c>
      <c r="B32" s="30">
        <v>33</v>
      </c>
      <c r="C32" s="30">
        <v>5</v>
      </c>
      <c r="D32" s="30">
        <v>23</v>
      </c>
      <c r="E32" s="30">
        <v>35</v>
      </c>
      <c r="F32" s="30">
        <v>5</v>
      </c>
      <c r="G32" s="30">
        <v>25</v>
      </c>
      <c r="H32" s="30">
        <v>40</v>
      </c>
      <c r="I32" s="30">
        <v>6</v>
      </c>
      <c r="J32" s="30">
        <v>28</v>
      </c>
      <c r="K32" s="30">
        <v>47</v>
      </c>
      <c r="L32" s="30">
        <v>7</v>
      </c>
      <c r="M32" s="30">
        <v>32</v>
      </c>
      <c r="N32" s="30">
        <v>54</v>
      </c>
      <c r="O32" s="30">
        <v>8</v>
      </c>
      <c r="P32" s="30">
        <v>37</v>
      </c>
      <c r="Q32" s="30">
        <v>62</v>
      </c>
      <c r="R32" s="30">
        <v>10</v>
      </c>
      <c r="S32" s="30">
        <v>43</v>
      </c>
      <c r="T32" s="30">
        <v>70</v>
      </c>
      <c r="U32" s="30">
        <v>11</v>
      </c>
      <c r="V32" s="30">
        <v>49</v>
      </c>
      <c r="W32" s="30">
        <v>80</v>
      </c>
      <c r="X32" s="30">
        <v>12</v>
      </c>
      <c r="Y32" s="30">
        <v>55</v>
      </c>
      <c r="Z32" s="30">
        <v>90</v>
      </c>
      <c r="AA32" s="30">
        <v>14</v>
      </c>
      <c r="AB32" s="30">
        <v>62</v>
      </c>
      <c r="AC32" s="30">
        <v>100</v>
      </c>
      <c r="AD32" s="30">
        <v>15</v>
      </c>
      <c r="AE32" s="30">
        <v>69</v>
      </c>
      <c r="AF32" s="30">
        <v>111</v>
      </c>
      <c r="AG32" s="30">
        <v>17</v>
      </c>
      <c r="AH32" s="30">
        <v>77</v>
      </c>
      <c r="AI32" s="30">
        <v>122</v>
      </c>
      <c r="AJ32" s="30">
        <v>19</v>
      </c>
      <c r="AK32" s="30">
        <v>85</v>
      </c>
      <c r="AL32" s="30">
        <v>134</v>
      </c>
      <c r="AM32" s="30">
        <v>21</v>
      </c>
      <c r="AN32" s="30">
        <v>93</v>
      </c>
      <c r="AO32" s="30">
        <v>146</v>
      </c>
      <c r="AP32" s="30">
        <v>22</v>
      </c>
      <c r="AQ32" s="30">
        <v>101</v>
      </c>
      <c r="AR32" s="30">
        <v>159</v>
      </c>
      <c r="AS32" s="30">
        <v>24</v>
      </c>
      <c r="AT32" s="30">
        <v>110</v>
      </c>
      <c r="AU32" s="30">
        <v>172</v>
      </c>
      <c r="AV32" s="30">
        <v>26</v>
      </c>
      <c r="AW32" s="30">
        <v>119</v>
      </c>
      <c r="AX32" s="30">
        <v>185</v>
      </c>
      <c r="AY32" s="30">
        <v>28</v>
      </c>
      <c r="AZ32" s="30">
        <v>128</v>
      </c>
      <c r="BA32" s="30">
        <v>199</v>
      </c>
      <c r="BB32" s="30">
        <v>31</v>
      </c>
      <c r="BC32" s="30">
        <v>138</v>
      </c>
      <c r="BD32" s="30">
        <v>213</v>
      </c>
      <c r="BE32" s="30">
        <v>33</v>
      </c>
      <c r="BF32" s="30">
        <v>147</v>
      </c>
      <c r="BG32" s="30">
        <v>227</v>
      </c>
      <c r="BH32" s="30">
        <v>35</v>
      </c>
      <c r="BI32" s="30">
        <v>157</v>
      </c>
      <c r="BJ32" s="30">
        <v>242</v>
      </c>
      <c r="BK32" s="30">
        <v>37</v>
      </c>
      <c r="BL32" s="30">
        <v>167</v>
      </c>
      <c r="BM32" s="30">
        <v>257</v>
      </c>
      <c r="BN32" s="30">
        <v>40</v>
      </c>
      <c r="BO32" s="30">
        <v>178</v>
      </c>
      <c r="BP32" s="30">
        <v>272</v>
      </c>
      <c r="BQ32" s="30">
        <v>42</v>
      </c>
      <c r="BR32" s="30">
        <v>188</v>
      </c>
      <c r="BS32" s="30">
        <v>288</v>
      </c>
      <c r="BT32" s="30">
        <v>44</v>
      </c>
      <c r="BU32" s="30">
        <v>199</v>
      </c>
      <c r="BV32" s="30">
        <v>304</v>
      </c>
      <c r="BW32" s="30">
        <v>47</v>
      </c>
      <c r="BX32" s="30">
        <v>210</v>
      </c>
      <c r="BY32" s="30">
        <v>320</v>
      </c>
      <c r="BZ32" s="30">
        <v>49</v>
      </c>
      <c r="CA32" s="30">
        <v>221</v>
      </c>
      <c r="CB32" s="30">
        <v>336</v>
      </c>
      <c r="CC32" s="30">
        <v>52</v>
      </c>
      <c r="CD32" s="30">
        <v>233</v>
      </c>
      <c r="CE32" s="30">
        <v>353</v>
      </c>
      <c r="CF32" s="30">
        <v>54</v>
      </c>
      <c r="CG32" s="30">
        <v>245</v>
      </c>
      <c r="CH32" s="30">
        <v>370</v>
      </c>
      <c r="CI32" s="30">
        <v>57</v>
      </c>
      <c r="CJ32" s="30">
        <v>256</v>
      </c>
      <c r="CK32" s="30">
        <v>387</v>
      </c>
      <c r="CL32" s="30">
        <v>60</v>
      </c>
      <c r="CM32" s="30">
        <v>268</v>
      </c>
    </row>
    <row r="33" spans="1:91" x14ac:dyDescent="0.25">
      <c r="A33" s="29" t="s">
        <v>19</v>
      </c>
      <c r="B33" s="30">
        <v>2</v>
      </c>
      <c r="C33" s="30">
        <v>11</v>
      </c>
      <c r="D33" s="30">
        <v>10</v>
      </c>
      <c r="E33" s="30">
        <v>2</v>
      </c>
      <c r="F33" s="30">
        <v>12</v>
      </c>
      <c r="G33" s="30">
        <v>11</v>
      </c>
      <c r="H33" s="30">
        <v>3</v>
      </c>
      <c r="I33" s="30">
        <v>14</v>
      </c>
      <c r="J33" s="30">
        <v>13</v>
      </c>
      <c r="K33" s="30">
        <v>3</v>
      </c>
      <c r="L33" s="30">
        <v>16</v>
      </c>
      <c r="M33" s="30">
        <v>15</v>
      </c>
      <c r="N33" s="30">
        <v>3</v>
      </c>
      <c r="O33" s="30">
        <v>19</v>
      </c>
      <c r="P33" s="30">
        <v>17</v>
      </c>
      <c r="Q33" s="30">
        <v>4</v>
      </c>
      <c r="R33" s="30">
        <v>22</v>
      </c>
      <c r="S33" s="30">
        <v>20</v>
      </c>
      <c r="T33" s="30">
        <v>5</v>
      </c>
      <c r="U33" s="30">
        <v>25</v>
      </c>
      <c r="V33" s="30">
        <v>23</v>
      </c>
      <c r="W33" s="30">
        <v>5</v>
      </c>
      <c r="X33" s="30">
        <v>28</v>
      </c>
      <c r="Y33" s="30">
        <v>26</v>
      </c>
      <c r="Z33" s="30">
        <v>6</v>
      </c>
      <c r="AA33" s="30">
        <v>32</v>
      </c>
      <c r="AB33" s="30">
        <v>29</v>
      </c>
      <c r="AC33" s="30">
        <v>6</v>
      </c>
      <c r="AD33" s="30">
        <v>36</v>
      </c>
      <c r="AE33" s="30">
        <v>32</v>
      </c>
      <c r="AF33" s="30">
        <v>7</v>
      </c>
      <c r="AG33" s="30">
        <v>39</v>
      </c>
      <c r="AH33" s="30">
        <v>36</v>
      </c>
      <c r="AI33" s="30">
        <v>8</v>
      </c>
      <c r="AJ33" s="30">
        <v>44</v>
      </c>
      <c r="AK33" s="30">
        <v>40</v>
      </c>
      <c r="AL33" s="30">
        <v>9</v>
      </c>
      <c r="AM33" s="30">
        <v>48</v>
      </c>
      <c r="AN33" s="30">
        <v>44</v>
      </c>
      <c r="AO33" s="30">
        <v>10</v>
      </c>
      <c r="AP33" s="30">
        <v>52</v>
      </c>
      <c r="AQ33" s="30">
        <v>48</v>
      </c>
      <c r="AR33" s="30">
        <v>10</v>
      </c>
      <c r="AS33" s="30">
        <v>57</v>
      </c>
      <c r="AT33" s="30">
        <v>52</v>
      </c>
      <c r="AU33" s="30">
        <v>11</v>
      </c>
      <c r="AV33" s="30">
        <v>61</v>
      </c>
      <c r="AW33" s="30">
        <v>56</v>
      </c>
      <c r="AX33" s="30">
        <v>12</v>
      </c>
      <c r="AY33" s="30">
        <v>66</v>
      </c>
      <c r="AZ33" s="30">
        <v>60</v>
      </c>
      <c r="BA33" s="30">
        <v>13</v>
      </c>
      <c r="BB33" s="30">
        <v>71</v>
      </c>
      <c r="BC33" s="30">
        <v>65</v>
      </c>
      <c r="BD33" s="30">
        <v>14</v>
      </c>
      <c r="BE33" s="30">
        <v>76</v>
      </c>
      <c r="BF33" s="30">
        <v>69</v>
      </c>
      <c r="BG33" s="30">
        <v>15</v>
      </c>
      <c r="BH33" s="30">
        <v>81</v>
      </c>
      <c r="BI33" s="30">
        <v>74</v>
      </c>
      <c r="BJ33" s="30">
        <v>16</v>
      </c>
      <c r="BK33" s="30">
        <v>86</v>
      </c>
      <c r="BL33" s="30">
        <v>79</v>
      </c>
      <c r="BM33" s="30">
        <v>17</v>
      </c>
      <c r="BN33" s="30">
        <v>92</v>
      </c>
      <c r="BO33" s="30">
        <v>83</v>
      </c>
      <c r="BP33" s="30">
        <v>18</v>
      </c>
      <c r="BQ33" s="30">
        <v>97</v>
      </c>
      <c r="BR33" s="30">
        <v>88</v>
      </c>
      <c r="BS33" s="30">
        <v>19</v>
      </c>
      <c r="BT33" s="30">
        <v>103</v>
      </c>
      <c r="BU33" s="30">
        <v>93</v>
      </c>
      <c r="BV33" s="30">
        <v>20</v>
      </c>
      <c r="BW33" s="30">
        <v>108</v>
      </c>
      <c r="BX33" s="30">
        <v>98</v>
      </c>
      <c r="BY33" s="30">
        <v>21</v>
      </c>
      <c r="BZ33" s="30">
        <v>114</v>
      </c>
      <c r="CA33" s="30">
        <v>104</v>
      </c>
      <c r="CB33" s="30">
        <v>22</v>
      </c>
      <c r="CC33" s="30">
        <v>120</v>
      </c>
      <c r="CD33" s="30">
        <v>109</v>
      </c>
      <c r="CE33" s="30">
        <v>23</v>
      </c>
      <c r="CF33" s="30">
        <v>126</v>
      </c>
      <c r="CG33" s="30">
        <v>114</v>
      </c>
      <c r="CH33" s="30">
        <v>24</v>
      </c>
      <c r="CI33" s="30">
        <v>132</v>
      </c>
      <c r="CJ33" s="30">
        <v>120</v>
      </c>
      <c r="CK33" s="30">
        <v>25</v>
      </c>
      <c r="CL33" s="30">
        <v>138</v>
      </c>
      <c r="CM33" s="30">
        <v>125</v>
      </c>
    </row>
    <row r="34" spans="1:91" x14ac:dyDescent="0.25">
      <c r="A34" s="29" t="s">
        <v>254</v>
      </c>
      <c r="B34" s="30">
        <v>50</v>
      </c>
      <c r="C34" s="30">
        <v>60</v>
      </c>
      <c r="D34" s="30">
        <v>10</v>
      </c>
      <c r="E34" s="30">
        <v>55</v>
      </c>
      <c r="F34" s="30">
        <v>66</v>
      </c>
      <c r="G34" s="30">
        <v>11</v>
      </c>
      <c r="H34" s="30">
        <v>65</v>
      </c>
      <c r="I34" s="30">
        <v>77</v>
      </c>
      <c r="J34" s="30">
        <v>13</v>
      </c>
      <c r="K34" s="30">
        <v>76</v>
      </c>
      <c r="L34" s="30">
        <v>91</v>
      </c>
      <c r="M34" s="30">
        <v>15</v>
      </c>
      <c r="N34" s="30">
        <v>89</v>
      </c>
      <c r="O34" s="30">
        <v>107</v>
      </c>
      <c r="P34" s="30">
        <v>18</v>
      </c>
      <c r="Q34" s="30">
        <v>104</v>
      </c>
      <c r="R34" s="30">
        <v>125</v>
      </c>
      <c r="S34" s="30">
        <v>21</v>
      </c>
      <c r="T34" s="30">
        <v>121</v>
      </c>
      <c r="U34" s="30">
        <v>145</v>
      </c>
      <c r="V34" s="30">
        <v>24</v>
      </c>
      <c r="W34" s="30">
        <v>138</v>
      </c>
      <c r="X34" s="30">
        <v>166</v>
      </c>
      <c r="Y34" s="30">
        <v>28</v>
      </c>
      <c r="Z34" s="30">
        <v>157</v>
      </c>
      <c r="AA34" s="30">
        <v>188</v>
      </c>
      <c r="AB34" s="30">
        <v>31</v>
      </c>
      <c r="AC34" s="30">
        <v>176</v>
      </c>
      <c r="AD34" s="30">
        <v>212</v>
      </c>
      <c r="AE34" s="30">
        <v>35</v>
      </c>
      <c r="AF34" s="30">
        <v>197</v>
      </c>
      <c r="AG34" s="30">
        <v>237</v>
      </c>
      <c r="AH34" s="30">
        <v>39</v>
      </c>
      <c r="AI34" s="30">
        <v>219</v>
      </c>
      <c r="AJ34" s="30">
        <v>262</v>
      </c>
      <c r="AK34" s="30">
        <v>44</v>
      </c>
      <c r="AL34" s="30">
        <v>241</v>
      </c>
      <c r="AM34" s="30">
        <v>289</v>
      </c>
      <c r="AN34" s="30">
        <v>48</v>
      </c>
      <c r="AO34" s="30">
        <v>265</v>
      </c>
      <c r="AP34" s="30">
        <v>318</v>
      </c>
      <c r="AQ34" s="30">
        <v>53</v>
      </c>
      <c r="AR34" s="30">
        <v>289</v>
      </c>
      <c r="AS34" s="30">
        <v>346</v>
      </c>
      <c r="AT34" s="30">
        <v>58</v>
      </c>
      <c r="AU34" s="30">
        <v>314</v>
      </c>
      <c r="AV34" s="30">
        <v>376</v>
      </c>
      <c r="AW34" s="30">
        <v>63</v>
      </c>
      <c r="AX34" s="30">
        <v>339</v>
      </c>
      <c r="AY34" s="30">
        <v>407</v>
      </c>
      <c r="AZ34" s="30">
        <v>68</v>
      </c>
      <c r="BA34" s="30">
        <v>366</v>
      </c>
      <c r="BB34" s="30">
        <v>439</v>
      </c>
      <c r="BC34" s="30">
        <v>73</v>
      </c>
      <c r="BD34" s="30">
        <v>393</v>
      </c>
      <c r="BE34" s="30">
        <v>471</v>
      </c>
      <c r="BF34" s="30">
        <v>79</v>
      </c>
      <c r="BG34" s="30">
        <v>421</v>
      </c>
      <c r="BH34" s="30">
        <v>505</v>
      </c>
      <c r="BI34" s="30">
        <v>84</v>
      </c>
      <c r="BJ34" s="30">
        <v>449</v>
      </c>
      <c r="BK34" s="30">
        <v>539</v>
      </c>
      <c r="BL34" s="30">
        <v>90</v>
      </c>
      <c r="BM34" s="30">
        <v>478</v>
      </c>
      <c r="BN34" s="30">
        <v>574</v>
      </c>
      <c r="BO34" s="30">
        <v>96</v>
      </c>
      <c r="BP34" s="30">
        <v>508</v>
      </c>
      <c r="BQ34" s="30">
        <v>609</v>
      </c>
      <c r="BR34" s="30">
        <v>102</v>
      </c>
      <c r="BS34" s="30">
        <v>538</v>
      </c>
      <c r="BT34" s="30">
        <v>645</v>
      </c>
      <c r="BU34" s="30">
        <v>108</v>
      </c>
      <c r="BV34" s="30">
        <v>569</v>
      </c>
      <c r="BW34" s="30">
        <v>683</v>
      </c>
      <c r="BX34" s="30">
        <v>114</v>
      </c>
      <c r="BY34" s="30">
        <v>600</v>
      </c>
      <c r="BZ34" s="30">
        <v>720</v>
      </c>
      <c r="CA34" s="30">
        <v>120</v>
      </c>
      <c r="CB34" s="30">
        <v>632</v>
      </c>
      <c r="CC34" s="30">
        <v>759</v>
      </c>
      <c r="CD34" s="30">
        <v>126</v>
      </c>
      <c r="CE34" s="30">
        <v>665</v>
      </c>
      <c r="CF34" s="30">
        <v>798</v>
      </c>
      <c r="CG34" s="30">
        <v>133</v>
      </c>
      <c r="CH34" s="30">
        <v>698</v>
      </c>
      <c r="CI34" s="30">
        <v>837</v>
      </c>
      <c r="CJ34" s="30">
        <v>140</v>
      </c>
      <c r="CK34" s="30">
        <v>731</v>
      </c>
      <c r="CL34" s="30">
        <v>878</v>
      </c>
      <c r="CM34" s="30">
        <v>146</v>
      </c>
    </row>
    <row r="35" spans="1:91" x14ac:dyDescent="0.25">
      <c r="A35" s="29" t="s">
        <v>1644</v>
      </c>
      <c r="B35" s="30">
        <v>30</v>
      </c>
      <c r="C35" s="30">
        <v>28</v>
      </c>
      <c r="D35" s="30">
        <v>38</v>
      </c>
      <c r="E35" s="30">
        <v>33</v>
      </c>
      <c r="F35" s="30">
        <v>30</v>
      </c>
      <c r="G35" s="30">
        <v>41</v>
      </c>
      <c r="H35" s="30">
        <v>37</v>
      </c>
      <c r="I35" s="30">
        <v>34</v>
      </c>
      <c r="J35" s="30">
        <v>47</v>
      </c>
      <c r="K35" s="30">
        <v>43</v>
      </c>
      <c r="L35" s="30">
        <v>39</v>
      </c>
      <c r="M35" s="30">
        <v>54</v>
      </c>
      <c r="N35" s="30">
        <v>50</v>
      </c>
      <c r="O35" s="30">
        <v>46</v>
      </c>
      <c r="P35" s="30">
        <v>62</v>
      </c>
      <c r="Q35" s="30">
        <v>57</v>
      </c>
      <c r="R35" s="30">
        <v>52</v>
      </c>
      <c r="S35" s="30">
        <v>71</v>
      </c>
      <c r="T35" s="30">
        <v>65</v>
      </c>
      <c r="U35" s="30">
        <v>60</v>
      </c>
      <c r="V35" s="30">
        <v>81</v>
      </c>
      <c r="W35" s="30">
        <v>74</v>
      </c>
      <c r="X35" s="30">
        <v>67</v>
      </c>
      <c r="Y35" s="30">
        <v>92</v>
      </c>
      <c r="Z35" s="30">
        <v>83</v>
      </c>
      <c r="AA35" s="30">
        <v>76</v>
      </c>
      <c r="AB35" s="30">
        <v>103</v>
      </c>
      <c r="AC35" s="30">
        <v>92</v>
      </c>
      <c r="AD35" s="30">
        <v>84</v>
      </c>
      <c r="AE35" s="30">
        <v>115</v>
      </c>
      <c r="AF35" s="30">
        <v>102</v>
      </c>
      <c r="AG35" s="30">
        <v>94</v>
      </c>
      <c r="AH35" s="30">
        <v>128</v>
      </c>
      <c r="AI35" s="30">
        <v>113</v>
      </c>
      <c r="AJ35" s="30">
        <v>103</v>
      </c>
      <c r="AK35" s="30">
        <v>141</v>
      </c>
      <c r="AL35" s="30">
        <v>124</v>
      </c>
      <c r="AM35" s="30">
        <v>113</v>
      </c>
      <c r="AN35" s="30">
        <v>155</v>
      </c>
      <c r="AO35" s="30">
        <v>135</v>
      </c>
      <c r="AP35" s="30">
        <v>124</v>
      </c>
      <c r="AQ35" s="30">
        <v>169</v>
      </c>
      <c r="AR35" s="30">
        <v>147</v>
      </c>
      <c r="AS35" s="30">
        <v>134</v>
      </c>
      <c r="AT35" s="30">
        <v>183</v>
      </c>
      <c r="AU35" s="30">
        <v>159</v>
      </c>
      <c r="AV35" s="30">
        <v>145</v>
      </c>
      <c r="AW35" s="30">
        <v>198</v>
      </c>
      <c r="AX35" s="30">
        <v>171</v>
      </c>
      <c r="AY35" s="30">
        <v>157</v>
      </c>
      <c r="AZ35" s="30">
        <v>213</v>
      </c>
      <c r="BA35" s="30">
        <v>183</v>
      </c>
      <c r="BB35" s="30">
        <v>168</v>
      </c>
      <c r="BC35" s="30">
        <v>229</v>
      </c>
      <c r="BD35" s="30">
        <v>196</v>
      </c>
      <c r="BE35" s="30">
        <v>180</v>
      </c>
      <c r="BF35" s="30">
        <v>246</v>
      </c>
      <c r="BG35" s="30">
        <v>210</v>
      </c>
      <c r="BH35" s="30">
        <v>192</v>
      </c>
      <c r="BI35" s="30">
        <v>262</v>
      </c>
      <c r="BJ35" s="30">
        <v>223</v>
      </c>
      <c r="BK35" s="30">
        <v>205</v>
      </c>
      <c r="BL35" s="30">
        <v>279</v>
      </c>
      <c r="BM35" s="30">
        <v>237</v>
      </c>
      <c r="BN35" s="30">
        <v>217</v>
      </c>
      <c r="BO35" s="30">
        <v>296</v>
      </c>
      <c r="BP35" s="30">
        <v>251</v>
      </c>
      <c r="BQ35" s="30">
        <v>230</v>
      </c>
      <c r="BR35" s="30">
        <v>314</v>
      </c>
      <c r="BS35" s="30">
        <v>266</v>
      </c>
      <c r="BT35" s="30">
        <v>244</v>
      </c>
      <c r="BU35" s="30">
        <v>332</v>
      </c>
      <c r="BV35" s="30">
        <v>280</v>
      </c>
      <c r="BW35" s="30">
        <v>257</v>
      </c>
      <c r="BX35" s="30">
        <v>351</v>
      </c>
      <c r="BY35" s="30">
        <v>295</v>
      </c>
      <c r="BZ35" s="30">
        <v>271</v>
      </c>
      <c r="CA35" s="30">
        <v>369</v>
      </c>
      <c r="CB35" s="30">
        <v>311</v>
      </c>
      <c r="CC35" s="30">
        <v>285</v>
      </c>
      <c r="CD35" s="30">
        <v>388</v>
      </c>
      <c r="CE35" s="30">
        <v>326</v>
      </c>
      <c r="CF35" s="30">
        <v>299</v>
      </c>
      <c r="CG35" s="30">
        <v>408</v>
      </c>
      <c r="CH35" s="30">
        <v>342</v>
      </c>
      <c r="CI35" s="30">
        <v>313</v>
      </c>
      <c r="CJ35" s="30">
        <v>427</v>
      </c>
      <c r="CK35" s="30">
        <v>358</v>
      </c>
      <c r="CL35" s="30">
        <v>328</v>
      </c>
      <c r="CM35" s="30">
        <v>447</v>
      </c>
    </row>
    <row r="36" spans="1:91" x14ac:dyDescent="0.25">
      <c r="A36" s="29" t="s">
        <v>1651</v>
      </c>
      <c r="B36" s="274">
        <v>228</v>
      </c>
      <c r="C36" s="274">
        <v>156</v>
      </c>
      <c r="D36" s="274">
        <v>72</v>
      </c>
      <c r="E36" s="274">
        <v>247</v>
      </c>
      <c r="F36" s="274">
        <v>169</v>
      </c>
      <c r="G36" s="274">
        <v>78</v>
      </c>
      <c r="H36" s="274">
        <v>279.45833333333331</v>
      </c>
      <c r="I36" s="274">
        <v>191.20833333333331</v>
      </c>
      <c r="J36" s="274">
        <v>88.249999999999986</v>
      </c>
      <c r="K36" s="274">
        <v>318.25</v>
      </c>
      <c r="L36" s="274">
        <v>217.75</v>
      </c>
      <c r="M36" s="274">
        <v>100.5</v>
      </c>
      <c r="N36" s="274">
        <v>364.16666666666663</v>
      </c>
      <c r="O36" s="274">
        <v>249.16666666666666</v>
      </c>
      <c r="P36" s="274">
        <v>114.99999999999999</v>
      </c>
      <c r="Q36" s="274">
        <v>413.25</v>
      </c>
      <c r="R36" s="274">
        <v>282.75</v>
      </c>
      <c r="S36" s="274">
        <v>130.5</v>
      </c>
      <c r="T36" s="274">
        <v>467.08333333333331</v>
      </c>
      <c r="U36" s="274">
        <v>319.58333333333331</v>
      </c>
      <c r="V36" s="274">
        <v>147.5</v>
      </c>
      <c r="W36" s="274">
        <v>524.08333333333326</v>
      </c>
      <c r="X36" s="274">
        <v>358.58333333333331</v>
      </c>
      <c r="Y36" s="274">
        <v>165.49999999999997</v>
      </c>
      <c r="Z36" s="274">
        <v>585.83333333333326</v>
      </c>
      <c r="AA36" s="274">
        <v>400.83333333333331</v>
      </c>
      <c r="AB36" s="274">
        <v>184.99999999999997</v>
      </c>
      <c r="AC36" s="274">
        <v>649.95833333333326</v>
      </c>
      <c r="AD36" s="274">
        <v>444.70833333333331</v>
      </c>
      <c r="AE36" s="274">
        <v>205.24999999999997</v>
      </c>
      <c r="AF36" s="274">
        <v>717.25</v>
      </c>
      <c r="AG36" s="274">
        <v>490.75</v>
      </c>
      <c r="AH36" s="274">
        <v>226.5</v>
      </c>
      <c r="AI36" s="274">
        <v>786.91666666666663</v>
      </c>
      <c r="AJ36" s="274">
        <v>538.41666666666663</v>
      </c>
      <c r="AK36" s="274">
        <v>248.49999999999997</v>
      </c>
      <c r="AL36" s="274">
        <v>858.95833333333326</v>
      </c>
      <c r="AM36" s="274">
        <v>587.70833333333326</v>
      </c>
      <c r="AN36" s="274">
        <v>271.24999999999994</v>
      </c>
      <c r="AO36" s="274">
        <v>934.16666666666663</v>
      </c>
      <c r="AP36" s="274">
        <v>639.16666666666663</v>
      </c>
      <c r="AQ36" s="274">
        <v>295</v>
      </c>
      <c r="AR36" s="274">
        <v>1010.9583333333333</v>
      </c>
      <c r="AS36" s="274">
        <v>691.70833333333326</v>
      </c>
      <c r="AT36" s="274">
        <v>319.24999999999994</v>
      </c>
      <c r="AU36" s="274">
        <v>1090.9166666666665</v>
      </c>
      <c r="AV36" s="274">
        <v>746.41666666666663</v>
      </c>
      <c r="AW36" s="274">
        <v>344.49999999999994</v>
      </c>
      <c r="AX36" s="274">
        <v>1171.6666666666665</v>
      </c>
      <c r="AY36" s="274">
        <v>801.66666666666663</v>
      </c>
      <c r="AZ36" s="274">
        <v>369.99999999999994</v>
      </c>
      <c r="BA36" s="274">
        <v>1255.5833333333333</v>
      </c>
      <c r="BB36" s="274">
        <v>859.08333333333326</v>
      </c>
      <c r="BC36" s="274">
        <v>396.49999999999994</v>
      </c>
      <c r="BD36" s="274">
        <v>1341.0833333333333</v>
      </c>
      <c r="BE36" s="274">
        <v>917.58333333333326</v>
      </c>
      <c r="BF36" s="274">
        <v>423.49999999999994</v>
      </c>
      <c r="BG36" s="274">
        <v>1428.1666666666665</v>
      </c>
      <c r="BH36" s="274">
        <v>977.16666666666663</v>
      </c>
      <c r="BI36" s="274">
        <v>450.99999999999994</v>
      </c>
      <c r="BJ36" s="274">
        <v>1518.4166666666665</v>
      </c>
      <c r="BK36" s="274">
        <v>1038.9166666666665</v>
      </c>
      <c r="BL36" s="274">
        <v>479.49999999999994</v>
      </c>
      <c r="BM36" s="274">
        <v>1608.6666666666665</v>
      </c>
      <c r="BN36" s="274">
        <v>1100.6666666666665</v>
      </c>
      <c r="BO36" s="274">
        <v>507.99999999999994</v>
      </c>
      <c r="BP36" s="274">
        <v>1702.0833333333333</v>
      </c>
      <c r="BQ36" s="274">
        <v>1164.5833333333333</v>
      </c>
      <c r="BR36" s="274">
        <v>537.5</v>
      </c>
      <c r="BS36" s="274">
        <v>1796.2916666666665</v>
      </c>
      <c r="BT36" s="274">
        <v>1229.0416666666665</v>
      </c>
      <c r="BU36" s="274">
        <v>567.24999999999989</v>
      </c>
      <c r="BV36" s="274">
        <v>1892.0833333333333</v>
      </c>
      <c r="BW36" s="274">
        <v>1294.5833333333333</v>
      </c>
      <c r="BX36" s="274">
        <v>597.49999999999989</v>
      </c>
      <c r="BY36" s="274">
        <v>1990.25</v>
      </c>
      <c r="BZ36" s="274">
        <v>1361.75</v>
      </c>
      <c r="CA36" s="274">
        <v>628.5</v>
      </c>
      <c r="CB36" s="274">
        <v>2090</v>
      </c>
      <c r="CC36" s="274">
        <v>1430</v>
      </c>
      <c r="CD36" s="274">
        <v>660</v>
      </c>
      <c r="CE36" s="274">
        <v>2191.333333333333</v>
      </c>
      <c r="CF36" s="274">
        <v>1499.3333333333333</v>
      </c>
      <c r="CG36" s="274">
        <v>691.99999999999989</v>
      </c>
      <c r="CH36" s="274">
        <v>2294.25</v>
      </c>
      <c r="CI36" s="274">
        <v>1569.75</v>
      </c>
      <c r="CJ36" s="274">
        <v>724.5</v>
      </c>
      <c r="CK36" s="274">
        <v>2397.958333333333</v>
      </c>
      <c r="CL36" s="274">
        <v>1640.7083333333333</v>
      </c>
      <c r="CM36" s="274">
        <v>757.24999999999989</v>
      </c>
    </row>
    <row r="37" spans="1:91" x14ac:dyDescent="0.25">
      <c r="A37" s="29" t="s">
        <v>96</v>
      </c>
      <c r="B37" s="30">
        <v>25</v>
      </c>
      <c r="C37" s="30">
        <v>55</v>
      </c>
      <c r="D37" s="30">
        <v>55</v>
      </c>
      <c r="E37" s="30">
        <v>28</v>
      </c>
      <c r="F37" s="30">
        <v>61</v>
      </c>
      <c r="G37" s="30">
        <v>61</v>
      </c>
      <c r="H37" s="30">
        <v>32</v>
      </c>
      <c r="I37" s="30">
        <v>71</v>
      </c>
      <c r="J37" s="30">
        <v>71</v>
      </c>
      <c r="K37" s="30">
        <v>38</v>
      </c>
      <c r="L37" s="30">
        <v>84</v>
      </c>
      <c r="M37" s="30">
        <v>84</v>
      </c>
      <c r="N37" s="30">
        <v>45</v>
      </c>
      <c r="O37" s="30">
        <v>98</v>
      </c>
      <c r="P37" s="30">
        <v>98</v>
      </c>
      <c r="Q37" s="30">
        <v>52</v>
      </c>
      <c r="R37" s="30">
        <v>115</v>
      </c>
      <c r="S37" s="30">
        <v>115</v>
      </c>
      <c r="T37" s="30">
        <v>60</v>
      </c>
      <c r="U37" s="30">
        <v>133</v>
      </c>
      <c r="V37" s="30">
        <v>133</v>
      </c>
      <c r="W37" s="30">
        <v>69</v>
      </c>
      <c r="X37" s="30">
        <v>152</v>
      </c>
      <c r="Y37" s="30">
        <v>152</v>
      </c>
      <c r="Z37" s="30">
        <v>78</v>
      </c>
      <c r="AA37" s="30">
        <v>172</v>
      </c>
      <c r="AB37" s="30">
        <v>172</v>
      </c>
      <c r="AC37" s="30">
        <v>88</v>
      </c>
      <c r="AD37" s="30">
        <v>194</v>
      </c>
      <c r="AE37" s="30">
        <v>194</v>
      </c>
      <c r="AF37" s="30">
        <v>99</v>
      </c>
      <c r="AG37" s="30">
        <v>217</v>
      </c>
      <c r="AH37" s="30">
        <v>217</v>
      </c>
      <c r="AI37" s="30">
        <v>109</v>
      </c>
      <c r="AJ37" s="30">
        <v>241</v>
      </c>
      <c r="AK37" s="30">
        <v>241</v>
      </c>
      <c r="AL37" s="30">
        <v>121</v>
      </c>
      <c r="AM37" s="30">
        <v>265</v>
      </c>
      <c r="AN37" s="30">
        <v>265</v>
      </c>
      <c r="AO37" s="30">
        <v>132</v>
      </c>
      <c r="AP37" s="30">
        <v>291</v>
      </c>
      <c r="AQ37" s="30">
        <v>291</v>
      </c>
      <c r="AR37" s="30">
        <v>144</v>
      </c>
      <c r="AS37" s="30">
        <v>318</v>
      </c>
      <c r="AT37" s="30">
        <v>318</v>
      </c>
      <c r="AU37" s="30">
        <v>157</v>
      </c>
      <c r="AV37" s="30">
        <v>345</v>
      </c>
      <c r="AW37" s="30">
        <v>345</v>
      </c>
      <c r="AX37" s="30">
        <v>170</v>
      </c>
      <c r="AY37" s="30">
        <v>373</v>
      </c>
      <c r="AZ37" s="30">
        <v>373</v>
      </c>
      <c r="BA37" s="30">
        <v>183</v>
      </c>
      <c r="BB37" s="30">
        <v>402</v>
      </c>
      <c r="BC37" s="30">
        <v>402</v>
      </c>
      <c r="BD37" s="30">
        <v>196</v>
      </c>
      <c r="BE37" s="30">
        <v>432</v>
      </c>
      <c r="BF37" s="30">
        <v>432</v>
      </c>
      <c r="BG37" s="30">
        <v>210</v>
      </c>
      <c r="BH37" s="30">
        <v>463</v>
      </c>
      <c r="BI37" s="30">
        <v>463</v>
      </c>
      <c r="BJ37" s="30">
        <v>225</v>
      </c>
      <c r="BK37" s="30">
        <v>494</v>
      </c>
      <c r="BL37" s="30">
        <v>494</v>
      </c>
      <c r="BM37" s="30">
        <v>239</v>
      </c>
      <c r="BN37" s="30">
        <v>526</v>
      </c>
      <c r="BO37" s="30">
        <v>526</v>
      </c>
      <c r="BP37" s="30">
        <v>254</v>
      </c>
      <c r="BQ37" s="30">
        <v>558</v>
      </c>
      <c r="BR37" s="30">
        <v>558</v>
      </c>
      <c r="BS37" s="30">
        <v>269</v>
      </c>
      <c r="BT37" s="30">
        <v>592</v>
      </c>
      <c r="BU37" s="30">
        <v>592</v>
      </c>
      <c r="BV37" s="30">
        <v>284</v>
      </c>
      <c r="BW37" s="30">
        <v>626</v>
      </c>
      <c r="BX37" s="30">
        <v>626</v>
      </c>
      <c r="BY37" s="30">
        <v>300</v>
      </c>
      <c r="BZ37" s="30">
        <v>660</v>
      </c>
      <c r="CA37" s="30">
        <v>660</v>
      </c>
      <c r="CB37" s="30">
        <v>316</v>
      </c>
      <c r="CC37" s="30">
        <v>695</v>
      </c>
      <c r="CD37" s="30">
        <v>695</v>
      </c>
      <c r="CE37" s="30">
        <v>332</v>
      </c>
      <c r="CF37" s="30">
        <v>731</v>
      </c>
      <c r="CG37" s="30">
        <v>731</v>
      </c>
      <c r="CH37" s="30">
        <v>349</v>
      </c>
      <c r="CI37" s="30">
        <v>767</v>
      </c>
      <c r="CJ37" s="30">
        <v>767</v>
      </c>
      <c r="CK37" s="30">
        <v>366</v>
      </c>
      <c r="CL37" s="30">
        <v>804</v>
      </c>
      <c r="CM37" s="30">
        <v>804</v>
      </c>
    </row>
    <row r="38" spans="1:91" x14ac:dyDescent="0.25">
      <c r="A38" s="29" t="s">
        <v>107</v>
      </c>
      <c r="B38" s="30">
        <v>24</v>
      </c>
      <c r="C38" s="30">
        <v>84</v>
      </c>
      <c r="D38" s="30">
        <v>180</v>
      </c>
      <c r="E38" s="30">
        <v>26</v>
      </c>
      <c r="F38" s="30">
        <v>91</v>
      </c>
      <c r="G38" s="30">
        <v>195</v>
      </c>
      <c r="H38" s="30">
        <v>29</v>
      </c>
      <c r="I38" s="30">
        <v>103</v>
      </c>
      <c r="J38" s="30">
        <v>221</v>
      </c>
      <c r="K38" s="30">
        <v>34</v>
      </c>
      <c r="L38" s="30">
        <v>117</v>
      </c>
      <c r="M38" s="30">
        <v>252</v>
      </c>
      <c r="N38" s="30">
        <v>38</v>
      </c>
      <c r="O38" s="30">
        <v>134</v>
      </c>
      <c r="P38" s="30">
        <v>287</v>
      </c>
      <c r="Q38" s="30">
        <v>44</v>
      </c>
      <c r="R38" s="30">
        <v>152</v>
      </c>
      <c r="S38" s="30">
        <v>326</v>
      </c>
      <c r="T38" s="30">
        <v>49</v>
      </c>
      <c r="U38" s="30">
        <v>172</v>
      </c>
      <c r="V38" s="30">
        <v>369</v>
      </c>
      <c r="W38" s="30">
        <v>55</v>
      </c>
      <c r="X38" s="30">
        <v>193</v>
      </c>
      <c r="Y38" s="30">
        <v>414</v>
      </c>
      <c r="Z38" s="30">
        <v>62</v>
      </c>
      <c r="AA38" s="30">
        <v>216</v>
      </c>
      <c r="AB38" s="30">
        <v>462</v>
      </c>
      <c r="AC38" s="30">
        <v>68</v>
      </c>
      <c r="AD38" s="30">
        <v>239</v>
      </c>
      <c r="AE38" s="30">
        <v>513</v>
      </c>
      <c r="AF38" s="30">
        <v>75</v>
      </c>
      <c r="AG38" s="30">
        <v>264</v>
      </c>
      <c r="AH38" s="30">
        <v>566</v>
      </c>
      <c r="AI38" s="30">
        <v>83</v>
      </c>
      <c r="AJ38" s="30">
        <v>290</v>
      </c>
      <c r="AK38" s="30">
        <v>621</v>
      </c>
      <c r="AL38" s="30">
        <v>90</v>
      </c>
      <c r="AM38" s="30">
        <v>316</v>
      </c>
      <c r="AN38" s="30">
        <v>678</v>
      </c>
      <c r="AO38" s="30">
        <v>98</v>
      </c>
      <c r="AP38" s="30">
        <v>344</v>
      </c>
      <c r="AQ38" s="30">
        <v>737</v>
      </c>
      <c r="AR38" s="30">
        <v>106</v>
      </c>
      <c r="AS38" s="30">
        <v>372</v>
      </c>
      <c r="AT38" s="30">
        <v>798</v>
      </c>
      <c r="AU38" s="30">
        <v>115</v>
      </c>
      <c r="AV38" s="30">
        <v>402</v>
      </c>
      <c r="AW38" s="30">
        <v>861</v>
      </c>
      <c r="AX38" s="30">
        <v>123</v>
      </c>
      <c r="AY38" s="30">
        <v>432</v>
      </c>
      <c r="AZ38" s="30">
        <v>925</v>
      </c>
      <c r="BA38" s="30">
        <v>132</v>
      </c>
      <c r="BB38" s="30">
        <v>462</v>
      </c>
      <c r="BC38" s="30">
        <v>991</v>
      </c>
      <c r="BD38" s="30">
        <v>141</v>
      </c>
      <c r="BE38" s="30">
        <v>494</v>
      </c>
      <c r="BF38" s="30">
        <v>1059</v>
      </c>
      <c r="BG38" s="30">
        <v>150</v>
      </c>
      <c r="BH38" s="30">
        <v>526</v>
      </c>
      <c r="BI38" s="30">
        <v>1128</v>
      </c>
      <c r="BJ38" s="30">
        <v>160</v>
      </c>
      <c r="BK38" s="30">
        <v>559</v>
      </c>
      <c r="BL38" s="30">
        <v>1198</v>
      </c>
      <c r="BM38" s="30">
        <v>169</v>
      </c>
      <c r="BN38" s="30">
        <v>593</v>
      </c>
      <c r="BO38" s="30">
        <v>1270</v>
      </c>
      <c r="BP38" s="30">
        <v>179</v>
      </c>
      <c r="BQ38" s="30">
        <v>627</v>
      </c>
      <c r="BR38" s="30">
        <v>1344</v>
      </c>
      <c r="BS38" s="30">
        <v>189</v>
      </c>
      <c r="BT38" s="30">
        <v>662</v>
      </c>
      <c r="BU38" s="30">
        <v>1418</v>
      </c>
      <c r="BV38" s="30">
        <v>199</v>
      </c>
      <c r="BW38" s="30">
        <v>697</v>
      </c>
      <c r="BX38" s="30">
        <v>1494</v>
      </c>
      <c r="BY38" s="30">
        <v>210</v>
      </c>
      <c r="BZ38" s="30">
        <v>733</v>
      </c>
      <c r="CA38" s="30">
        <v>1572</v>
      </c>
      <c r="CB38" s="30">
        <v>220</v>
      </c>
      <c r="CC38" s="30">
        <v>770</v>
      </c>
      <c r="CD38" s="30">
        <v>1650</v>
      </c>
      <c r="CE38" s="30">
        <v>231</v>
      </c>
      <c r="CF38" s="30">
        <v>807</v>
      </c>
      <c r="CG38" s="30">
        <v>1730</v>
      </c>
      <c r="CH38" s="30">
        <v>241</v>
      </c>
      <c r="CI38" s="30">
        <v>845</v>
      </c>
      <c r="CJ38" s="30">
        <v>1811</v>
      </c>
      <c r="CK38" s="30">
        <v>252</v>
      </c>
      <c r="CL38" s="30">
        <v>883</v>
      </c>
      <c r="CM38" s="30">
        <v>1893</v>
      </c>
    </row>
    <row r="39" spans="1:91" x14ac:dyDescent="0.25">
      <c r="A39" s="29" t="s">
        <v>1975</v>
      </c>
      <c r="B39" s="340">
        <v>65</v>
      </c>
      <c r="C39" s="340">
        <v>40</v>
      </c>
      <c r="D39" s="340">
        <v>35</v>
      </c>
      <c r="E39" s="340">
        <v>71.5</v>
      </c>
      <c r="F39" s="340">
        <v>44</v>
      </c>
      <c r="G39" s="340">
        <v>38.5</v>
      </c>
      <c r="H39" s="340">
        <v>83.958333333333343</v>
      </c>
      <c r="I39" s="340">
        <v>51.666666666666664</v>
      </c>
      <c r="J39" s="340">
        <v>45.208333333333336</v>
      </c>
      <c r="K39" s="340">
        <v>98.583333333333343</v>
      </c>
      <c r="L39" s="340">
        <v>60.666666666666664</v>
      </c>
      <c r="M39" s="340">
        <v>53.083333333333336</v>
      </c>
      <c r="N39" s="340">
        <v>116.45833333333334</v>
      </c>
      <c r="O39" s="340">
        <v>71.666666666666671</v>
      </c>
      <c r="P39" s="340">
        <v>62.708333333333336</v>
      </c>
      <c r="Q39" s="340">
        <v>135.95833333333334</v>
      </c>
      <c r="R39" s="340">
        <v>83.666666666666671</v>
      </c>
      <c r="S39" s="340">
        <v>73.208333333333343</v>
      </c>
      <c r="T39" s="340">
        <v>156.54166666666669</v>
      </c>
      <c r="U39" s="340">
        <v>96.333333333333329</v>
      </c>
      <c r="V39" s="340">
        <v>84.291666666666671</v>
      </c>
      <c r="W39" s="340">
        <v>179.29166666666669</v>
      </c>
      <c r="X39" s="340">
        <v>110.33333333333333</v>
      </c>
      <c r="Y39" s="340">
        <v>96.541666666666671</v>
      </c>
      <c r="Z39" s="340">
        <v>203.66666666666669</v>
      </c>
      <c r="AA39" s="340">
        <v>125.33333333333333</v>
      </c>
      <c r="AB39" s="340">
        <v>109.66666666666667</v>
      </c>
      <c r="AC39" s="340">
        <v>229.66666666666669</v>
      </c>
      <c r="AD39" s="340">
        <v>141.33333333333334</v>
      </c>
      <c r="AE39" s="340">
        <v>123.66666666666667</v>
      </c>
      <c r="AF39" s="340">
        <v>256.20833333333337</v>
      </c>
      <c r="AG39" s="340">
        <v>157.66666666666666</v>
      </c>
      <c r="AH39" s="340">
        <v>137.95833333333334</v>
      </c>
      <c r="AI39" s="340">
        <v>283.83333333333337</v>
      </c>
      <c r="AJ39" s="340">
        <v>174.66666666666666</v>
      </c>
      <c r="AK39" s="340">
        <v>152.83333333333334</v>
      </c>
      <c r="AL39" s="340">
        <v>313.625</v>
      </c>
      <c r="AM39" s="340">
        <v>193</v>
      </c>
      <c r="AN39" s="340">
        <v>168.875</v>
      </c>
      <c r="AO39" s="340">
        <v>343.95833333333337</v>
      </c>
      <c r="AP39" s="340">
        <v>211.66666666666666</v>
      </c>
      <c r="AQ39" s="340">
        <v>185.20833333333334</v>
      </c>
      <c r="AR39" s="340">
        <v>374.83333333333337</v>
      </c>
      <c r="AS39" s="340">
        <v>230.66666666666666</v>
      </c>
      <c r="AT39" s="340">
        <v>201.83333333333334</v>
      </c>
      <c r="AU39" s="340">
        <v>407.33333333333337</v>
      </c>
      <c r="AV39" s="340">
        <v>250.66666666666666</v>
      </c>
      <c r="AW39" s="340">
        <v>219.33333333333334</v>
      </c>
      <c r="AX39" s="340">
        <v>441.45833333333337</v>
      </c>
      <c r="AY39" s="340">
        <v>271.66666666666669</v>
      </c>
      <c r="AZ39" s="340">
        <v>237.70833333333334</v>
      </c>
      <c r="BA39" s="340">
        <v>475.04166666666674</v>
      </c>
      <c r="BB39" s="340">
        <v>292.33333333333331</v>
      </c>
      <c r="BC39" s="340">
        <v>255.79166666666669</v>
      </c>
      <c r="BD39" s="340">
        <v>510.79166666666674</v>
      </c>
      <c r="BE39" s="340">
        <v>314.33333333333331</v>
      </c>
      <c r="BF39" s="340">
        <v>275.04166666666669</v>
      </c>
      <c r="BG39" s="340">
        <v>546.54166666666674</v>
      </c>
      <c r="BH39" s="340">
        <v>336.33333333333331</v>
      </c>
      <c r="BI39" s="340">
        <v>294.29166666666669</v>
      </c>
      <c r="BJ39" s="340">
        <v>583.91666666666674</v>
      </c>
      <c r="BK39" s="340">
        <v>359.33333333333331</v>
      </c>
      <c r="BL39" s="340">
        <v>314.41666666666669</v>
      </c>
      <c r="BM39" s="340">
        <v>621.29166666666674</v>
      </c>
      <c r="BN39" s="340">
        <v>382.33333333333331</v>
      </c>
      <c r="BO39" s="340">
        <v>334.54166666666669</v>
      </c>
      <c r="BP39" s="340">
        <v>660.29166666666674</v>
      </c>
      <c r="BQ39" s="340">
        <v>406.33333333333331</v>
      </c>
      <c r="BR39" s="340">
        <v>355.54166666666669</v>
      </c>
      <c r="BS39" s="340">
        <v>699.29166666666674</v>
      </c>
      <c r="BT39" s="340">
        <v>430.33333333333331</v>
      </c>
      <c r="BU39" s="340">
        <v>376.54166666666669</v>
      </c>
      <c r="BV39" s="340">
        <v>739.375</v>
      </c>
      <c r="BW39" s="340">
        <v>455</v>
      </c>
      <c r="BX39" s="340">
        <v>398.125</v>
      </c>
      <c r="BY39" s="340">
        <v>780</v>
      </c>
      <c r="BZ39" s="340">
        <v>480</v>
      </c>
      <c r="CA39" s="340">
        <v>420</v>
      </c>
      <c r="CB39" s="340">
        <v>821.70833333333348</v>
      </c>
      <c r="CC39" s="340">
        <v>505.66666666666669</v>
      </c>
      <c r="CD39" s="340">
        <v>442.45833333333337</v>
      </c>
      <c r="CE39" s="340">
        <v>864.50000000000011</v>
      </c>
      <c r="CF39" s="340">
        <v>532</v>
      </c>
      <c r="CG39" s="340">
        <v>465.50000000000006</v>
      </c>
      <c r="CH39" s="340">
        <v>907.29166666666674</v>
      </c>
      <c r="CI39" s="340">
        <v>558.33333333333337</v>
      </c>
      <c r="CJ39" s="340">
        <v>488.54166666666669</v>
      </c>
      <c r="CK39" s="340">
        <v>951.16666666666686</v>
      </c>
      <c r="CL39" s="340">
        <v>585.33333333333337</v>
      </c>
      <c r="CM39" s="340">
        <v>512.16666666666674</v>
      </c>
    </row>
    <row r="40" spans="1:91" x14ac:dyDescent="0.25">
      <c r="A40" s="29" t="s">
        <v>1640</v>
      </c>
      <c r="B40" s="30">
        <v>108</v>
      </c>
      <c r="C40" s="30">
        <v>240</v>
      </c>
      <c r="D40" s="30">
        <v>108</v>
      </c>
      <c r="E40" s="30">
        <v>117</v>
      </c>
      <c r="F40" s="30">
        <v>260</v>
      </c>
      <c r="G40" s="30">
        <v>117</v>
      </c>
      <c r="H40" s="30">
        <v>132</v>
      </c>
      <c r="I40" s="30">
        <v>294</v>
      </c>
      <c r="J40" s="30">
        <v>132</v>
      </c>
      <c r="K40" s="30">
        <v>151</v>
      </c>
      <c r="L40" s="30">
        <v>335</v>
      </c>
      <c r="M40" s="30">
        <v>151</v>
      </c>
      <c r="N40" s="30">
        <v>172</v>
      </c>
      <c r="O40" s="30">
        <v>383</v>
      </c>
      <c r="P40" s="30">
        <v>172</v>
      </c>
      <c r="Q40" s="30">
        <v>196</v>
      </c>
      <c r="R40" s="30">
        <v>435</v>
      </c>
      <c r="S40" s="30">
        <v>196</v>
      </c>
      <c r="T40" s="30">
        <v>221</v>
      </c>
      <c r="U40" s="30">
        <v>492</v>
      </c>
      <c r="V40" s="30">
        <v>221</v>
      </c>
      <c r="W40" s="30">
        <v>248</v>
      </c>
      <c r="X40" s="30">
        <v>552</v>
      </c>
      <c r="Y40" s="30">
        <v>248</v>
      </c>
      <c r="Z40" s="30">
        <v>277</v>
      </c>
      <c r="AA40" s="30">
        <v>616</v>
      </c>
      <c r="AB40" s="30">
        <v>277</v>
      </c>
      <c r="AC40" s="30">
        <v>308</v>
      </c>
      <c r="AD40" s="30">
        <v>684</v>
      </c>
      <c r="AE40" s="30">
        <v>308</v>
      </c>
      <c r="AF40" s="30">
        <v>339</v>
      </c>
      <c r="AG40" s="30">
        <v>754</v>
      </c>
      <c r="AH40" s="30">
        <v>339</v>
      </c>
      <c r="AI40" s="30">
        <v>373</v>
      </c>
      <c r="AJ40" s="30">
        <v>828</v>
      </c>
      <c r="AK40" s="30">
        <v>373</v>
      </c>
      <c r="AL40" s="30">
        <v>407</v>
      </c>
      <c r="AM40" s="30">
        <v>904</v>
      </c>
      <c r="AN40" s="30">
        <v>407</v>
      </c>
      <c r="AO40" s="30">
        <v>442</v>
      </c>
      <c r="AP40" s="30">
        <v>983</v>
      </c>
      <c r="AQ40" s="30">
        <v>442</v>
      </c>
      <c r="AR40" s="30">
        <v>479</v>
      </c>
      <c r="AS40" s="30">
        <v>1064</v>
      </c>
      <c r="AT40" s="30">
        <v>479</v>
      </c>
      <c r="AU40" s="30">
        <v>516</v>
      </c>
      <c r="AV40" s="30">
        <v>1148</v>
      </c>
      <c r="AW40" s="30">
        <v>516</v>
      </c>
      <c r="AX40" s="30">
        <v>555</v>
      </c>
      <c r="AY40" s="30">
        <v>1233</v>
      </c>
      <c r="AZ40" s="30">
        <v>555</v>
      </c>
      <c r="BA40" s="30">
        <v>595</v>
      </c>
      <c r="BB40" s="30">
        <v>1321</v>
      </c>
      <c r="BC40" s="30">
        <v>595</v>
      </c>
      <c r="BD40" s="30">
        <v>635</v>
      </c>
      <c r="BE40" s="30">
        <v>1411</v>
      </c>
      <c r="BF40" s="30">
        <v>635</v>
      </c>
      <c r="BG40" s="30">
        <v>677</v>
      </c>
      <c r="BH40" s="30">
        <v>1504</v>
      </c>
      <c r="BI40" s="30">
        <v>677</v>
      </c>
      <c r="BJ40" s="30">
        <v>719</v>
      </c>
      <c r="BK40" s="30">
        <v>1598</v>
      </c>
      <c r="BL40" s="30">
        <v>719</v>
      </c>
      <c r="BM40" s="30">
        <v>762</v>
      </c>
      <c r="BN40" s="30">
        <v>1694</v>
      </c>
      <c r="BO40" s="30">
        <v>762</v>
      </c>
      <c r="BP40" s="30">
        <v>806</v>
      </c>
      <c r="BQ40" s="30">
        <v>1791</v>
      </c>
      <c r="BR40" s="30">
        <v>806</v>
      </c>
      <c r="BS40" s="30">
        <v>851</v>
      </c>
      <c r="BT40" s="30">
        <v>1891</v>
      </c>
      <c r="BU40" s="30">
        <v>851</v>
      </c>
      <c r="BV40" s="30">
        <v>897</v>
      </c>
      <c r="BW40" s="30">
        <v>1992</v>
      </c>
      <c r="BX40" s="30">
        <v>897</v>
      </c>
      <c r="BY40" s="30">
        <v>943</v>
      </c>
      <c r="BZ40" s="30">
        <v>2095</v>
      </c>
      <c r="CA40" s="30">
        <v>943</v>
      </c>
      <c r="CB40" s="30">
        <v>990</v>
      </c>
      <c r="CC40" s="30">
        <v>2200</v>
      </c>
      <c r="CD40" s="30">
        <v>990</v>
      </c>
      <c r="CE40" s="30">
        <v>1038</v>
      </c>
      <c r="CF40" s="30">
        <v>2307</v>
      </c>
      <c r="CG40" s="30">
        <v>1038</v>
      </c>
      <c r="CH40" s="30">
        <v>1086</v>
      </c>
      <c r="CI40" s="30">
        <v>2414</v>
      </c>
      <c r="CJ40" s="30">
        <v>1086</v>
      </c>
      <c r="CK40" s="30">
        <v>1136</v>
      </c>
      <c r="CL40" s="30">
        <v>2524</v>
      </c>
      <c r="CM40" s="30">
        <v>1136</v>
      </c>
    </row>
    <row r="41" spans="1:91" x14ac:dyDescent="0.25">
      <c r="A41" s="29" t="s">
        <v>1638</v>
      </c>
      <c r="B41" s="340">
        <v>156</v>
      </c>
      <c r="C41" s="340">
        <v>72</v>
      </c>
      <c r="D41" s="340">
        <v>228</v>
      </c>
      <c r="E41" s="340">
        <v>169</v>
      </c>
      <c r="F41" s="340">
        <v>78</v>
      </c>
      <c r="G41" s="340">
        <v>247</v>
      </c>
      <c r="H41" s="340">
        <v>191.20833333333331</v>
      </c>
      <c r="I41" s="340">
        <v>88.249999999999986</v>
      </c>
      <c r="J41" s="340">
        <v>279.45833333333331</v>
      </c>
      <c r="K41" s="340">
        <v>217.75</v>
      </c>
      <c r="L41" s="340">
        <v>100.5</v>
      </c>
      <c r="M41" s="340">
        <v>318.25</v>
      </c>
      <c r="N41" s="340">
        <v>249.16666666666666</v>
      </c>
      <c r="O41" s="340">
        <v>114.99999999999999</v>
      </c>
      <c r="P41" s="340">
        <v>364.16666666666663</v>
      </c>
      <c r="Q41" s="340">
        <v>282.75</v>
      </c>
      <c r="R41" s="340">
        <v>130.5</v>
      </c>
      <c r="S41" s="340">
        <v>413.25</v>
      </c>
      <c r="T41" s="340">
        <v>319.58333333333331</v>
      </c>
      <c r="U41" s="340">
        <v>147.5</v>
      </c>
      <c r="V41" s="340">
        <v>467.08333333333331</v>
      </c>
      <c r="W41" s="340">
        <v>358.58333333333331</v>
      </c>
      <c r="X41" s="340">
        <v>165.49999999999997</v>
      </c>
      <c r="Y41" s="340">
        <v>524.08333333333326</v>
      </c>
      <c r="Z41" s="340">
        <v>400.83333333333331</v>
      </c>
      <c r="AA41" s="340">
        <v>184.99999999999997</v>
      </c>
      <c r="AB41" s="340">
        <v>585.83333333333326</v>
      </c>
      <c r="AC41" s="340">
        <v>444.70833333333331</v>
      </c>
      <c r="AD41" s="340">
        <v>205.24999999999997</v>
      </c>
      <c r="AE41" s="340">
        <v>649.95833333333326</v>
      </c>
      <c r="AF41" s="340">
        <v>490.75</v>
      </c>
      <c r="AG41" s="340">
        <v>226.5</v>
      </c>
      <c r="AH41" s="340">
        <v>717.25</v>
      </c>
      <c r="AI41" s="340">
        <v>538.41666666666663</v>
      </c>
      <c r="AJ41" s="340">
        <v>248.49999999999997</v>
      </c>
      <c r="AK41" s="340">
        <v>786.91666666666663</v>
      </c>
      <c r="AL41" s="340">
        <v>587.70833333333326</v>
      </c>
      <c r="AM41" s="340">
        <v>271.24999999999994</v>
      </c>
      <c r="AN41" s="340">
        <v>858.95833333333326</v>
      </c>
      <c r="AO41" s="340">
        <v>639.16666666666663</v>
      </c>
      <c r="AP41" s="340">
        <v>295</v>
      </c>
      <c r="AQ41" s="340">
        <v>934.16666666666663</v>
      </c>
      <c r="AR41" s="340">
        <v>691.70833333333326</v>
      </c>
      <c r="AS41" s="340">
        <v>319.24999999999994</v>
      </c>
      <c r="AT41" s="340">
        <v>1010.9583333333333</v>
      </c>
      <c r="AU41" s="340">
        <v>746.41666666666663</v>
      </c>
      <c r="AV41" s="340">
        <v>344.49999999999994</v>
      </c>
      <c r="AW41" s="340">
        <v>1090.9166666666665</v>
      </c>
      <c r="AX41" s="340">
        <v>801.66666666666663</v>
      </c>
      <c r="AY41" s="340">
        <v>369.99999999999994</v>
      </c>
      <c r="AZ41" s="340">
        <v>1171.6666666666665</v>
      </c>
      <c r="BA41" s="340">
        <v>859.08333333333326</v>
      </c>
      <c r="BB41" s="340">
        <v>396.49999999999994</v>
      </c>
      <c r="BC41" s="340">
        <v>1255.5833333333333</v>
      </c>
      <c r="BD41" s="340">
        <v>917.58333333333326</v>
      </c>
      <c r="BE41" s="340">
        <v>423.49999999999994</v>
      </c>
      <c r="BF41" s="340">
        <v>1341.0833333333333</v>
      </c>
      <c r="BG41" s="340">
        <v>977.16666666666663</v>
      </c>
      <c r="BH41" s="340">
        <v>450.99999999999994</v>
      </c>
      <c r="BI41" s="340">
        <v>1428.1666666666665</v>
      </c>
      <c r="BJ41" s="340">
        <v>1038.9166666666665</v>
      </c>
      <c r="BK41" s="340">
        <v>479.49999999999994</v>
      </c>
      <c r="BL41" s="340">
        <v>1518.4166666666665</v>
      </c>
      <c r="BM41" s="340">
        <v>1100.6666666666665</v>
      </c>
      <c r="BN41" s="340">
        <v>507.99999999999994</v>
      </c>
      <c r="BO41" s="340">
        <v>1608.6666666666665</v>
      </c>
      <c r="BP41" s="340">
        <v>1164.5833333333333</v>
      </c>
      <c r="BQ41" s="340">
        <v>537.5</v>
      </c>
      <c r="BR41" s="340">
        <v>1702.0833333333333</v>
      </c>
      <c r="BS41" s="340">
        <v>1229.0416666666665</v>
      </c>
      <c r="BT41" s="340">
        <v>567.24999999999989</v>
      </c>
      <c r="BU41" s="340">
        <v>1796.2916666666665</v>
      </c>
      <c r="BV41" s="340">
        <v>1294.5833333333333</v>
      </c>
      <c r="BW41" s="340">
        <v>597.49999999999989</v>
      </c>
      <c r="BX41" s="340">
        <v>1892.0833333333333</v>
      </c>
      <c r="BY41" s="340">
        <v>1361.75</v>
      </c>
      <c r="BZ41" s="340">
        <v>628.5</v>
      </c>
      <c r="CA41" s="340">
        <v>1990.25</v>
      </c>
      <c r="CB41" s="340">
        <v>1430</v>
      </c>
      <c r="CC41" s="340">
        <v>660</v>
      </c>
      <c r="CD41" s="340">
        <v>2090</v>
      </c>
      <c r="CE41" s="340">
        <v>1499.3333333333333</v>
      </c>
      <c r="CF41" s="340">
        <v>691.99999999999989</v>
      </c>
      <c r="CG41" s="340">
        <v>2191.333333333333</v>
      </c>
      <c r="CH41" s="340">
        <v>1569.75</v>
      </c>
      <c r="CI41" s="340">
        <v>724.5</v>
      </c>
      <c r="CJ41" s="340">
        <v>2294.25</v>
      </c>
      <c r="CK41" s="340">
        <v>1640.7083333333333</v>
      </c>
      <c r="CL41" s="340">
        <v>757.24999999999989</v>
      </c>
      <c r="CM41" s="340">
        <v>2397.958333333333</v>
      </c>
    </row>
    <row r="42" spans="1:91" x14ac:dyDescent="0.25">
      <c r="A42" s="29" t="s">
        <v>5</v>
      </c>
      <c r="B42" s="30">
        <v>6</v>
      </c>
      <c r="C42" s="30">
        <v>5</v>
      </c>
      <c r="D42" s="30">
        <v>13</v>
      </c>
      <c r="E42" s="30">
        <v>7</v>
      </c>
      <c r="F42" s="30">
        <v>6</v>
      </c>
      <c r="G42" s="30">
        <v>14</v>
      </c>
      <c r="H42" s="30">
        <v>8</v>
      </c>
      <c r="I42" s="30">
        <v>6</v>
      </c>
      <c r="J42" s="30">
        <v>17</v>
      </c>
      <c r="K42" s="30">
        <v>9</v>
      </c>
      <c r="L42" s="30">
        <v>7</v>
      </c>
      <c r="M42" s="30">
        <v>19</v>
      </c>
      <c r="N42" s="30">
        <v>10</v>
      </c>
      <c r="O42" s="30">
        <v>9</v>
      </c>
      <c r="P42" s="30">
        <v>22</v>
      </c>
      <c r="Q42" s="30">
        <v>12</v>
      </c>
      <c r="R42" s="30">
        <v>10</v>
      </c>
      <c r="S42" s="30">
        <v>26</v>
      </c>
      <c r="T42" s="30">
        <v>14</v>
      </c>
      <c r="U42" s="30">
        <v>11</v>
      </c>
      <c r="V42" s="30">
        <v>30</v>
      </c>
      <c r="W42" s="30">
        <v>15</v>
      </c>
      <c r="X42" s="30">
        <v>13</v>
      </c>
      <c r="Y42" s="30">
        <v>33</v>
      </c>
      <c r="Z42" s="30">
        <v>17</v>
      </c>
      <c r="AA42" s="30">
        <v>15</v>
      </c>
      <c r="AB42" s="30">
        <v>38</v>
      </c>
      <c r="AC42" s="30">
        <v>19</v>
      </c>
      <c r="AD42" s="30">
        <v>16</v>
      </c>
      <c r="AE42" s="30">
        <v>42</v>
      </c>
      <c r="AF42" s="30">
        <v>22</v>
      </c>
      <c r="AG42" s="30">
        <v>18</v>
      </c>
      <c r="AH42" s="30">
        <v>47</v>
      </c>
      <c r="AI42" s="30">
        <v>24</v>
      </c>
      <c r="AJ42" s="30">
        <v>20</v>
      </c>
      <c r="AK42" s="30">
        <v>51</v>
      </c>
      <c r="AL42" s="30">
        <v>26</v>
      </c>
      <c r="AM42" s="30">
        <v>22</v>
      </c>
      <c r="AN42" s="30">
        <v>57</v>
      </c>
      <c r="AO42" s="30">
        <v>29</v>
      </c>
      <c r="AP42" s="30">
        <v>24</v>
      </c>
      <c r="AQ42" s="30">
        <v>62</v>
      </c>
      <c r="AR42" s="30">
        <v>31</v>
      </c>
      <c r="AS42" s="30">
        <v>26</v>
      </c>
      <c r="AT42" s="30">
        <v>67</v>
      </c>
      <c r="AU42" s="30">
        <v>33</v>
      </c>
      <c r="AV42" s="30">
        <v>28</v>
      </c>
      <c r="AW42" s="30">
        <v>73</v>
      </c>
      <c r="AX42" s="30">
        <v>36</v>
      </c>
      <c r="AY42" s="30">
        <v>30</v>
      </c>
      <c r="AZ42" s="30">
        <v>78</v>
      </c>
      <c r="BA42" s="30">
        <v>39</v>
      </c>
      <c r="BB42" s="30">
        <v>32</v>
      </c>
      <c r="BC42" s="30">
        <v>84</v>
      </c>
      <c r="BD42" s="30">
        <v>41</v>
      </c>
      <c r="BE42" s="30">
        <v>35</v>
      </c>
      <c r="BF42" s="30">
        <v>90</v>
      </c>
      <c r="BG42" s="30">
        <v>44</v>
      </c>
      <c r="BH42" s="30">
        <v>37</v>
      </c>
      <c r="BI42" s="30">
        <v>96</v>
      </c>
      <c r="BJ42" s="30">
        <v>47</v>
      </c>
      <c r="BK42" s="30">
        <v>39</v>
      </c>
      <c r="BL42" s="30">
        <v>102</v>
      </c>
      <c r="BM42" s="30">
        <v>50</v>
      </c>
      <c r="BN42" s="30">
        <v>42</v>
      </c>
      <c r="BO42" s="30">
        <v>108</v>
      </c>
      <c r="BP42" s="30">
        <v>53</v>
      </c>
      <c r="BQ42" s="30">
        <v>44</v>
      </c>
      <c r="BR42" s="30">
        <v>115</v>
      </c>
      <c r="BS42" s="30">
        <v>56</v>
      </c>
      <c r="BT42" s="30">
        <v>47</v>
      </c>
      <c r="BU42" s="30">
        <v>121</v>
      </c>
      <c r="BV42" s="30">
        <v>59</v>
      </c>
      <c r="BW42" s="30">
        <v>49</v>
      </c>
      <c r="BX42" s="30">
        <v>128</v>
      </c>
      <c r="BY42" s="30">
        <v>62</v>
      </c>
      <c r="BZ42" s="30">
        <v>52</v>
      </c>
      <c r="CA42" s="30">
        <v>135</v>
      </c>
      <c r="CB42" s="30">
        <v>65</v>
      </c>
      <c r="CC42" s="30">
        <v>54</v>
      </c>
      <c r="CD42" s="30">
        <v>141</v>
      </c>
      <c r="CE42" s="30">
        <v>69</v>
      </c>
      <c r="CF42" s="30">
        <v>57</v>
      </c>
      <c r="CG42" s="30">
        <v>148</v>
      </c>
      <c r="CH42" s="30">
        <v>72</v>
      </c>
      <c r="CI42" s="30">
        <v>60</v>
      </c>
      <c r="CJ42" s="30">
        <v>155</v>
      </c>
      <c r="CK42" s="30">
        <v>75</v>
      </c>
      <c r="CL42" s="30">
        <v>63</v>
      </c>
      <c r="CM42" s="30">
        <v>163</v>
      </c>
    </row>
    <row r="43" spans="1:91" x14ac:dyDescent="0.25">
      <c r="A43" s="29" t="s">
        <v>733</v>
      </c>
      <c r="B43" s="30">
        <v>48</v>
      </c>
      <c r="C43" s="30">
        <v>192</v>
      </c>
      <c r="D43" s="30">
        <v>48</v>
      </c>
      <c r="E43" s="30">
        <v>52</v>
      </c>
      <c r="F43" s="30">
        <v>208</v>
      </c>
      <c r="G43" s="30">
        <v>52</v>
      </c>
      <c r="H43" s="30">
        <v>59</v>
      </c>
      <c r="I43" s="30">
        <v>235</v>
      </c>
      <c r="J43" s="30">
        <v>59</v>
      </c>
      <c r="K43" s="30">
        <v>67</v>
      </c>
      <c r="L43" s="30">
        <v>268</v>
      </c>
      <c r="M43" s="30">
        <v>67</v>
      </c>
      <c r="N43" s="30">
        <v>77</v>
      </c>
      <c r="O43" s="30">
        <v>306</v>
      </c>
      <c r="P43" s="30">
        <v>77</v>
      </c>
      <c r="Q43" s="30">
        <v>87</v>
      </c>
      <c r="R43" s="30">
        <v>348</v>
      </c>
      <c r="S43" s="30">
        <v>87</v>
      </c>
      <c r="T43" s="30">
        <v>98</v>
      </c>
      <c r="U43" s="30">
        <v>393</v>
      </c>
      <c r="V43" s="30">
        <v>98</v>
      </c>
      <c r="W43" s="30">
        <v>110</v>
      </c>
      <c r="X43" s="30">
        <v>442</v>
      </c>
      <c r="Y43" s="30">
        <v>110</v>
      </c>
      <c r="Z43" s="30">
        <v>123</v>
      </c>
      <c r="AA43" s="30">
        <v>493</v>
      </c>
      <c r="AB43" s="30">
        <v>123</v>
      </c>
      <c r="AC43" s="30">
        <v>137</v>
      </c>
      <c r="AD43" s="30">
        <v>547</v>
      </c>
      <c r="AE43" s="30">
        <v>137</v>
      </c>
      <c r="AF43" s="30">
        <v>151</v>
      </c>
      <c r="AG43" s="30">
        <v>604</v>
      </c>
      <c r="AH43" s="30">
        <v>151</v>
      </c>
      <c r="AI43" s="30">
        <v>166</v>
      </c>
      <c r="AJ43" s="30">
        <v>662</v>
      </c>
      <c r="AK43" s="30">
        <v>166</v>
      </c>
      <c r="AL43" s="30">
        <v>181</v>
      </c>
      <c r="AM43" s="30">
        <v>723</v>
      </c>
      <c r="AN43" s="30">
        <v>181</v>
      </c>
      <c r="AO43" s="30">
        <v>197</v>
      </c>
      <c r="AP43" s="30">
        <v>786</v>
      </c>
      <c r="AQ43" s="30">
        <v>197</v>
      </c>
      <c r="AR43" s="30">
        <v>213</v>
      </c>
      <c r="AS43" s="30">
        <v>851</v>
      </c>
      <c r="AT43" s="30">
        <v>213</v>
      </c>
      <c r="AU43" s="30">
        <v>230</v>
      </c>
      <c r="AV43" s="30">
        <v>918</v>
      </c>
      <c r="AW43" s="30">
        <v>230</v>
      </c>
      <c r="AX43" s="30">
        <v>247</v>
      </c>
      <c r="AY43" s="30">
        <v>987</v>
      </c>
      <c r="AZ43" s="30">
        <v>247</v>
      </c>
      <c r="BA43" s="30">
        <v>264</v>
      </c>
      <c r="BB43" s="30">
        <v>1057</v>
      </c>
      <c r="BC43" s="30">
        <v>264</v>
      </c>
      <c r="BD43" s="30">
        <v>282</v>
      </c>
      <c r="BE43" s="30">
        <v>1129</v>
      </c>
      <c r="BF43" s="30">
        <v>282</v>
      </c>
      <c r="BG43" s="30">
        <v>301</v>
      </c>
      <c r="BH43" s="30">
        <v>1203</v>
      </c>
      <c r="BI43" s="30">
        <v>301</v>
      </c>
      <c r="BJ43" s="30">
        <v>320</v>
      </c>
      <c r="BK43" s="30">
        <v>1278</v>
      </c>
      <c r="BL43" s="30">
        <v>320</v>
      </c>
      <c r="BM43" s="30">
        <v>339</v>
      </c>
      <c r="BN43" s="30">
        <v>1355</v>
      </c>
      <c r="BO43" s="30">
        <v>339</v>
      </c>
      <c r="BP43" s="30">
        <v>358</v>
      </c>
      <c r="BQ43" s="30">
        <v>1433</v>
      </c>
      <c r="BR43" s="30">
        <v>358</v>
      </c>
      <c r="BS43" s="30">
        <v>378</v>
      </c>
      <c r="BT43" s="30">
        <v>1513</v>
      </c>
      <c r="BU43" s="30">
        <v>378</v>
      </c>
      <c r="BV43" s="30">
        <v>398</v>
      </c>
      <c r="BW43" s="30">
        <v>1594</v>
      </c>
      <c r="BX43" s="30">
        <v>398</v>
      </c>
      <c r="BY43" s="30">
        <v>419</v>
      </c>
      <c r="BZ43" s="30">
        <v>1676</v>
      </c>
      <c r="CA43" s="30">
        <v>419</v>
      </c>
      <c r="CB43" s="30">
        <v>440</v>
      </c>
      <c r="CC43" s="30">
        <v>1760</v>
      </c>
      <c r="CD43" s="30">
        <v>440</v>
      </c>
      <c r="CE43" s="30">
        <v>461</v>
      </c>
      <c r="CF43" s="30">
        <v>1845</v>
      </c>
      <c r="CG43" s="30">
        <v>461</v>
      </c>
      <c r="CH43" s="30">
        <v>483</v>
      </c>
      <c r="CI43" s="30">
        <v>1932</v>
      </c>
      <c r="CJ43" s="30">
        <v>483</v>
      </c>
      <c r="CK43" s="30">
        <v>505</v>
      </c>
      <c r="CL43" s="30">
        <v>2019</v>
      </c>
      <c r="CM43" s="30">
        <v>505</v>
      </c>
    </row>
    <row r="44" spans="1:91" x14ac:dyDescent="0.25">
      <c r="A44" s="29" t="s">
        <v>108</v>
      </c>
      <c r="B44" s="30">
        <v>60</v>
      </c>
      <c r="C44" s="30">
        <v>168</v>
      </c>
      <c r="D44" s="30">
        <v>60</v>
      </c>
      <c r="E44" s="30">
        <v>65</v>
      </c>
      <c r="F44" s="30">
        <v>182</v>
      </c>
      <c r="G44" s="30">
        <v>65</v>
      </c>
      <c r="H44" s="30">
        <v>74</v>
      </c>
      <c r="I44" s="30">
        <v>206</v>
      </c>
      <c r="J44" s="30">
        <v>74</v>
      </c>
      <c r="K44" s="30">
        <v>84</v>
      </c>
      <c r="L44" s="30">
        <v>235</v>
      </c>
      <c r="M44" s="30">
        <v>84</v>
      </c>
      <c r="N44" s="30">
        <v>96</v>
      </c>
      <c r="O44" s="30">
        <v>268</v>
      </c>
      <c r="P44" s="30">
        <v>96</v>
      </c>
      <c r="Q44" s="30">
        <v>109</v>
      </c>
      <c r="R44" s="30">
        <v>305</v>
      </c>
      <c r="S44" s="30">
        <v>109</v>
      </c>
      <c r="T44" s="30">
        <v>123</v>
      </c>
      <c r="U44" s="30">
        <v>344</v>
      </c>
      <c r="V44" s="30">
        <v>123</v>
      </c>
      <c r="W44" s="30">
        <v>138</v>
      </c>
      <c r="X44" s="30">
        <v>387</v>
      </c>
      <c r="Y44" s="30">
        <v>138</v>
      </c>
      <c r="Z44" s="30">
        <v>154</v>
      </c>
      <c r="AA44" s="30">
        <v>431</v>
      </c>
      <c r="AB44" s="30">
        <v>154</v>
      </c>
      <c r="AC44" s="30">
        <v>171</v>
      </c>
      <c r="AD44" s="30">
        <v>479</v>
      </c>
      <c r="AE44" s="30">
        <v>171</v>
      </c>
      <c r="AF44" s="30">
        <v>189</v>
      </c>
      <c r="AG44" s="30">
        <v>528</v>
      </c>
      <c r="AH44" s="30">
        <v>189</v>
      </c>
      <c r="AI44" s="30">
        <v>207</v>
      </c>
      <c r="AJ44" s="30">
        <v>579</v>
      </c>
      <c r="AK44" s="30">
        <v>207</v>
      </c>
      <c r="AL44" s="30">
        <v>226</v>
      </c>
      <c r="AM44" s="30">
        <v>633</v>
      </c>
      <c r="AN44" s="30">
        <v>226</v>
      </c>
      <c r="AO44" s="30">
        <v>246</v>
      </c>
      <c r="AP44" s="30">
        <v>688</v>
      </c>
      <c r="AQ44" s="30">
        <v>246</v>
      </c>
      <c r="AR44" s="30">
        <v>266</v>
      </c>
      <c r="AS44" s="30">
        <v>745</v>
      </c>
      <c r="AT44" s="30">
        <v>266</v>
      </c>
      <c r="AU44" s="30">
        <v>287</v>
      </c>
      <c r="AV44" s="30">
        <v>803</v>
      </c>
      <c r="AW44" s="30">
        <v>287</v>
      </c>
      <c r="AX44" s="30">
        <v>308</v>
      </c>
      <c r="AY44" s="30">
        <v>863</v>
      </c>
      <c r="AZ44" s="30">
        <v>308</v>
      </c>
      <c r="BA44" s="30">
        <v>330</v>
      </c>
      <c r="BB44" s="30">
        <v>925</v>
      </c>
      <c r="BC44" s="30">
        <v>330</v>
      </c>
      <c r="BD44" s="30">
        <v>353</v>
      </c>
      <c r="BE44" s="30">
        <v>988</v>
      </c>
      <c r="BF44" s="30">
        <v>353</v>
      </c>
      <c r="BG44" s="30">
        <v>376</v>
      </c>
      <c r="BH44" s="30">
        <v>1053</v>
      </c>
      <c r="BI44" s="30">
        <v>376</v>
      </c>
      <c r="BJ44" s="30">
        <v>399</v>
      </c>
      <c r="BK44" s="30">
        <v>1118</v>
      </c>
      <c r="BL44" s="30">
        <v>399</v>
      </c>
      <c r="BM44" s="30">
        <v>423</v>
      </c>
      <c r="BN44" s="30">
        <v>1186</v>
      </c>
      <c r="BO44" s="30">
        <v>423</v>
      </c>
      <c r="BP44" s="30">
        <v>448</v>
      </c>
      <c r="BQ44" s="30">
        <v>1254</v>
      </c>
      <c r="BR44" s="30">
        <v>448</v>
      </c>
      <c r="BS44" s="30">
        <v>473</v>
      </c>
      <c r="BT44" s="30">
        <v>1324</v>
      </c>
      <c r="BU44" s="30">
        <v>473</v>
      </c>
      <c r="BV44" s="30">
        <v>498</v>
      </c>
      <c r="BW44" s="30">
        <v>1395</v>
      </c>
      <c r="BX44" s="30">
        <v>498</v>
      </c>
      <c r="BY44" s="30">
        <v>524</v>
      </c>
      <c r="BZ44" s="30">
        <v>1467</v>
      </c>
      <c r="CA44" s="30">
        <v>524</v>
      </c>
      <c r="CB44" s="30">
        <v>550</v>
      </c>
      <c r="CC44" s="30">
        <v>1540</v>
      </c>
      <c r="CD44" s="30">
        <v>550</v>
      </c>
      <c r="CE44" s="30">
        <v>577</v>
      </c>
      <c r="CF44" s="30">
        <v>1615</v>
      </c>
      <c r="CG44" s="30">
        <v>577</v>
      </c>
      <c r="CH44" s="30">
        <v>604</v>
      </c>
      <c r="CI44" s="30">
        <v>1690</v>
      </c>
      <c r="CJ44" s="30">
        <v>604</v>
      </c>
      <c r="CK44" s="30">
        <v>631</v>
      </c>
      <c r="CL44" s="30">
        <v>1767</v>
      </c>
      <c r="CM44" s="30">
        <v>631</v>
      </c>
    </row>
    <row r="45" spans="1:91" x14ac:dyDescent="0.25">
      <c r="A45" s="29" t="s">
        <v>1846</v>
      </c>
      <c r="B45" s="340">
        <v>156</v>
      </c>
      <c r="C45" s="340">
        <v>156</v>
      </c>
      <c r="D45" s="340">
        <v>156</v>
      </c>
      <c r="E45" s="340">
        <v>169</v>
      </c>
      <c r="F45" s="340">
        <v>169</v>
      </c>
      <c r="G45" s="340">
        <v>169</v>
      </c>
      <c r="H45" s="340">
        <v>191.20833333333331</v>
      </c>
      <c r="I45" s="340">
        <v>191.20833333333331</v>
      </c>
      <c r="J45" s="340">
        <v>191.20833333333331</v>
      </c>
      <c r="K45" s="340">
        <v>217.75</v>
      </c>
      <c r="L45" s="340">
        <v>217.75</v>
      </c>
      <c r="M45" s="340">
        <v>217.75</v>
      </c>
      <c r="N45" s="340">
        <v>249.16666666666666</v>
      </c>
      <c r="O45" s="340">
        <v>249.16666666666666</v>
      </c>
      <c r="P45" s="340">
        <v>249.16666666666666</v>
      </c>
      <c r="Q45" s="340">
        <v>282.75</v>
      </c>
      <c r="R45" s="340">
        <v>282.75</v>
      </c>
      <c r="S45" s="340">
        <v>282.75</v>
      </c>
      <c r="T45" s="340">
        <v>319.58333333333331</v>
      </c>
      <c r="U45" s="340">
        <v>319.58333333333331</v>
      </c>
      <c r="V45" s="340">
        <v>319.58333333333331</v>
      </c>
      <c r="W45" s="340">
        <v>358.58333333333331</v>
      </c>
      <c r="X45" s="340">
        <v>358.58333333333331</v>
      </c>
      <c r="Y45" s="340">
        <v>358.58333333333331</v>
      </c>
      <c r="Z45" s="340">
        <v>400.83333333333331</v>
      </c>
      <c r="AA45" s="340">
        <v>400.83333333333331</v>
      </c>
      <c r="AB45" s="340">
        <v>400.83333333333331</v>
      </c>
      <c r="AC45" s="340">
        <v>444.70833333333331</v>
      </c>
      <c r="AD45" s="340">
        <v>444.70833333333331</v>
      </c>
      <c r="AE45" s="340">
        <v>444.70833333333331</v>
      </c>
      <c r="AF45" s="340">
        <v>490.75</v>
      </c>
      <c r="AG45" s="340">
        <v>490.75</v>
      </c>
      <c r="AH45" s="340">
        <v>490.75</v>
      </c>
      <c r="AI45" s="340">
        <v>538.41666666666663</v>
      </c>
      <c r="AJ45" s="340">
        <v>538.41666666666663</v>
      </c>
      <c r="AK45" s="340">
        <v>538.41666666666663</v>
      </c>
      <c r="AL45" s="340">
        <v>587.70833333333326</v>
      </c>
      <c r="AM45" s="340">
        <v>587.70833333333326</v>
      </c>
      <c r="AN45" s="340">
        <v>587.70833333333326</v>
      </c>
      <c r="AO45" s="340">
        <v>639.16666666666663</v>
      </c>
      <c r="AP45" s="340">
        <v>639.16666666666663</v>
      </c>
      <c r="AQ45" s="340">
        <v>639.16666666666663</v>
      </c>
      <c r="AR45" s="340">
        <v>691.70833333333326</v>
      </c>
      <c r="AS45" s="340">
        <v>691.70833333333326</v>
      </c>
      <c r="AT45" s="340">
        <v>691.70833333333326</v>
      </c>
      <c r="AU45" s="340">
        <v>746.41666666666663</v>
      </c>
      <c r="AV45" s="340">
        <v>746.41666666666663</v>
      </c>
      <c r="AW45" s="340">
        <v>746.41666666666663</v>
      </c>
      <c r="AX45" s="340">
        <v>801.66666666666663</v>
      </c>
      <c r="AY45" s="340">
        <v>801.66666666666663</v>
      </c>
      <c r="AZ45" s="340">
        <v>801.66666666666663</v>
      </c>
      <c r="BA45" s="340">
        <v>859.08333333333326</v>
      </c>
      <c r="BB45" s="340">
        <v>859.08333333333326</v>
      </c>
      <c r="BC45" s="340">
        <v>859.08333333333326</v>
      </c>
      <c r="BD45" s="340">
        <v>917.58333333333326</v>
      </c>
      <c r="BE45" s="340">
        <v>917.58333333333326</v>
      </c>
      <c r="BF45" s="340">
        <v>917.58333333333326</v>
      </c>
      <c r="BG45" s="340">
        <v>977.16666666666663</v>
      </c>
      <c r="BH45" s="340">
        <v>977.16666666666663</v>
      </c>
      <c r="BI45" s="340">
        <v>977.16666666666663</v>
      </c>
      <c r="BJ45" s="340">
        <v>1038.9166666666665</v>
      </c>
      <c r="BK45" s="340">
        <v>1038.9166666666665</v>
      </c>
      <c r="BL45" s="340">
        <v>1038.9166666666665</v>
      </c>
      <c r="BM45" s="340">
        <v>1100.6666666666665</v>
      </c>
      <c r="BN45" s="340">
        <v>1100.6666666666665</v>
      </c>
      <c r="BO45" s="340">
        <v>1100.6666666666665</v>
      </c>
      <c r="BP45" s="340">
        <v>1164.5833333333333</v>
      </c>
      <c r="BQ45" s="340">
        <v>1164.5833333333333</v>
      </c>
      <c r="BR45" s="340">
        <v>1164.5833333333333</v>
      </c>
      <c r="BS45" s="340">
        <v>1229.0416666666665</v>
      </c>
      <c r="BT45" s="340">
        <v>1229.0416666666665</v>
      </c>
      <c r="BU45" s="340">
        <v>1229.0416666666665</v>
      </c>
      <c r="BV45" s="340">
        <v>1294.5833333333333</v>
      </c>
      <c r="BW45" s="340">
        <v>1294.5833333333333</v>
      </c>
      <c r="BX45" s="340">
        <v>1294.5833333333333</v>
      </c>
      <c r="BY45" s="340">
        <v>1361.75</v>
      </c>
      <c r="BZ45" s="340">
        <v>1361.75</v>
      </c>
      <c r="CA45" s="340">
        <v>1361.75</v>
      </c>
      <c r="CB45" s="340">
        <v>1430</v>
      </c>
      <c r="CC45" s="340">
        <v>1430</v>
      </c>
      <c r="CD45" s="340">
        <v>1430</v>
      </c>
      <c r="CE45" s="340">
        <v>1499.3333333333333</v>
      </c>
      <c r="CF45" s="340">
        <v>1499.3333333333333</v>
      </c>
      <c r="CG45" s="340">
        <v>1499.3333333333333</v>
      </c>
      <c r="CH45" s="340">
        <v>1569.75</v>
      </c>
      <c r="CI45" s="340">
        <v>1569.75</v>
      </c>
      <c r="CJ45" s="340">
        <v>1569.75</v>
      </c>
      <c r="CK45" s="340">
        <v>1640.7083333333333</v>
      </c>
      <c r="CL45" s="340">
        <v>1640.7083333333333</v>
      </c>
      <c r="CM45" s="340">
        <v>1640.7083333333333</v>
      </c>
    </row>
    <row r="46" spans="1:91" x14ac:dyDescent="0.25">
      <c r="A46" s="29" t="s">
        <v>28</v>
      </c>
      <c r="B46" s="30">
        <v>25</v>
      </c>
      <c r="C46" s="30">
        <v>18</v>
      </c>
      <c r="D46" s="30">
        <v>25</v>
      </c>
      <c r="E46" s="30">
        <v>27</v>
      </c>
      <c r="F46" s="30">
        <v>19</v>
      </c>
      <c r="G46" s="30">
        <v>27</v>
      </c>
      <c r="H46" s="30">
        <v>31</v>
      </c>
      <c r="I46" s="30">
        <v>22</v>
      </c>
      <c r="J46" s="30">
        <v>31</v>
      </c>
      <c r="K46" s="30">
        <v>36</v>
      </c>
      <c r="L46" s="30">
        <v>25</v>
      </c>
      <c r="M46" s="30">
        <v>36</v>
      </c>
      <c r="N46" s="30">
        <v>41</v>
      </c>
      <c r="O46" s="30">
        <v>29</v>
      </c>
      <c r="P46" s="30">
        <v>41</v>
      </c>
      <c r="Q46" s="30">
        <v>48</v>
      </c>
      <c r="R46" s="30">
        <v>33</v>
      </c>
      <c r="S46" s="30">
        <v>48</v>
      </c>
      <c r="T46" s="30">
        <v>54</v>
      </c>
      <c r="U46" s="30">
        <v>38</v>
      </c>
      <c r="V46" s="30">
        <v>54</v>
      </c>
      <c r="W46" s="30">
        <v>61</v>
      </c>
      <c r="X46" s="30">
        <v>43</v>
      </c>
      <c r="Y46" s="30">
        <v>61</v>
      </c>
      <c r="Z46" s="30">
        <v>69</v>
      </c>
      <c r="AA46" s="30">
        <v>48</v>
      </c>
      <c r="AB46" s="30">
        <v>69</v>
      </c>
      <c r="AC46" s="30">
        <v>77</v>
      </c>
      <c r="AD46" s="30">
        <v>54</v>
      </c>
      <c r="AE46" s="30">
        <v>77</v>
      </c>
      <c r="AF46" s="30">
        <v>85</v>
      </c>
      <c r="AG46" s="30">
        <v>60</v>
      </c>
      <c r="AH46" s="30">
        <v>85</v>
      </c>
      <c r="AI46" s="30">
        <v>94</v>
      </c>
      <c r="AJ46" s="30">
        <v>66</v>
      </c>
      <c r="AK46" s="30">
        <v>94</v>
      </c>
      <c r="AL46" s="30">
        <v>103</v>
      </c>
      <c r="AM46" s="30">
        <v>72</v>
      </c>
      <c r="AN46" s="30">
        <v>103</v>
      </c>
      <c r="AO46" s="30">
        <v>112</v>
      </c>
      <c r="AP46" s="30">
        <v>79</v>
      </c>
      <c r="AQ46" s="30">
        <v>112</v>
      </c>
      <c r="AR46" s="30">
        <v>122</v>
      </c>
      <c r="AS46" s="30">
        <v>85</v>
      </c>
      <c r="AT46" s="30">
        <v>122</v>
      </c>
      <c r="AU46" s="30">
        <v>132</v>
      </c>
      <c r="AV46" s="30">
        <v>92</v>
      </c>
      <c r="AW46" s="30">
        <v>132</v>
      </c>
      <c r="AX46" s="30">
        <v>142</v>
      </c>
      <c r="AY46" s="30">
        <v>100</v>
      </c>
      <c r="AZ46" s="30">
        <v>142</v>
      </c>
      <c r="BA46" s="30">
        <v>153</v>
      </c>
      <c r="BB46" s="30">
        <v>107</v>
      </c>
      <c r="BC46" s="30">
        <v>153</v>
      </c>
      <c r="BD46" s="30">
        <v>164</v>
      </c>
      <c r="BE46" s="30">
        <v>115</v>
      </c>
      <c r="BF46" s="30">
        <v>164</v>
      </c>
      <c r="BG46" s="30">
        <v>175</v>
      </c>
      <c r="BH46" s="30">
        <v>122</v>
      </c>
      <c r="BI46" s="30">
        <v>175</v>
      </c>
      <c r="BJ46" s="30">
        <v>186</v>
      </c>
      <c r="BK46" s="30">
        <v>130</v>
      </c>
      <c r="BL46" s="30">
        <v>186</v>
      </c>
      <c r="BM46" s="30">
        <v>198</v>
      </c>
      <c r="BN46" s="30">
        <v>138</v>
      </c>
      <c r="BO46" s="30">
        <v>198</v>
      </c>
      <c r="BP46" s="30">
        <v>209</v>
      </c>
      <c r="BQ46" s="30">
        <v>147</v>
      </c>
      <c r="BR46" s="30">
        <v>209</v>
      </c>
      <c r="BS46" s="30">
        <v>221</v>
      </c>
      <c r="BT46" s="30">
        <v>155</v>
      </c>
      <c r="BU46" s="30">
        <v>221</v>
      </c>
      <c r="BV46" s="30">
        <v>234</v>
      </c>
      <c r="BW46" s="30">
        <v>164</v>
      </c>
      <c r="BX46" s="30">
        <v>234</v>
      </c>
      <c r="BY46" s="30">
        <v>246</v>
      </c>
      <c r="BZ46" s="30">
        <v>172</v>
      </c>
      <c r="CA46" s="30">
        <v>246</v>
      </c>
      <c r="CB46" s="30">
        <v>259</v>
      </c>
      <c r="CC46" s="30">
        <v>181</v>
      </c>
      <c r="CD46" s="30">
        <v>259</v>
      </c>
      <c r="CE46" s="30">
        <v>272</v>
      </c>
      <c r="CF46" s="30">
        <v>190</v>
      </c>
      <c r="CG46" s="30">
        <v>272</v>
      </c>
      <c r="CH46" s="30">
        <v>285</v>
      </c>
      <c r="CI46" s="30">
        <v>199</v>
      </c>
      <c r="CJ46" s="30">
        <v>285</v>
      </c>
      <c r="CK46" s="30">
        <v>298</v>
      </c>
      <c r="CL46" s="30">
        <v>209</v>
      </c>
      <c r="CM46" s="30">
        <v>298</v>
      </c>
    </row>
    <row r="47" spans="1:91" x14ac:dyDescent="0.25">
      <c r="A47" s="29" t="s">
        <v>95</v>
      </c>
      <c r="B47" s="30">
        <v>38</v>
      </c>
      <c r="C47" s="30">
        <v>13</v>
      </c>
      <c r="D47" s="30">
        <v>10</v>
      </c>
      <c r="E47" s="30">
        <v>41</v>
      </c>
      <c r="F47" s="30">
        <v>14</v>
      </c>
      <c r="G47" s="30">
        <v>11</v>
      </c>
      <c r="H47" s="30">
        <v>47</v>
      </c>
      <c r="I47" s="30">
        <v>16</v>
      </c>
      <c r="J47" s="30">
        <v>12</v>
      </c>
      <c r="K47" s="30">
        <v>54</v>
      </c>
      <c r="L47" s="30">
        <v>18</v>
      </c>
      <c r="M47" s="30">
        <v>14</v>
      </c>
      <c r="N47" s="30">
        <v>62</v>
      </c>
      <c r="O47" s="30">
        <v>21</v>
      </c>
      <c r="P47" s="30">
        <v>17</v>
      </c>
      <c r="Q47" s="30">
        <v>71</v>
      </c>
      <c r="R47" s="30">
        <v>24</v>
      </c>
      <c r="S47" s="30">
        <v>19</v>
      </c>
      <c r="T47" s="30">
        <v>81</v>
      </c>
      <c r="U47" s="30">
        <v>27</v>
      </c>
      <c r="V47" s="30">
        <v>22</v>
      </c>
      <c r="W47" s="30">
        <v>92</v>
      </c>
      <c r="X47" s="30">
        <v>31</v>
      </c>
      <c r="Y47" s="30">
        <v>25</v>
      </c>
      <c r="Z47" s="30">
        <v>103</v>
      </c>
      <c r="AA47" s="30">
        <v>34</v>
      </c>
      <c r="AB47" s="30">
        <v>28</v>
      </c>
      <c r="AC47" s="30">
        <v>115</v>
      </c>
      <c r="AD47" s="30">
        <v>38</v>
      </c>
      <c r="AE47" s="30">
        <v>31</v>
      </c>
      <c r="AF47" s="30">
        <v>128</v>
      </c>
      <c r="AG47" s="30">
        <v>43</v>
      </c>
      <c r="AH47" s="30">
        <v>34</v>
      </c>
      <c r="AI47" s="30">
        <v>141</v>
      </c>
      <c r="AJ47" s="30">
        <v>47</v>
      </c>
      <c r="AK47" s="30">
        <v>38</v>
      </c>
      <c r="AL47" s="30">
        <v>155</v>
      </c>
      <c r="AM47" s="30">
        <v>52</v>
      </c>
      <c r="AN47" s="30">
        <v>41</v>
      </c>
      <c r="AO47" s="30">
        <v>169</v>
      </c>
      <c r="AP47" s="30">
        <v>56</v>
      </c>
      <c r="AQ47" s="30">
        <v>45</v>
      </c>
      <c r="AR47" s="30">
        <v>183</v>
      </c>
      <c r="AS47" s="30">
        <v>61</v>
      </c>
      <c r="AT47" s="30">
        <v>49</v>
      </c>
      <c r="AU47" s="30">
        <v>198</v>
      </c>
      <c r="AV47" s="30">
        <v>66</v>
      </c>
      <c r="AW47" s="30">
        <v>53</v>
      </c>
      <c r="AX47" s="30">
        <v>213</v>
      </c>
      <c r="AY47" s="30">
        <v>71</v>
      </c>
      <c r="AZ47" s="30">
        <v>57</v>
      </c>
      <c r="BA47" s="30">
        <v>229</v>
      </c>
      <c r="BB47" s="30">
        <v>76</v>
      </c>
      <c r="BC47" s="30">
        <v>61</v>
      </c>
      <c r="BD47" s="30">
        <v>246</v>
      </c>
      <c r="BE47" s="30">
        <v>82</v>
      </c>
      <c r="BF47" s="30">
        <v>65</v>
      </c>
      <c r="BG47" s="30">
        <v>262</v>
      </c>
      <c r="BH47" s="30">
        <v>87</v>
      </c>
      <c r="BI47" s="30">
        <v>70</v>
      </c>
      <c r="BJ47" s="30">
        <v>279</v>
      </c>
      <c r="BK47" s="30">
        <v>93</v>
      </c>
      <c r="BL47" s="30">
        <v>74</v>
      </c>
      <c r="BM47" s="30">
        <v>296</v>
      </c>
      <c r="BN47" s="30">
        <v>99</v>
      </c>
      <c r="BO47" s="30">
        <v>79</v>
      </c>
      <c r="BP47" s="30">
        <v>314</v>
      </c>
      <c r="BQ47" s="30">
        <v>105</v>
      </c>
      <c r="BR47" s="30">
        <v>84</v>
      </c>
      <c r="BS47" s="30">
        <v>332</v>
      </c>
      <c r="BT47" s="30">
        <v>111</v>
      </c>
      <c r="BU47" s="30">
        <v>89</v>
      </c>
      <c r="BV47" s="30">
        <v>351</v>
      </c>
      <c r="BW47" s="30">
        <v>117</v>
      </c>
      <c r="BX47" s="30">
        <v>93</v>
      </c>
      <c r="BY47" s="30">
        <v>369</v>
      </c>
      <c r="BZ47" s="30">
        <v>123</v>
      </c>
      <c r="CA47" s="30">
        <v>98</v>
      </c>
      <c r="CB47" s="30">
        <v>388</v>
      </c>
      <c r="CC47" s="30">
        <v>129</v>
      </c>
      <c r="CD47" s="30">
        <v>104</v>
      </c>
      <c r="CE47" s="30">
        <v>408</v>
      </c>
      <c r="CF47" s="30">
        <v>136</v>
      </c>
      <c r="CG47" s="30">
        <v>109</v>
      </c>
      <c r="CH47" s="30">
        <v>427</v>
      </c>
      <c r="CI47" s="30">
        <v>142</v>
      </c>
      <c r="CJ47" s="30">
        <v>114</v>
      </c>
      <c r="CK47" s="30">
        <v>447</v>
      </c>
      <c r="CL47" s="30">
        <v>149</v>
      </c>
      <c r="CM47" s="30">
        <v>119</v>
      </c>
    </row>
    <row r="48" spans="1:91" x14ac:dyDescent="0.25">
      <c r="A48" s="29" t="s">
        <v>67</v>
      </c>
      <c r="B48" s="30">
        <v>192</v>
      </c>
      <c r="C48" s="30">
        <v>48</v>
      </c>
      <c r="D48" s="30">
        <v>48</v>
      </c>
      <c r="E48" s="30">
        <v>208</v>
      </c>
      <c r="F48" s="30">
        <v>52</v>
      </c>
      <c r="G48" s="30">
        <v>52</v>
      </c>
      <c r="H48" s="30">
        <v>235</v>
      </c>
      <c r="I48" s="30">
        <v>59</v>
      </c>
      <c r="J48" s="30">
        <v>59</v>
      </c>
      <c r="K48" s="30">
        <v>268</v>
      </c>
      <c r="L48" s="30">
        <v>67</v>
      </c>
      <c r="M48" s="30">
        <v>67</v>
      </c>
      <c r="N48" s="30">
        <v>306</v>
      </c>
      <c r="O48" s="30">
        <v>77</v>
      </c>
      <c r="P48" s="30">
        <v>77</v>
      </c>
      <c r="Q48" s="30">
        <v>348</v>
      </c>
      <c r="R48" s="30">
        <v>87</v>
      </c>
      <c r="S48" s="30">
        <v>87</v>
      </c>
      <c r="T48" s="30">
        <v>393</v>
      </c>
      <c r="U48" s="30">
        <v>98</v>
      </c>
      <c r="V48" s="30">
        <v>98</v>
      </c>
      <c r="W48" s="30">
        <v>442</v>
      </c>
      <c r="X48" s="30">
        <v>110</v>
      </c>
      <c r="Y48" s="30">
        <v>110</v>
      </c>
      <c r="Z48" s="30">
        <v>493</v>
      </c>
      <c r="AA48" s="30">
        <v>123</v>
      </c>
      <c r="AB48" s="30">
        <v>123</v>
      </c>
      <c r="AC48" s="30">
        <v>547</v>
      </c>
      <c r="AD48" s="30">
        <v>137</v>
      </c>
      <c r="AE48" s="30">
        <v>137</v>
      </c>
      <c r="AF48" s="30">
        <v>604</v>
      </c>
      <c r="AG48" s="30">
        <v>151</v>
      </c>
      <c r="AH48" s="30">
        <v>151</v>
      </c>
      <c r="AI48" s="30">
        <v>662</v>
      </c>
      <c r="AJ48" s="30">
        <v>166</v>
      </c>
      <c r="AK48" s="30">
        <v>166</v>
      </c>
      <c r="AL48" s="30">
        <v>723</v>
      </c>
      <c r="AM48" s="30">
        <v>181</v>
      </c>
      <c r="AN48" s="30">
        <v>181</v>
      </c>
      <c r="AO48" s="30">
        <v>786</v>
      </c>
      <c r="AP48" s="30">
        <v>197</v>
      </c>
      <c r="AQ48" s="30">
        <v>197</v>
      </c>
      <c r="AR48" s="30">
        <v>851</v>
      </c>
      <c r="AS48" s="30">
        <v>213</v>
      </c>
      <c r="AT48" s="30">
        <v>213</v>
      </c>
      <c r="AU48" s="30">
        <v>918</v>
      </c>
      <c r="AV48" s="30">
        <v>230</v>
      </c>
      <c r="AW48" s="30">
        <v>230</v>
      </c>
      <c r="AX48" s="30">
        <v>987</v>
      </c>
      <c r="AY48" s="30">
        <v>247</v>
      </c>
      <c r="AZ48" s="30">
        <v>247</v>
      </c>
      <c r="BA48" s="30">
        <v>1057</v>
      </c>
      <c r="BB48" s="30">
        <v>264</v>
      </c>
      <c r="BC48" s="30">
        <v>264</v>
      </c>
      <c r="BD48" s="30">
        <v>1129</v>
      </c>
      <c r="BE48" s="30">
        <v>282</v>
      </c>
      <c r="BF48" s="30">
        <v>282</v>
      </c>
      <c r="BG48" s="30">
        <v>1203</v>
      </c>
      <c r="BH48" s="30">
        <v>301</v>
      </c>
      <c r="BI48" s="30">
        <v>301</v>
      </c>
      <c r="BJ48" s="30">
        <v>1278</v>
      </c>
      <c r="BK48" s="30">
        <v>320</v>
      </c>
      <c r="BL48" s="30">
        <v>320</v>
      </c>
      <c r="BM48" s="30">
        <v>1355</v>
      </c>
      <c r="BN48" s="30">
        <v>339</v>
      </c>
      <c r="BO48" s="30">
        <v>339</v>
      </c>
      <c r="BP48" s="30">
        <v>1433</v>
      </c>
      <c r="BQ48" s="30">
        <v>358</v>
      </c>
      <c r="BR48" s="30">
        <v>358</v>
      </c>
      <c r="BS48" s="30">
        <v>1513</v>
      </c>
      <c r="BT48" s="30">
        <v>378</v>
      </c>
      <c r="BU48" s="30">
        <v>378</v>
      </c>
      <c r="BV48" s="30">
        <v>1594</v>
      </c>
      <c r="BW48" s="30">
        <v>398</v>
      </c>
      <c r="BX48" s="30">
        <v>398</v>
      </c>
      <c r="BY48" s="30">
        <v>1676</v>
      </c>
      <c r="BZ48" s="30">
        <v>419</v>
      </c>
      <c r="CA48" s="30">
        <v>419</v>
      </c>
      <c r="CB48" s="30">
        <v>1760</v>
      </c>
      <c r="CC48" s="30">
        <v>440</v>
      </c>
      <c r="CD48" s="30">
        <v>440</v>
      </c>
      <c r="CE48" s="30">
        <v>1845</v>
      </c>
      <c r="CF48" s="30">
        <v>461</v>
      </c>
      <c r="CG48" s="30">
        <v>461</v>
      </c>
      <c r="CH48" s="30">
        <v>1932</v>
      </c>
      <c r="CI48" s="30">
        <v>483</v>
      </c>
      <c r="CJ48" s="30">
        <v>483</v>
      </c>
      <c r="CK48" s="30">
        <v>2019</v>
      </c>
      <c r="CL48" s="30">
        <v>505</v>
      </c>
      <c r="CM48" s="30">
        <v>505</v>
      </c>
    </row>
    <row r="49" spans="1:91" x14ac:dyDescent="0.25">
      <c r="A49" s="29" t="s">
        <v>1848</v>
      </c>
      <c r="B49" s="340">
        <v>55</v>
      </c>
      <c r="C49" s="340">
        <v>20</v>
      </c>
      <c r="D49" s="340">
        <v>65</v>
      </c>
      <c r="E49" s="340">
        <v>60.5</v>
      </c>
      <c r="F49" s="340">
        <v>22</v>
      </c>
      <c r="G49" s="340">
        <v>71.5</v>
      </c>
      <c r="H49" s="340">
        <v>71.041666666666671</v>
      </c>
      <c r="I49" s="340">
        <v>25.833333333333332</v>
      </c>
      <c r="J49" s="340">
        <v>83.958333333333343</v>
      </c>
      <c r="K49" s="340">
        <v>83.416666666666671</v>
      </c>
      <c r="L49" s="340">
        <v>30.333333333333332</v>
      </c>
      <c r="M49" s="340">
        <v>98.583333333333343</v>
      </c>
      <c r="N49" s="340">
        <v>98.541666666666671</v>
      </c>
      <c r="O49" s="340">
        <v>35.833333333333336</v>
      </c>
      <c r="P49" s="340">
        <v>116.45833333333334</v>
      </c>
      <c r="Q49" s="340">
        <v>115.04166666666669</v>
      </c>
      <c r="R49" s="340">
        <v>41.833333333333336</v>
      </c>
      <c r="S49" s="340">
        <v>135.95833333333334</v>
      </c>
      <c r="T49" s="340">
        <v>132.45833333333334</v>
      </c>
      <c r="U49" s="340">
        <v>48.166666666666664</v>
      </c>
      <c r="V49" s="340">
        <v>156.54166666666669</v>
      </c>
      <c r="W49" s="340">
        <v>151.70833333333334</v>
      </c>
      <c r="X49" s="340">
        <v>55.166666666666664</v>
      </c>
      <c r="Y49" s="340">
        <v>179.29166666666669</v>
      </c>
      <c r="Z49" s="340">
        <v>172.33333333333334</v>
      </c>
      <c r="AA49" s="340">
        <v>62.666666666666664</v>
      </c>
      <c r="AB49" s="340">
        <v>203.66666666666669</v>
      </c>
      <c r="AC49" s="340">
        <v>194.33333333333334</v>
      </c>
      <c r="AD49" s="340">
        <v>70.666666666666671</v>
      </c>
      <c r="AE49" s="340">
        <v>229.66666666666669</v>
      </c>
      <c r="AF49" s="340">
        <v>216.79166666666669</v>
      </c>
      <c r="AG49" s="340">
        <v>78.833333333333329</v>
      </c>
      <c r="AH49" s="340">
        <v>256.20833333333337</v>
      </c>
      <c r="AI49" s="340">
        <v>240.16666666666669</v>
      </c>
      <c r="AJ49" s="340">
        <v>87.333333333333329</v>
      </c>
      <c r="AK49" s="340">
        <v>283.83333333333337</v>
      </c>
      <c r="AL49" s="340">
        <v>265.375</v>
      </c>
      <c r="AM49" s="340">
        <v>96.5</v>
      </c>
      <c r="AN49" s="340">
        <v>313.625</v>
      </c>
      <c r="AO49" s="340">
        <v>291.04166666666669</v>
      </c>
      <c r="AP49" s="340">
        <v>105.83333333333333</v>
      </c>
      <c r="AQ49" s="340">
        <v>343.95833333333337</v>
      </c>
      <c r="AR49" s="340">
        <v>317.16666666666669</v>
      </c>
      <c r="AS49" s="340">
        <v>115.33333333333333</v>
      </c>
      <c r="AT49" s="340">
        <v>374.83333333333337</v>
      </c>
      <c r="AU49" s="340">
        <v>344.66666666666669</v>
      </c>
      <c r="AV49" s="340">
        <v>125.33333333333333</v>
      </c>
      <c r="AW49" s="340">
        <v>407.33333333333337</v>
      </c>
      <c r="AX49" s="340">
        <v>373.54166666666669</v>
      </c>
      <c r="AY49" s="340">
        <v>135.83333333333334</v>
      </c>
      <c r="AZ49" s="340">
        <v>441.45833333333337</v>
      </c>
      <c r="BA49" s="340">
        <v>401.95833333333337</v>
      </c>
      <c r="BB49" s="340">
        <v>146.16666666666666</v>
      </c>
      <c r="BC49" s="340">
        <v>475.04166666666674</v>
      </c>
      <c r="BD49" s="340">
        <v>432.20833333333337</v>
      </c>
      <c r="BE49" s="340">
        <v>157.16666666666666</v>
      </c>
      <c r="BF49" s="340">
        <v>510.79166666666674</v>
      </c>
      <c r="BG49" s="340">
        <v>462.45833333333337</v>
      </c>
      <c r="BH49" s="340">
        <v>168.16666666666666</v>
      </c>
      <c r="BI49" s="340">
        <v>546.54166666666674</v>
      </c>
      <c r="BJ49" s="340">
        <v>494.08333333333337</v>
      </c>
      <c r="BK49" s="340">
        <v>179.66666666666666</v>
      </c>
      <c r="BL49" s="340">
        <v>583.91666666666674</v>
      </c>
      <c r="BM49" s="340">
        <v>525.70833333333337</v>
      </c>
      <c r="BN49" s="340">
        <v>191.16666666666666</v>
      </c>
      <c r="BO49" s="340">
        <v>621.29166666666674</v>
      </c>
      <c r="BP49" s="340">
        <v>558.70833333333337</v>
      </c>
      <c r="BQ49" s="340">
        <v>203.16666666666666</v>
      </c>
      <c r="BR49" s="340">
        <v>660.29166666666674</v>
      </c>
      <c r="BS49" s="340">
        <v>591.70833333333337</v>
      </c>
      <c r="BT49" s="340">
        <v>215.16666666666666</v>
      </c>
      <c r="BU49" s="340">
        <v>699.29166666666674</v>
      </c>
      <c r="BV49" s="340">
        <v>625.625</v>
      </c>
      <c r="BW49" s="340">
        <v>227.5</v>
      </c>
      <c r="BX49" s="340">
        <v>739.375</v>
      </c>
      <c r="BY49" s="340">
        <v>660</v>
      </c>
      <c r="BZ49" s="340">
        <v>240</v>
      </c>
      <c r="CA49" s="340">
        <v>780</v>
      </c>
      <c r="CB49" s="340">
        <v>695.29166666666674</v>
      </c>
      <c r="CC49" s="340">
        <v>252.83333333333334</v>
      </c>
      <c r="CD49" s="340">
        <v>821.70833333333348</v>
      </c>
      <c r="CE49" s="340">
        <v>731.50000000000011</v>
      </c>
      <c r="CF49" s="340">
        <v>266</v>
      </c>
      <c r="CG49" s="340">
        <v>864.50000000000011</v>
      </c>
      <c r="CH49" s="340">
        <v>767.70833333333337</v>
      </c>
      <c r="CI49" s="340">
        <v>279.16666666666669</v>
      </c>
      <c r="CJ49" s="340">
        <v>907.29166666666674</v>
      </c>
      <c r="CK49" s="340">
        <v>804.83333333333348</v>
      </c>
      <c r="CL49" s="340">
        <v>292.66666666666669</v>
      </c>
      <c r="CM49" s="340">
        <v>951.16666666666686</v>
      </c>
    </row>
    <row r="50" spans="1:91" x14ac:dyDescent="0.25">
      <c r="A50" s="29" t="s">
        <v>73</v>
      </c>
      <c r="B50" s="30">
        <v>10</v>
      </c>
      <c r="C50" s="30">
        <v>6</v>
      </c>
      <c r="D50" s="30">
        <v>8</v>
      </c>
      <c r="E50" s="30">
        <v>11</v>
      </c>
      <c r="F50" s="30">
        <v>7</v>
      </c>
      <c r="G50" s="30">
        <v>9</v>
      </c>
      <c r="H50" s="30">
        <v>13</v>
      </c>
      <c r="I50" s="30">
        <v>8</v>
      </c>
      <c r="J50" s="30">
        <v>10</v>
      </c>
      <c r="K50" s="30">
        <v>15</v>
      </c>
      <c r="L50" s="30">
        <v>9</v>
      </c>
      <c r="M50" s="30">
        <v>12</v>
      </c>
      <c r="N50" s="30">
        <v>17</v>
      </c>
      <c r="O50" s="30">
        <v>10</v>
      </c>
      <c r="P50" s="30">
        <v>14</v>
      </c>
      <c r="Q50" s="30">
        <v>20</v>
      </c>
      <c r="R50" s="30">
        <v>12</v>
      </c>
      <c r="S50" s="30">
        <v>16</v>
      </c>
      <c r="T50" s="30">
        <v>23</v>
      </c>
      <c r="U50" s="30">
        <v>14</v>
      </c>
      <c r="V50" s="30">
        <v>18</v>
      </c>
      <c r="W50" s="30">
        <v>26</v>
      </c>
      <c r="X50" s="30">
        <v>15</v>
      </c>
      <c r="Y50" s="30">
        <v>21</v>
      </c>
      <c r="Z50" s="30">
        <v>29</v>
      </c>
      <c r="AA50" s="30">
        <v>17</v>
      </c>
      <c r="AB50" s="30">
        <v>23</v>
      </c>
      <c r="AC50" s="30">
        <v>32</v>
      </c>
      <c r="AD50" s="30">
        <v>19</v>
      </c>
      <c r="AE50" s="30">
        <v>26</v>
      </c>
      <c r="AF50" s="30">
        <v>36</v>
      </c>
      <c r="AG50" s="30">
        <v>22</v>
      </c>
      <c r="AH50" s="30">
        <v>29</v>
      </c>
      <c r="AI50" s="30">
        <v>40</v>
      </c>
      <c r="AJ50" s="30">
        <v>24</v>
      </c>
      <c r="AK50" s="30">
        <v>32</v>
      </c>
      <c r="AL50" s="30">
        <v>44</v>
      </c>
      <c r="AM50" s="30">
        <v>26</v>
      </c>
      <c r="AN50" s="30">
        <v>35</v>
      </c>
      <c r="AO50" s="30">
        <v>48</v>
      </c>
      <c r="AP50" s="30">
        <v>29</v>
      </c>
      <c r="AQ50" s="30">
        <v>38</v>
      </c>
      <c r="AR50" s="30">
        <v>52</v>
      </c>
      <c r="AS50" s="30">
        <v>31</v>
      </c>
      <c r="AT50" s="30">
        <v>41</v>
      </c>
      <c r="AU50" s="30">
        <v>56</v>
      </c>
      <c r="AV50" s="30">
        <v>33</v>
      </c>
      <c r="AW50" s="30">
        <v>45</v>
      </c>
      <c r="AX50" s="30">
        <v>60</v>
      </c>
      <c r="AY50" s="30">
        <v>36</v>
      </c>
      <c r="AZ50" s="30">
        <v>48</v>
      </c>
      <c r="BA50" s="30">
        <v>65</v>
      </c>
      <c r="BB50" s="30">
        <v>39</v>
      </c>
      <c r="BC50" s="30">
        <v>52</v>
      </c>
      <c r="BD50" s="30">
        <v>69</v>
      </c>
      <c r="BE50" s="30">
        <v>41</v>
      </c>
      <c r="BF50" s="30">
        <v>55</v>
      </c>
      <c r="BG50" s="30">
        <v>74</v>
      </c>
      <c r="BH50" s="30">
        <v>44</v>
      </c>
      <c r="BI50" s="30">
        <v>59</v>
      </c>
      <c r="BJ50" s="30">
        <v>79</v>
      </c>
      <c r="BK50" s="30">
        <v>47</v>
      </c>
      <c r="BL50" s="30">
        <v>63</v>
      </c>
      <c r="BM50" s="30">
        <v>83</v>
      </c>
      <c r="BN50" s="30">
        <v>50</v>
      </c>
      <c r="BO50" s="30">
        <v>67</v>
      </c>
      <c r="BP50" s="30">
        <v>88</v>
      </c>
      <c r="BQ50" s="30">
        <v>53</v>
      </c>
      <c r="BR50" s="30">
        <v>71</v>
      </c>
      <c r="BS50" s="30">
        <v>93</v>
      </c>
      <c r="BT50" s="30">
        <v>56</v>
      </c>
      <c r="BU50" s="30">
        <v>75</v>
      </c>
      <c r="BV50" s="30">
        <v>98</v>
      </c>
      <c r="BW50" s="30">
        <v>59</v>
      </c>
      <c r="BX50" s="30">
        <v>79</v>
      </c>
      <c r="BY50" s="30">
        <v>104</v>
      </c>
      <c r="BZ50" s="30">
        <v>62</v>
      </c>
      <c r="CA50" s="30">
        <v>83</v>
      </c>
      <c r="CB50" s="30">
        <v>109</v>
      </c>
      <c r="CC50" s="30">
        <v>65</v>
      </c>
      <c r="CD50" s="30">
        <v>87</v>
      </c>
      <c r="CE50" s="30">
        <v>114</v>
      </c>
      <c r="CF50" s="30">
        <v>69</v>
      </c>
      <c r="CG50" s="30">
        <v>91</v>
      </c>
      <c r="CH50" s="30">
        <v>120</v>
      </c>
      <c r="CI50" s="30">
        <v>72</v>
      </c>
      <c r="CJ50" s="30">
        <v>96</v>
      </c>
      <c r="CK50" s="30">
        <v>125</v>
      </c>
      <c r="CL50" s="30">
        <v>75</v>
      </c>
      <c r="CM50" s="30">
        <v>100</v>
      </c>
    </row>
    <row r="51" spans="1:91" x14ac:dyDescent="0.25">
      <c r="A51" s="29" t="s">
        <v>98</v>
      </c>
      <c r="B51" s="30">
        <v>10</v>
      </c>
      <c r="C51" s="30">
        <v>15</v>
      </c>
      <c r="D51" s="30">
        <v>95</v>
      </c>
      <c r="E51" s="30">
        <v>11</v>
      </c>
      <c r="F51" s="30">
        <v>17</v>
      </c>
      <c r="G51" s="30">
        <v>105</v>
      </c>
      <c r="H51" s="30">
        <v>13</v>
      </c>
      <c r="I51" s="30">
        <v>19</v>
      </c>
      <c r="J51" s="30">
        <v>123</v>
      </c>
      <c r="K51" s="30">
        <v>15</v>
      </c>
      <c r="L51" s="30">
        <v>23</v>
      </c>
      <c r="M51" s="30">
        <v>144</v>
      </c>
      <c r="N51" s="30">
        <v>18</v>
      </c>
      <c r="O51" s="30">
        <v>27</v>
      </c>
      <c r="P51" s="30">
        <v>170</v>
      </c>
      <c r="Q51" s="30">
        <v>21</v>
      </c>
      <c r="R51" s="30">
        <v>31</v>
      </c>
      <c r="S51" s="30">
        <v>198</v>
      </c>
      <c r="T51" s="30">
        <v>24</v>
      </c>
      <c r="U51" s="30">
        <v>36</v>
      </c>
      <c r="V51" s="30">
        <v>229</v>
      </c>
      <c r="W51" s="30">
        <v>28</v>
      </c>
      <c r="X51" s="30">
        <v>41</v>
      </c>
      <c r="Y51" s="30">
        <v>262</v>
      </c>
      <c r="Z51" s="30">
        <v>31</v>
      </c>
      <c r="AA51" s="30">
        <v>47</v>
      </c>
      <c r="AB51" s="30">
        <v>298</v>
      </c>
      <c r="AC51" s="30">
        <v>35</v>
      </c>
      <c r="AD51" s="30">
        <v>53</v>
      </c>
      <c r="AE51" s="30">
        <v>335</v>
      </c>
      <c r="AF51" s="30">
        <v>39</v>
      </c>
      <c r="AG51" s="30">
        <v>59</v>
      </c>
      <c r="AH51" s="30">
        <v>374</v>
      </c>
      <c r="AI51" s="30">
        <v>44</v>
      </c>
      <c r="AJ51" s="30">
        <v>66</v>
      </c>
      <c r="AK51" s="30">
        <v>416</v>
      </c>
      <c r="AL51" s="30">
        <v>48</v>
      </c>
      <c r="AM51" s="30">
        <v>72</v>
      </c>
      <c r="AN51" s="30">
        <v>458</v>
      </c>
      <c r="AO51" s="30">
        <v>53</v>
      </c>
      <c r="AP51" s="30">
        <v>79</v>
      </c>
      <c r="AQ51" s="30">
        <v>503</v>
      </c>
      <c r="AR51" s="30">
        <v>58</v>
      </c>
      <c r="AS51" s="30">
        <v>87</v>
      </c>
      <c r="AT51" s="30">
        <v>549</v>
      </c>
      <c r="AU51" s="30">
        <v>63</v>
      </c>
      <c r="AV51" s="30">
        <v>94</v>
      </c>
      <c r="AW51" s="30">
        <v>596</v>
      </c>
      <c r="AX51" s="30">
        <v>68</v>
      </c>
      <c r="AY51" s="30">
        <v>102</v>
      </c>
      <c r="AZ51" s="30">
        <v>645</v>
      </c>
      <c r="BA51" s="30">
        <v>73</v>
      </c>
      <c r="BB51" s="30">
        <v>110</v>
      </c>
      <c r="BC51" s="30">
        <v>695</v>
      </c>
      <c r="BD51" s="30">
        <v>79</v>
      </c>
      <c r="BE51" s="30">
        <v>118</v>
      </c>
      <c r="BF51" s="30">
        <v>746</v>
      </c>
      <c r="BG51" s="30">
        <v>84</v>
      </c>
      <c r="BH51" s="30">
        <v>126</v>
      </c>
      <c r="BI51" s="30">
        <v>799</v>
      </c>
      <c r="BJ51" s="30">
        <v>90</v>
      </c>
      <c r="BK51" s="30">
        <v>135</v>
      </c>
      <c r="BL51" s="30">
        <v>853</v>
      </c>
      <c r="BM51" s="30">
        <v>96</v>
      </c>
      <c r="BN51" s="30">
        <v>143</v>
      </c>
      <c r="BO51" s="30">
        <v>908</v>
      </c>
      <c r="BP51" s="30">
        <v>102</v>
      </c>
      <c r="BQ51" s="30">
        <v>152</v>
      </c>
      <c r="BR51" s="30">
        <v>965</v>
      </c>
      <c r="BS51" s="30">
        <v>108</v>
      </c>
      <c r="BT51" s="30">
        <v>161</v>
      </c>
      <c r="BU51" s="30">
        <v>1022</v>
      </c>
      <c r="BV51" s="30">
        <v>114</v>
      </c>
      <c r="BW51" s="30">
        <v>171</v>
      </c>
      <c r="BX51" s="30">
        <v>1081</v>
      </c>
      <c r="BY51" s="30">
        <v>120</v>
      </c>
      <c r="BZ51" s="30">
        <v>180</v>
      </c>
      <c r="CA51" s="30">
        <v>1140</v>
      </c>
      <c r="CB51" s="30">
        <v>126</v>
      </c>
      <c r="CC51" s="30">
        <v>190</v>
      </c>
      <c r="CD51" s="30">
        <v>1201</v>
      </c>
      <c r="CE51" s="30">
        <v>133</v>
      </c>
      <c r="CF51" s="30">
        <v>199</v>
      </c>
      <c r="CG51" s="30">
        <v>1263</v>
      </c>
      <c r="CH51" s="30">
        <v>140</v>
      </c>
      <c r="CI51" s="30">
        <v>209</v>
      </c>
      <c r="CJ51" s="30">
        <v>1326</v>
      </c>
      <c r="CK51" s="30">
        <v>146</v>
      </c>
      <c r="CL51" s="30">
        <v>219</v>
      </c>
      <c r="CM51" s="30">
        <v>1389</v>
      </c>
    </row>
    <row r="52" spans="1:91" x14ac:dyDescent="0.25">
      <c r="A52" s="29" t="s">
        <v>109</v>
      </c>
      <c r="B52" s="30">
        <v>180</v>
      </c>
      <c r="C52" s="30">
        <v>48</v>
      </c>
      <c r="D52" s="30">
        <v>60</v>
      </c>
      <c r="E52" s="30">
        <v>195</v>
      </c>
      <c r="F52" s="30">
        <v>52</v>
      </c>
      <c r="G52" s="30">
        <v>65</v>
      </c>
      <c r="H52" s="30">
        <v>221</v>
      </c>
      <c r="I52" s="30">
        <v>59</v>
      </c>
      <c r="J52" s="30">
        <v>74</v>
      </c>
      <c r="K52" s="30">
        <v>252</v>
      </c>
      <c r="L52" s="30">
        <v>67</v>
      </c>
      <c r="M52" s="30">
        <v>84</v>
      </c>
      <c r="N52" s="30">
        <v>287</v>
      </c>
      <c r="O52" s="30">
        <v>77</v>
      </c>
      <c r="P52" s="30">
        <v>96</v>
      </c>
      <c r="Q52" s="30">
        <v>326</v>
      </c>
      <c r="R52" s="30">
        <v>87</v>
      </c>
      <c r="S52" s="30">
        <v>109</v>
      </c>
      <c r="T52" s="30">
        <v>369</v>
      </c>
      <c r="U52" s="30">
        <v>98</v>
      </c>
      <c r="V52" s="30">
        <v>123</v>
      </c>
      <c r="W52" s="30">
        <v>414</v>
      </c>
      <c r="X52" s="30">
        <v>110</v>
      </c>
      <c r="Y52" s="30">
        <v>138</v>
      </c>
      <c r="Z52" s="30">
        <v>462</v>
      </c>
      <c r="AA52" s="30">
        <v>123</v>
      </c>
      <c r="AB52" s="30">
        <v>154</v>
      </c>
      <c r="AC52" s="30">
        <v>513</v>
      </c>
      <c r="AD52" s="30">
        <v>137</v>
      </c>
      <c r="AE52" s="30">
        <v>171</v>
      </c>
      <c r="AF52" s="30">
        <v>566</v>
      </c>
      <c r="AG52" s="30">
        <v>151</v>
      </c>
      <c r="AH52" s="30">
        <v>189</v>
      </c>
      <c r="AI52" s="30">
        <v>621</v>
      </c>
      <c r="AJ52" s="30">
        <v>166</v>
      </c>
      <c r="AK52" s="30">
        <v>207</v>
      </c>
      <c r="AL52" s="30">
        <v>678</v>
      </c>
      <c r="AM52" s="30">
        <v>181</v>
      </c>
      <c r="AN52" s="30">
        <v>226</v>
      </c>
      <c r="AO52" s="30">
        <v>737</v>
      </c>
      <c r="AP52" s="30">
        <v>197</v>
      </c>
      <c r="AQ52" s="30">
        <v>246</v>
      </c>
      <c r="AR52" s="30">
        <v>798</v>
      </c>
      <c r="AS52" s="30">
        <v>213</v>
      </c>
      <c r="AT52" s="30">
        <v>266</v>
      </c>
      <c r="AU52" s="30">
        <v>861</v>
      </c>
      <c r="AV52" s="30">
        <v>230</v>
      </c>
      <c r="AW52" s="30">
        <v>287</v>
      </c>
      <c r="AX52" s="30">
        <v>925</v>
      </c>
      <c r="AY52" s="30">
        <v>247</v>
      </c>
      <c r="AZ52" s="30">
        <v>308</v>
      </c>
      <c r="BA52" s="30">
        <v>991</v>
      </c>
      <c r="BB52" s="30">
        <v>264</v>
      </c>
      <c r="BC52" s="30">
        <v>330</v>
      </c>
      <c r="BD52" s="30">
        <v>1059</v>
      </c>
      <c r="BE52" s="30">
        <v>282</v>
      </c>
      <c r="BF52" s="30">
        <v>353</v>
      </c>
      <c r="BG52" s="30">
        <v>1128</v>
      </c>
      <c r="BH52" s="30">
        <v>301</v>
      </c>
      <c r="BI52" s="30">
        <v>376</v>
      </c>
      <c r="BJ52" s="30">
        <v>1198</v>
      </c>
      <c r="BK52" s="30">
        <v>320</v>
      </c>
      <c r="BL52" s="30">
        <v>399</v>
      </c>
      <c r="BM52" s="30">
        <v>1270</v>
      </c>
      <c r="BN52" s="30">
        <v>339</v>
      </c>
      <c r="BO52" s="30">
        <v>423</v>
      </c>
      <c r="BP52" s="30">
        <v>1344</v>
      </c>
      <c r="BQ52" s="30">
        <v>358</v>
      </c>
      <c r="BR52" s="30">
        <v>448</v>
      </c>
      <c r="BS52" s="30">
        <v>1418</v>
      </c>
      <c r="BT52" s="30">
        <v>378</v>
      </c>
      <c r="BU52" s="30">
        <v>473</v>
      </c>
      <c r="BV52" s="30">
        <v>1494</v>
      </c>
      <c r="BW52" s="30">
        <v>398</v>
      </c>
      <c r="BX52" s="30">
        <v>498</v>
      </c>
      <c r="BY52" s="30">
        <v>1572</v>
      </c>
      <c r="BZ52" s="30">
        <v>419</v>
      </c>
      <c r="CA52" s="30">
        <v>524</v>
      </c>
      <c r="CB52" s="30">
        <v>1650</v>
      </c>
      <c r="CC52" s="30">
        <v>440</v>
      </c>
      <c r="CD52" s="30">
        <v>550</v>
      </c>
      <c r="CE52" s="30">
        <v>1730</v>
      </c>
      <c r="CF52" s="30">
        <v>461</v>
      </c>
      <c r="CG52" s="30">
        <v>577</v>
      </c>
      <c r="CH52" s="30">
        <v>1811</v>
      </c>
      <c r="CI52" s="30">
        <v>483</v>
      </c>
      <c r="CJ52" s="30">
        <v>604</v>
      </c>
      <c r="CK52" s="30">
        <v>1893</v>
      </c>
      <c r="CL52" s="30">
        <v>505</v>
      </c>
      <c r="CM52" s="30">
        <v>631</v>
      </c>
    </row>
    <row r="53" spans="1:91" x14ac:dyDescent="0.25">
      <c r="A53" s="29" t="s">
        <v>4</v>
      </c>
      <c r="B53" s="30">
        <v>2</v>
      </c>
      <c r="C53" s="30">
        <v>12</v>
      </c>
      <c r="D53" s="30">
        <v>10</v>
      </c>
      <c r="E53" s="30">
        <v>2</v>
      </c>
      <c r="F53" s="30">
        <v>13</v>
      </c>
      <c r="G53" s="30">
        <v>11</v>
      </c>
      <c r="H53" s="30">
        <v>3</v>
      </c>
      <c r="I53" s="30">
        <v>15</v>
      </c>
      <c r="J53" s="30">
        <v>13</v>
      </c>
      <c r="K53" s="30">
        <v>3</v>
      </c>
      <c r="L53" s="30">
        <v>18</v>
      </c>
      <c r="M53" s="30">
        <v>15</v>
      </c>
      <c r="N53" s="30">
        <v>3</v>
      </c>
      <c r="O53" s="30">
        <v>21</v>
      </c>
      <c r="P53" s="30">
        <v>17</v>
      </c>
      <c r="Q53" s="30">
        <v>4</v>
      </c>
      <c r="R53" s="30">
        <v>24</v>
      </c>
      <c r="S53" s="30">
        <v>20</v>
      </c>
      <c r="T53" s="30">
        <v>5</v>
      </c>
      <c r="U53" s="30">
        <v>27</v>
      </c>
      <c r="V53" s="30">
        <v>23</v>
      </c>
      <c r="W53" s="30">
        <v>5</v>
      </c>
      <c r="X53" s="30">
        <v>31</v>
      </c>
      <c r="Y53" s="30">
        <v>26</v>
      </c>
      <c r="Z53" s="30">
        <v>6</v>
      </c>
      <c r="AA53" s="30">
        <v>35</v>
      </c>
      <c r="AB53" s="30">
        <v>29</v>
      </c>
      <c r="AC53" s="30">
        <v>6</v>
      </c>
      <c r="AD53" s="30">
        <v>39</v>
      </c>
      <c r="AE53" s="30">
        <v>32</v>
      </c>
      <c r="AF53" s="30">
        <v>7</v>
      </c>
      <c r="AG53" s="30">
        <v>43</v>
      </c>
      <c r="AH53" s="30">
        <v>36</v>
      </c>
      <c r="AI53" s="30">
        <v>8</v>
      </c>
      <c r="AJ53" s="30">
        <v>48</v>
      </c>
      <c r="AK53" s="30">
        <v>40</v>
      </c>
      <c r="AL53" s="30">
        <v>9</v>
      </c>
      <c r="AM53" s="30">
        <v>52</v>
      </c>
      <c r="AN53" s="30">
        <v>44</v>
      </c>
      <c r="AO53" s="30">
        <v>10</v>
      </c>
      <c r="AP53" s="30">
        <v>57</v>
      </c>
      <c r="AQ53" s="30">
        <v>48</v>
      </c>
      <c r="AR53" s="30">
        <v>10</v>
      </c>
      <c r="AS53" s="30">
        <v>62</v>
      </c>
      <c r="AT53" s="30">
        <v>52</v>
      </c>
      <c r="AU53" s="30">
        <v>11</v>
      </c>
      <c r="AV53" s="30">
        <v>67</v>
      </c>
      <c r="AW53" s="30">
        <v>56</v>
      </c>
      <c r="AX53" s="30">
        <v>12</v>
      </c>
      <c r="AY53" s="30">
        <v>72</v>
      </c>
      <c r="AZ53" s="30">
        <v>60</v>
      </c>
      <c r="BA53" s="30">
        <v>13</v>
      </c>
      <c r="BB53" s="30">
        <v>77</v>
      </c>
      <c r="BC53" s="30">
        <v>65</v>
      </c>
      <c r="BD53" s="30">
        <v>14</v>
      </c>
      <c r="BE53" s="30">
        <v>83</v>
      </c>
      <c r="BF53" s="30">
        <v>69</v>
      </c>
      <c r="BG53" s="30">
        <v>15</v>
      </c>
      <c r="BH53" s="30">
        <v>88</v>
      </c>
      <c r="BI53" s="30">
        <v>74</v>
      </c>
      <c r="BJ53" s="30">
        <v>16</v>
      </c>
      <c r="BK53" s="30">
        <v>94</v>
      </c>
      <c r="BL53" s="30">
        <v>79</v>
      </c>
      <c r="BM53" s="30">
        <v>17</v>
      </c>
      <c r="BN53" s="30">
        <v>100</v>
      </c>
      <c r="BO53" s="30">
        <v>83</v>
      </c>
      <c r="BP53" s="30">
        <v>18</v>
      </c>
      <c r="BQ53" s="30">
        <v>106</v>
      </c>
      <c r="BR53" s="30">
        <v>88</v>
      </c>
      <c r="BS53" s="30">
        <v>19</v>
      </c>
      <c r="BT53" s="30">
        <v>112</v>
      </c>
      <c r="BU53" s="30">
        <v>93</v>
      </c>
      <c r="BV53" s="30">
        <v>20</v>
      </c>
      <c r="BW53" s="30">
        <v>118</v>
      </c>
      <c r="BX53" s="30">
        <v>98</v>
      </c>
      <c r="BY53" s="30">
        <v>21</v>
      </c>
      <c r="BZ53" s="30">
        <v>124</v>
      </c>
      <c r="CA53" s="30">
        <v>104</v>
      </c>
      <c r="CB53" s="30">
        <v>22</v>
      </c>
      <c r="CC53" s="30">
        <v>131</v>
      </c>
      <c r="CD53" s="30">
        <v>109</v>
      </c>
      <c r="CE53" s="30">
        <v>23</v>
      </c>
      <c r="CF53" s="30">
        <v>137</v>
      </c>
      <c r="CG53" s="30">
        <v>114</v>
      </c>
      <c r="CH53" s="30">
        <v>24</v>
      </c>
      <c r="CI53" s="30">
        <v>144</v>
      </c>
      <c r="CJ53" s="30">
        <v>120</v>
      </c>
      <c r="CK53" s="30">
        <v>25</v>
      </c>
      <c r="CL53" s="30">
        <v>150</v>
      </c>
      <c r="CM53" s="30">
        <v>125</v>
      </c>
    </row>
    <row r="54" spans="1:91" x14ac:dyDescent="0.25">
      <c r="A54" s="29" t="s">
        <v>93</v>
      </c>
      <c r="B54" s="30">
        <v>38</v>
      </c>
      <c r="C54" s="30">
        <v>18</v>
      </c>
      <c r="D54" s="30">
        <v>5</v>
      </c>
      <c r="E54" s="30">
        <v>41</v>
      </c>
      <c r="F54" s="30">
        <v>19</v>
      </c>
      <c r="G54" s="30">
        <v>5</v>
      </c>
      <c r="H54" s="30">
        <v>47</v>
      </c>
      <c r="I54" s="30">
        <v>22</v>
      </c>
      <c r="J54" s="30">
        <v>6</v>
      </c>
      <c r="K54" s="30">
        <v>54</v>
      </c>
      <c r="L54" s="30">
        <v>25</v>
      </c>
      <c r="M54" s="30">
        <v>7</v>
      </c>
      <c r="N54" s="30">
        <v>62</v>
      </c>
      <c r="O54" s="30">
        <v>29</v>
      </c>
      <c r="P54" s="30">
        <v>8</v>
      </c>
      <c r="Q54" s="30">
        <v>71</v>
      </c>
      <c r="R54" s="30">
        <v>33</v>
      </c>
      <c r="S54" s="30">
        <v>10</v>
      </c>
      <c r="T54" s="30">
        <v>81</v>
      </c>
      <c r="U54" s="30">
        <v>38</v>
      </c>
      <c r="V54" s="30">
        <v>11</v>
      </c>
      <c r="W54" s="30">
        <v>92</v>
      </c>
      <c r="X54" s="30">
        <v>43</v>
      </c>
      <c r="Y54" s="30">
        <v>12</v>
      </c>
      <c r="Z54" s="30">
        <v>103</v>
      </c>
      <c r="AA54" s="30">
        <v>48</v>
      </c>
      <c r="AB54" s="30">
        <v>14</v>
      </c>
      <c r="AC54" s="30">
        <v>115</v>
      </c>
      <c r="AD54" s="30">
        <v>54</v>
      </c>
      <c r="AE54" s="30">
        <v>15</v>
      </c>
      <c r="AF54" s="30">
        <v>128</v>
      </c>
      <c r="AG54" s="30">
        <v>60</v>
      </c>
      <c r="AH54" s="30">
        <v>17</v>
      </c>
      <c r="AI54" s="30">
        <v>141</v>
      </c>
      <c r="AJ54" s="30">
        <v>66</v>
      </c>
      <c r="AK54" s="30">
        <v>19</v>
      </c>
      <c r="AL54" s="30">
        <v>155</v>
      </c>
      <c r="AM54" s="30">
        <v>72</v>
      </c>
      <c r="AN54" s="30">
        <v>21</v>
      </c>
      <c r="AO54" s="30">
        <v>169</v>
      </c>
      <c r="AP54" s="30">
        <v>79</v>
      </c>
      <c r="AQ54" s="30">
        <v>22</v>
      </c>
      <c r="AR54" s="30">
        <v>183</v>
      </c>
      <c r="AS54" s="30">
        <v>85</v>
      </c>
      <c r="AT54" s="30">
        <v>24</v>
      </c>
      <c r="AU54" s="30">
        <v>198</v>
      </c>
      <c r="AV54" s="30">
        <v>92</v>
      </c>
      <c r="AW54" s="30">
        <v>26</v>
      </c>
      <c r="AX54" s="30">
        <v>213</v>
      </c>
      <c r="AY54" s="30">
        <v>100</v>
      </c>
      <c r="AZ54" s="30">
        <v>28</v>
      </c>
      <c r="BA54" s="30">
        <v>229</v>
      </c>
      <c r="BB54" s="30">
        <v>107</v>
      </c>
      <c r="BC54" s="30">
        <v>31</v>
      </c>
      <c r="BD54" s="30">
        <v>246</v>
      </c>
      <c r="BE54" s="30">
        <v>115</v>
      </c>
      <c r="BF54" s="30">
        <v>33</v>
      </c>
      <c r="BG54" s="30">
        <v>262</v>
      </c>
      <c r="BH54" s="30">
        <v>122</v>
      </c>
      <c r="BI54" s="30">
        <v>35</v>
      </c>
      <c r="BJ54" s="30">
        <v>279</v>
      </c>
      <c r="BK54" s="30">
        <v>130</v>
      </c>
      <c r="BL54" s="30">
        <v>37</v>
      </c>
      <c r="BM54" s="30">
        <v>296</v>
      </c>
      <c r="BN54" s="30">
        <v>138</v>
      </c>
      <c r="BO54" s="30">
        <v>40</v>
      </c>
      <c r="BP54" s="30">
        <v>314</v>
      </c>
      <c r="BQ54" s="30">
        <v>147</v>
      </c>
      <c r="BR54" s="30">
        <v>42</v>
      </c>
      <c r="BS54" s="30">
        <v>332</v>
      </c>
      <c r="BT54" s="30">
        <v>155</v>
      </c>
      <c r="BU54" s="30">
        <v>44</v>
      </c>
      <c r="BV54" s="30">
        <v>351</v>
      </c>
      <c r="BW54" s="30">
        <v>164</v>
      </c>
      <c r="BX54" s="30">
        <v>47</v>
      </c>
      <c r="BY54" s="30">
        <v>369</v>
      </c>
      <c r="BZ54" s="30">
        <v>172</v>
      </c>
      <c r="CA54" s="30">
        <v>49</v>
      </c>
      <c r="CB54" s="30">
        <v>388</v>
      </c>
      <c r="CC54" s="30">
        <v>181</v>
      </c>
      <c r="CD54" s="30">
        <v>52</v>
      </c>
      <c r="CE54" s="30">
        <v>408</v>
      </c>
      <c r="CF54" s="30">
        <v>190</v>
      </c>
      <c r="CG54" s="30">
        <v>54</v>
      </c>
      <c r="CH54" s="30">
        <v>427</v>
      </c>
      <c r="CI54" s="30">
        <v>199</v>
      </c>
      <c r="CJ54" s="30">
        <v>57</v>
      </c>
      <c r="CK54" s="30">
        <v>447</v>
      </c>
      <c r="CL54" s="30">
        <v>209</v>
      </c>
      <c r="CM54" s="30">
        <v>60</v>
      </c>
    </row>
    <row r="55" spans="1:91" x14ac:dyDescent="0.25">
      <c r="A55" s="29" t="s">
        <v>1564</v>
      </c>
      <c r="B55" s="340">
        <v>180</v>
      </c>
      <c r="C55" s="340">
        <v>48</v>
      </c>
      <c r="D55" s="340">
        <v>108.00000000000001</v>
      </c>
      <c r="E55" s="340">
        <v>195</v>
      </c>
      <c r="F55" s="340">
        <v>52</v>
      </c>
      <c r="G55" s="340">
        <v>117.00000000000001</v>
      </c>
      <c r="H55" s="340">
        <v>220.625</v>
      </c>
      <c r="I55" s="340">
        <v>58.833333333333336</v>
      </c>
      <c r="J55" s="340">
        <v>132.37500000000003</v>
      </c>
      <c r="K55" s="340">
        <v>251.25000000000003</v>
      </c>
      <c r="L55" s="340">
        <v>67</v>
      </c>
      <c r="M55" s="340">
        <v>150.75000000000003</v>
      </c>
      <c r="N55" s="340">
        <v>287.50000000000006</v>
      </c>
      <c r="O55" s="340">
        <v>76.666666666666671</v>
      </c>
      <c r="P55" s="340">
        <v>172.50000000000003</v>
      </c>
      <c r="Q55" s="340">
        <v>326.25</v>
      </c>
      <c r="R55" s="340">
        <v>87</v>
      </c>
      <c r="S55" s="340">
        <v>195.75000000000003</v>
      </c>
      <c r="T55" s="340">
        <v>368.75</v>
      </c>
      <c r="U55" s="340">
        <v>98.333333333333329</v>
      </c>
      <c r="V55" s="340">
        <v>221.25000000000003</v>
      </c>
      <c r="W55" s="340">
        <v>413.75</v>
      </c>
      <c r="X55" s="340">
        <v>110.33333333333333</v>
      </c>
      <c r="Y55" s="340">
        <v>248.25000000000003</v>
      </c>
      <c r="Z55" s="340">
        <v>462.5</v>
      </c>
      <c r="AA55" s="340">
        <v>123.33333333333333</v>
      </c>
      <c r="AB55" s="340">
        <v>277.50000000000006</v>
      </c>
      <c r="AC55" s="340">
        <v>513.125</v>
      </c>
      <c r="AD55" s="340">
        <v>136.83333333333334</v>
      </c>
      <c r="AE55" s="340">
        <v>307.87500000000006</v>
      </c>
      <c r="AF55" s="340">
        <v>566.25</v>
      </c>
      <c r="AG55" s="340">
        <v>151</v>
      </c>
      <c r="AH55" s="340">
        <v>339.75</v>
      </c>
      <c r="AI55" s="340">
        <v>621.25</v>
      </c>
      <c r="AJ55" s="340">
        <v>165.66666666666666</v>
      </c>
      <c r="AK55" s="340">
        <v>372.75000000000006</v>
      </c>
      <c r="AL55" s="340">
        <v>678.12500000000011</v>
      </c>
      <c r="AM55" s="340">
        <v>180.83333333333334</v>
      </c>
      <c r="AN55" s="340">
        <v>406.87500000000006</v>
      </c>
      <c r="AO55" s="340">
        <v>737.5</v>
      </c>
      <c r="AP55" s="340">
        <v>196.66666666666666</v>
      </c>
      <c r="AQ55" s="340">
        <v>442.50000000000006</v>
      </c>
      <c r="AR55" s="340">
        <v>798.12500000000011</v>
      </c>
      <c r="AS55" s="340">
        <v>212.83333333333334</v>
      </c>
      <c r="AT55" s="340">
        <v>478.87500000000006</v>
      </c>
      <c r="AU55" s="340">
        <v>861.25</v>
      </c>
      <c r="AV55" s="340">
        <v>229.66666666666666</v>
      </c>
      <c r="AW55" s="340">
        <v>516.75000000000011</v>
      </c>
      <c r="AX55" s="340">
        <v>925</v>
      </c>
      <c r="AY55" s="340">
        <v>246.66666666666666</v>
      </c>
      <c r="AZ55" s="340">
        <v>555.00000000000011</v>
      </c>
      <c r="BA55" s="340">
        <v>991.25</v>
      </c>
      <c r="BB55" s="340">
        <v>264.33333333333331</v>
      </c>
      <c r="BC55" s="340">
        <v>594.75000000000011</v>
      </c>
      <c r="BD55" s="340">
        <v>1058.75</v>
      </c>
      <c r="BE55" s="340">
        <v>282.33333333333331</v>
      </c>
      <c r="BF55" s="340">
        <v>635.25000000000011</v>
      </c>
      <c r="BG55" s="340">
        <v>1127.5000000000002</v>
      </c>
      <c r="BH55" s="340">
        <v>300.66666666666669</v>
      </c>
      <c r="BI55" s="340">
        <v>676.50000000000011</v>
      </c>
      <c r="BJ55" s="340">
        <v>1198.7500000000002</v>
      </c>
      <c r="BK55" s="340">
        <v>319.66666666666669</v>
      </c>
      <c r="BL55" s="340">
        <v>719.25000000000011</v>
      </c>
      <c r="BM55" s="340">
        <v>1270.0000000000002</v>
      </c>
      <c r="BN55" s="340">
        <v>338.66666666666669</v>
      </c>
      <c r="BO55" s="340">
        <v>762.00000000000011</v>
      </c>
      <c r="BP55" s="340">
        <v>1343.75</v>
      </c>
      <c r="BQ55" s="340">
        <v>358.33333333333331</v>
      </c>
      <c r="BR55" s="340">
        <v>806.25000000000011</v>
      </c>
      <c r="BS55" s="340">
        <v>1418.1250000000002</v>
      </c>
      <c r="BT55" s="340">
        <v>378.16666666666669</v>
      </c>
      <c r="BU55" s="340">
        <v>850.87500000000011</v>
      </c>
      <c r="BV55" s="340">
        <v>1493.75</v>
      </c>
      <c r="BW55" s="340">
        <v>398.33333333333331</v>
      </c>
      <c r="BX55" s="340">
        <v>896.25000000000011</v>
      </c>
      <c r="BY55" s="340">
        <v>1571.25</v>
      </c>
      <c r="BZ55" s="340">
        <v>419</v>
      </c>
      <c r="CA55" s="340">
        <v>942.75000000000011</v>
      </c>
      <c r="CB55" s="340">
        <v>1650</v>
      </c>
      <c r="CC55" s="340">
        <v>440</v>
      </c>
      <c r="CD55" s="340">
        <v>990.00000000000011</v>
      </c>
      <c r="CE55" s="340">
        <v>1730</v>
      </c>
      <c r="CF55" s="340">
        <v>461.33333333333331</v>
      </c>
      <c r="CG55" s="340">
        <v>1038.0000000000002</v>
      </c>
      <c r="CH55" s="340">
        <v>1811.25</v>
      </c>
      <c r="CI55" s="340">
        <v>483</v>
      </c>
      <c r="CJ55" s="340">
        <v>1086.75</v>
      </c>
      <c r="CK55" s="340">
        <v>1893.125</v>
      </c>
      <c r="CL55" s="340">
        <v>504.83333333333331</v>
      </c>
      <c r="CM55" s="340">
        <v>1135.8750000000002</v>
      </c>
    </row>
    <row r="56" spans="1:91" x14ac:dyDescent="0.25">
      <c r="A56" s="29" t="s">
        <v>16</v>
      </c>
      <c r="B56" s="30">
        <v>6</v>
      </c>
      <c r="C56" s="30">
        <v>12</v>
      </c>
      <c r="D56" s="30">
        <v>6</v>
      </c>
      <c r="E56" s="30">
        <v>7</v>
      </c>
      <c r="F56" s="30">
        <v>13</v>
      </c>
      <c r="G56" s="30">
        <v>7</v>
      </c>
      <c r="H56" s="30">
        <v>8</v>
      </c>
      <c r="I56" s="30">
        <v>15</v>
      </c>
      <c r="J56" s="30">
        <v>8</v>
      </c>
      <c r="K56" s="30">
        <v>9</v>
      </c>
      <c r="L56" s="30">
        <v>18</v>
      </c>
      <c r="M56" s="30">
        <v>9</v>
      </c>
      <c r="N56" s="30">
        <v>10</v>
      </c>
      <c r="O56" s="30">
        <v>21</v>
      </c>
      <c r="P56" s="30">
        <v>10</v>
      </c>
      <c r="Q56" s="30">
        <v>12</v>
      </c>
      <c r="R56" s="30">
        <v>24</v>
      </c>
      <c r="S56" s="30">
        <v>12</v>
      </c>
      <c r="T56" s="30">
        <v>14</v>
      </c>
      <c r="U56" s="30">
        <v>27</v>
      </c>
      <c r="V56" s="30">
        <v>14</v>
      </c>
      <c r="W56" s="30">
        <v>15</v>
      </c>
      <c r="X56" s="30">
        <v>31</v>
      </c>
      <c r="Y56" s="30">
        <v>15</v>
      </c>
      <c r="Z56" s="30">
        <v>17</v>
      </c>
      <c r="AA56" s="30">
        <v>35</v>
      </c>
      <c r="AB56" s="30">
        <v>17</v>
      </c>
      <c r="AC56" s="30">
        <v>19</v>
      </c>
      <c r="AD56" s="30">
        <v>39</v>
      </c>
      <c r="AE56" s="30">
        <v>19</v>
      </c>
      <c r="AF56" s="30">
        <v>22</v>
      </c>
      <c r="AG56" s="30">
        <v>43</v>
      </c>
      <c r="AH56" s="30">
        <v>22</v>
      </c>
      <c r="AI56" s="30">
        <v>24</v>
      </c>
      <c r="AJ56" s="30">
        <v>48</v>
      </c>
      <c r="AK56" s="30">
        <v>24</v>
      </c>
      <c r="AL56" s="30">
        <v>26</v>
      </c>
      <c r="AM56" s="30">
        <v>52</v>
      </c>
      <c r="AN56" s="30">
        <v>26</v>
      </c>
      <c r="AO56" s="30">
        <v>29</v>
      </c>
      <c r="AP56" s="30">
        <v>57</v>
      </c>
      <c r="AQ56" s="30">
        <v>29</v>
      </c>
      <c r="AR56" s="30">
        <v>31</v>
      </c>
      <c r="AS56" s="30">
        <v>62</v>
      </c>
      <c r="AT56" s="30">
        <v>31</v>
      </c>
      <c r="AU56" s="30">
        <v>33</v>
      </c>
      <c r="AV56" s="30">
        <v>67</v>
      </c>
      <c r="AW56" s="30">
        <v>33</v>
      </c>
      <c r="AX56" s="30">
        <v>36</v>
      </c>
      <c r="AY56" s="30">
        <v>72</v>
      </c>
      <c r="AZ56" s="30">
        <v>36</v>
      </c>
      <c r="BA56" s="30">
        <v>39</v>
      </c>
      <c r="BB56" s="30">
        <v>77</v>
      </c>
      <c r="BC56" s="30">
        <v>39</v>
      </c>
      <c r="BD56" s="30">
        <v>41</v>
      </c>
      <c r="BE56" s="30">
        <v>83</v>
      </c>
      <c r="BF56" s="30">
        <v>41</v>
      </c>
      <c r="BG56" s="30">
        <v>44</v>
      </c>
      <c r="BH56" s="30">
        <v>88</v>
      </c>
      <c r="BI56" s="30">
        <v>44</v>
      </c>
      <c r="BJ56" s="30">
        <v>47</v>
      </c>
      <c r="BK56" s="30">
        <v>94</v>
      </c>
      <c r="BL56" s="30">
        <v>47</v>
      </c>
      <c r="BM56" s="30">
        <v>50</v>
      </c>
      <c r="BN56" s="30">
        <v>100</v>
      </c>
      <c r="BO56" s="30">
        <v>50</v>
      </c>
      <c r="BP56" s="30">
        <v>53</v>
      </c>
      <c r="BQ56" s="30">
        <v>106</v>
      </c>
      <c r="BR56" s="30">
        <v>53</v>
      </c>
      <c r="BS56" s="30">
        <v>56</v>
      </c>
      <c r="BT56" s="30">
        <v>112</v>
      </c>
      <c r="BU56" s="30">
        <v>56</v>
      </c>
      <c r="BV56" s="30">
        <v>59</v>
      </c>
      <c r="BW56" s="30">
        <v>118</v>
      </c>
      <c r="BX56" s="30">
        <v>59</v>
      </c>
      <c r="BY56" s="30">
        <v>62</v>
      </c>
      <c r="BZ56" s="30">
        <v>124</v>
      </c>
      <c r="CA56" s="30">
        <v>62</v>
      </c>
      <c r="CB56" s="30">
        <v>65</v>
      </c>
      <c r="CC56" s="30">
        <v>131</v>
      </c>
      <c r="CD56" s="30">
        <v>65</v>
      </c>
      <c r="CE56" s="30">
        <v>69</v>
      </c>
      <c r="CF56" s="30">
        <v>137</v>
      </c>
      <c r="CG56" s="30">
        <v>69</v>
      </c>
      <c r="CH56" s="30">
        <v>72</v>
      </c>
      <c r="CI56" s="30">
        <v>144</v>
      </c>
      <c r="CJ56" s="30">
        <v>72</v>
      </c>
      <c r="CK56" s="30">
        <v>75</v>
      </c>
      <c r="CL56" s="30">
        <v>150</v>
      </c>
      <c r="CM56" s="30">
        <v>75</v>
      </c>
    </row>
    <row r="57" spans="1:91" x14ac:dyDescent="0.25">
      <c r="A57" s="29" t="s">
        <v>122</v>
      </c>
      <c r="B57" s="30">
        <v>30</v>
      </c>
      <c r="C57" s="30">
        <v>13</v>
      </c>
      <c r="D57" s="30">
        <v>18</v>
      </c>
      <c r="E57" s="30">
        <v>33</v>
      </c>
      <c r="F57" s="30">
        <v>14</v>
      </c>
      <c r="G57" s="30">
        <v>19</v>
      </c>
      <c r="H57" s="30">
        <v>37</v>
      </c>
      <c r="I57" s="30">
        <v>16</v>
      </c>
      <c r="J57" s="30">
        <v>22</v>
      </c>
      <c r="K57" s="30">
        <v>43</v>
      </c>
      <c r="L57" s="30">
        <v>18</v>
      </c>
      <c r="M57" s="30">
        <v>25</v>
      </c>
      <c r="N57" s="30">
        <v>50</v>
      </c>
      <c r="O57" s="30">
        <v>21</v>
      </c>
      <c r="P57" s="30">
        <v>29</v>
      </c>
      <c r="Q57" s="30">
        <v>57</v>
      </c>
      <c r="R57" s="30">
        <v>24</v>
      </c>
      <c r="S57" s="30">
        <v>33</v>
      </c>
      <c r="T57" s="30">
        <v>65</v>
      </c>
      <c r="U57" s="30">
        <v>27</v>
      </c>
      <c r="V57" s="30">
        <v>38</v>
      </c>
      <c r="W57" s="30">
        <v>74</v>
      </c>
      <c r="X57" s="30">
        <v>31</v>
      </c>
      <c r="Y57" s="30">
        <v>43</v>
      </c>
      <c r="Z57" s="30">
        <v>83</v>
      </c>
      <c r="AA57" s="30">
        <v>34</v>
      </c>
      <c r="AB57" s="30">
        <v>48</v>
      </c>
      <c r="AC57" s="30">
        <v>92</v>
      </c>
      <c r="AD57" s="30">
        <v>38</v>
      </c>
      <c r="AE57" s="30">
        <v>54</v>
      </c>
      <c r="AF57" s="30">
        <v>102</v>
      </c>
      <c r="AG57" s="30">
        <v>43</v>
      </c>
      <c r="AH57" s="30">
        <v>60</v>
      </c>
      <c r="AI57" s="30">
        <v>113</v>
      </c>
      <c r="AJ57" s="30">
        <v>47</v>
      </c>
      <c r="AK57" s="30">
        <v>66</v>
      </c>
      <c r="AL57" s="30">
        <v>124</v>
      </c>
      <c r="AM57" s="30">
        <v>52</v>
      </c>
      <c r="AN57" s="30">
        <v>72</v>
      </c>
      <c r="AO57" s="30">
        <v>135</v>
      </c>
      <c r="AP57" s="30">
        <v>56</v>
      </c>
      <c r="AQ57" s="30">
        <v>79</v>
      </c>
      <c r="AR57" s="30">
        <v>147</v>
      </c>
      <c r="AS57" s="30">
        <v>61</v>
      </c>
      <c r="AT57" s="30">
        <v>85</v>
      </c>
      <c r="AU57" s="30">
        <v>159</v>
      </c>
      <c r="AV57" s="30">
        <v>66</v>
      </c>
      <c r="AW57" s="30">
        <v>92</v>
      </c>
      <c r="AX57" s="30">
        <v>171</v>
      </c>
      <c r="AY57" s="30">
        <v>71</v>
      </c>
      <c r="AZ57" s="30">
        <v>100</v>
      </c>
      <c r="BA57" s="30">
        <v>183</v>
      </c>
      <c r="BB57" s="30">
        <v>76</v>
      </c>
      <c r="BC57" s="30">
        <v>107</v>
      </c>
      <c r="BD57" s="30">
        <v>196</v>
      </c>
      <c r="BE57" s="30">
        <v>82</v>
      </c>
      <c r="BF57" s="30">
        <v>115</v>
      </c>
      <c r="BG57" s="30">
        <v>210</v>
      </c>
      <c r="BH57" s="30">
        <v>87</v>
      </c>
      <c r="BI57" s="30">
        <v>122</v>
      </c>
      <c r="BJ57" s="30">
        <v>223</v>
      </c>
      <c r="BK57" s="30">
        <v>93</v>
      </c>
      <c r="BL57" s="30">
        <v>130</v>
      </c>
      <c r="BM57" s="30">
        <v>237</v>
      </c>
      <c r="BN57" s="30">
        <v>99</v>
      </c>
      <c r="BO57" s="30">
        <v>138</v>
      </c>
      <c r="BP57" s="30">
        <v>251</v>
      </c>
      <c r="BQ57" s="30">
        <v>105</v>
      </c>
      <c r="BR57" s="30">
        <v>147</v>
      </c>
      <c r="BS57" s="30">
        <v>266</v>
      </c>
      <c r="BT57" s="30">
        <v>111</v>
      </c>
      <c r="BU57" s="30">
        <v>155</v>
      </c>
      <c r="BV57" s="30">
        <v>280</v>
      </c>
      <c r="BW57" s="30">
        <v>117</v>
      </c>
      <c r="BX57" s="30">
        <v>164</v>
      </c>
      <c r="BY57" s="30">
        <v>295</v>
      </c>
      <c r="BZ57" s="30">
        <v>123</v>
      </c>
      <c r="CA57" s="30">
        <v>172</v>
      </c>
      <c r="CB57" s="30">
        <v>311</v>
      </c>
      <c r="CC57" s="30">
        <v>129</v>
      </c>
      <c r="CD57" s="30">
        <v>181</v>
      </c>
      <c r="CE57" s="30">
        <v>326</v>
      </c>
      <c r="CF57" s="30">
        <v>136</v>
      </c>
      <c r="CG57" s="30">
        <v>190</v>
      </c>
      <c r="CH57" s="30">
        <v>342</v>
      </c>
      <c r="CI57" s="30">
        <v>142</v>
      </c>
      <c r="CJ57" s="30">
        <v>199</v>
      </c>
      <c r="CK57" s="30">
        <v>358</v>
      </c>
      <c r="CL57" s="30">
        <v>149</v>
      </c>
      <c r="CM57" s="30">
        <v>209</v>
      </c>
    </row>
    <row r="58" spans="1:91" x14ac:dyDescent="0.25">
      <c r="A58" s="29" t="s">
        <v>104</v>
      </c>
      <c r="B58" s="30">
        <v>192</v>
      </c>
      <c r="C58" s="30">
        <v>48</v>
      </c>
      <c r="D58" s="30">
        <v>48</v>
      </c>
      <c r="E58" s="30">
        <v>208</v>
      </c>
      <c r="F58" s="30">
        <v>52</v>
      </c>
      <c r="G58" s="30">
        <v>52</v>
      </c>
      <c r="H58" s="30">
        <v>235</v>
      </c>
      <c r="I58" s="30">
        <v>59</v>
      </c>
      <c r="J58" s="30">
        <v>59</v>
      </c>
      <c r="K58" s="30">
        <v>268</v>
      </c>
      <c r="L58" s="30">
        <v>67</v>
      </c>
      <c r="M58" s="30">
        <v>67</v>
      </c>
      <c r="N58" s="30">
        <v>306</v>
      </c>
      <c r="O58" s="30">
        <v>77</v>
      </c>
      <c r="P58" s="30">
        <v>77</v>
      </c>
      <c r="Q58" s="30">
        <v>348</v>
      </c>
      <c r="R58" s="30">
        <v>87</v>
      </c>
      <c r="S58" s="30">
        <v>87</v>
      </c>
      <c r="T58" s="30">
        <v>393</v>
      </c>
      <c r="U58" s="30">
        <v>98</v>
      </c>
      <c r="V58" s="30">
        <v>98</v>
      </c>
      <c r="W58" s="30">
        <v>442</v>
      </c>
      <c r="X58" s="30">
        <v>110</v>
      </c>
      <c r="Y58" s="30">
        <v>110</v>
      </c>
      <c r="Z58" s="30">
        <v>493</v>
      </c>
      <c r="AA58" s="30">
        <v>123</v>
      </c>
      <c r="AB58" s="30">
        <v>123</v>
      </c>
      <c r="AC58" s="30">
        <v>547</v>
      </c>
      <c r="AD58" s="30">
        <v>137</v>
      </c>
      <c r="AE58" s="30">
        <v>137</v>
      </c>
      <c r="AF58" s="30">
        <v>604</v>
      </c>
      <c r="AG58" s="30">
        <v>151</v>
      </c>
      <c r="AH58" s="30">
        <v>151</v>
      </c>
      <c r="AI58" s="30">
        <v>662</v>
      </c>
      <c r="AJ58" s="30">
        <v>166</v>
      </c>
      <c r="AK58" s="30">
        <v>166</v>
      </c>
      <c r="AL58" s="30">
        <v>723</v>
      </c>
      <c r="AM58" s="30">
        <v>181</v>
      </c>
      <c r="AN58" s="30">
        <v>181</v>
      </c>
      <c r="AO58" s="30">
        <v>786</v>
      </c>
      <c r="AP58" s="30">
        <v>197</v>
      </c>
      <c r="AQ58" s="30">
        <v>197</v>
      </c>
      <c r="AR58" s="30">
        <v>851</v>
      </c>
      <c r="AS58" s="30">
        <v>213</v>
      </c>
      <c r="AT58" s="30">
        <v>213</v>
      </c>
      <c r="AU58" s="30">
        <v>918</v>
      </c>
      <c r="AV58" s="30">
        <v>230</v>
      </c>
      <c r="AW58" s="30">
        <v>230</v>
      </c>
      <c r="AX58" s="30">
        <v>987</v>
      </c>
      <c r="AY58" s="30">
        <v>247</v>
      </c>
      <c r="AZ58" s="30">
        <v>247</v>
      </c>
      <c r="BA58" s="30">
        <v>1057</v>
      </c>
      <c r="BB58" s="30">
        <v>264</v>
      </c>
      <c r="BC58" s="30">
        <v>264</v>
      </c>
      <c r="BD58" s="30">
        <v>1129</v>
      </c>
      <c r="BE58" s="30">
        <v>282</v>
      </c>
      <c r="BF58" s="30">
        <v>282</v>
      </c>
      <c r="BG58" s="30">
        <v>1203</v>
      </c>
      <c r="BH58" s="30">
        <v>301</v>
      </c>
      <c r="BI58" s="30">
        <v>301</v>
      </c>
      <c r="BJ58" s="30">
        <v>1278</v>
      </c>
      <c r="BK58" s="30">
        <v>320</v>
      </c>
      <c r="BL58" s="30">
        <v>320</v>
      </c>
      <c r="BM58" s="30">
        <v>1355</v>
      </c>
      <c r="BN58" s="30">
        <v>339</v>
      </c>
      <c r="BO58" s="30">
        <v>339</v>
      </c>
      <c r="BP58" s="30">
        <v>1433</v>
      </c>
      <c r="BQ58" s="30">
        <v>358</v>
      </c>
      <c r="BR58" s="30">
        <v>358</v>
      </c>
      <c r="BS58" s="30">
        <v>1513</v>
      </c>
      <c r="BT58" s="30">
        <v>378</v>
      </c>
      <c r="BU58" s="30">
        <v>378</v>
      </c>
      <c r="BV58" s="30">
        <v>1594</v>
      </c>
      <c r="BW58" s="30">
        <v>398</v>
      </c>
      <c r="BX58" s="30">
        <v>398</v>
      </c>
      <c r="BY58" s="30">
        <v>1676</v>
      </c>
      <c r="BZ58" s="30">
        <v>419</v>
      </c>
      <c r="CA58" s="30">
        <v>419</v>
      </c>
      <c r="CB58" s="30">
        <v>1760</v>
      </c>
      <c r="CC58" s="30">
        <v>440</v>
      </c>
      <c r="CD58" s="30">
        <v>440</v>
      </c>
      <c r="CE58" s="30">
        <v>1845</v>
      </c>
      <c r="CF58" s="30">
        <v>461</v>
      </c>
      <c r="CG58" s="30">
        <v>461</v>
      </c>
      <c r="CH58" s="30">
        <v>1932</v>
      </c>
      <c r="CI58" s="30">
        <v>483</v>
      </c>
      <c r="CJ58" s="30">
        <v>483</v>
      </c>
      <c r="CK58" s="30">
        <v>2019</v>
      </c>
      <c r="CL58" s="30">
        <v>505</v>
      </c>
      <c r="CM58" s="30">
        <v>505</v>
      </c>
    </row>
    <row r="59" spans="1:91" x14ac:dyDescent="0.25">
      <c r="A59" s="29" t="s">
        <v>869</v>
      </c>
      <c r="B59" s="30">
        <v>108</v>
      </c>
      <c r="C59" s="30">
        <v>132</v>
      </c>
      <c r="D59" s="30">
        <v>48</v>
      </c>
      <c r="E59" s="30">
        <v>117</v>
      </c>
      <c r="F59" s="30">
        <v>143</v>
      </c>
      <c r="G59" s="30">
        <v>52</v>
      </c>
      <c r="H59" s="30">
        <v>132</v>
      </c>
      <c r="I59" s="30">
        <v>162</v>
      </c>
      <c r="J59" s="30">
        <v>59</v>
      </c>
      <c r="K59" s="30">
        <v>151</v>
      </c>
      <c r="L59" s="30">
        <v>184</v>
      </c>
      <c r="M59" s="30">
        <v>67</v>
      </c>
      <c r="N59" s="30">
        <v>172</v>
      </c>
      <c r="O59" s="30">
        <v>210</v>
      </c>
      <c r="P59" s="30">
        <v>77</v>
      </c>
      <c r="Q59" s="30">
        <v>196</v>
      </c>
      <c r="R59" s="30">
        <v>239</v>
      </c>
      <c r="S59" s="30">
        <v>87</v>
      </c>
      <c r="T59" s="30">
        <v>221</v>
      </c>
      <c r="U59" s="30">
        <v>270</v>
      </c>
      <c r="V59" s="30">
        <v>98</v>
      </c>
      <c r="W59" s="30">
        <v>248</v>
      </c>
      <c r="X59" s="30">
        <v>304</v>
      </c>
      <c r="Y59" s="30">
        <v>110</v>
      </c>
      <c r="Z59" s="30">
        <v>277</v>
      </c>
      <c r="AA59" s="30">
        <v>339</v>
      </c>
      <c r="AB59" s="30">
        <v>123</v>
      </c>
      <c r="AC59" s="30">
        <v>308</v>
      </c>
      <c r="AD59" s="30">
        <v>376</v>
      </c>
      <c r="AE59" s="30">
        <v>137</v>
      </c>
      <c r="AF59" s="30">
        <v>339</v>
      </c>
      <c r="AG59" s="30">
        <v>415</v>
      </c>
      <c r="AH59" s="30">
        <v>151</v>
      </c>
      <c r="AI59" s="30">
        <v>373</v>
      </c>
      <c r="AJ59" s="30">
        <v>455</v>
      </c>
      <c r="AK59" s="30">
        <v>166</v>
      </c>
      <c r="AL59" s="30">
        <v>407</v>
      </c>
      <c r="AM59" s="30">
        <v>497</v>
      </c>
      <c r="AN59" s="30">
        <v>181</v>
      </c>
      <c r="AO59" s="30">
        <v>442</v>
      </c>
      <c r="AP59" s="30">
        <v>541</v>
      </c>
      <c r="AQ59" s="30">
        <v>197</v>
      </c>
      <c r="AR59" s="30">
        <v>479</v>
      </c>
      <c r="AS59" s="30">
        <v>585</v>
      </c>
      <c r="AT59" s="30">
        <v>213</v>
      </c>
      <c r="AU59" s="30">
        <v>516</v>
      </c>
      <c r="AV59" s="30">
        <v>631</v>
      </c>
      <c r="AW59" s="30">
        <v>230</v>
      </c>
      <c r="AX59" s="30">
        <v>555</v>
      </c>
      <c r="AY59" s="30">
        <v>678</v>
      </c>
      <c r="AZ59" s="30">
        <v>247</v>
      </c>
      <c r="BA59" s="30">
        <v>595</v>
      </c>
      <c r="BB59" s="30">
        <v>727</v>
      </c>
      <c r="BC59" s="30">
        <v>264</v>
      </c>
      <c r="BD59" s="30">
        <v>635</v>
      </c>
      <c r="BE59" s="30">
        <v>776</v>
      </c>
      <c r="BF59" s="30">
        <v>282</v>
      </c>
      <c r="BG59" s="30">
        <v>677</v>
      </c>
      <c r="BH59" s="30">
        <v>827</v>
      </c>
      <c r="BI59" s="30">
        <v>301</v>
      </c>
      <c r="BJ59" s="30">
        <v>719</v>
      </c>
      <c r="BK59" s="30">
        <v>879</v>
      </c>
      <c r="BL59" s="30">
        <v>320</v>
      </c>
      <c r="BM59" s="30">
        <v>762</v>
      </c>
      <c r="BN59" s="30">
        <v>931</v>
      </c>
      <c r="BO59" s="30">
        <v>339</v>
      </c>
      <c r="BP59" s="30">
        <v>806</v>
      </c>
      <c r="BQ59" s="30">
        <v>985</v>
      </c>
      <c r="BR59" s="30">
        <v>358</v>
      </c>
      <c r="BS59" s="30">
        <v>851</v>
      </c>
      <c r="BT59" s="30">
        <v>1040</v>
      </c>
      <c r="BU59" s="30">
        <v>378</v>
      </c>
      <c r="BV59" s="30">
        <v>897</v>
      </c>
      <c r="BW59" s="30">
        <v>1096</v>
      </c>
      <c r="BX59" s="30">
        <v>398</v>
      </c>
      <c r="BY59" s="30">
        <v>943</v>
      </c>
      <c r="BZ59" s="30">
        <v>1152</v>
      </c>
      <c r="CA59" s="30">
        <v>419</v>
      </c>
      <c r="CB59" s="30">
        <v>990</v>
      </c>
      <c r="CC59" s="30">
        <v>1210</v>
      </c>
      <c r="CD59" s="30">
        <v>440</v>
      </c>
      <c r="CE59" s="30">
        <v>1038</v>
      </c>
      <c r="CF59" s="30">
        <v>1269</v>
      </c>
      <c r="CG59" s="30">
        <v>461</v>
      </c>
      <c r="CH59" s="30">
        <v>1086</v>
      </c>
      <c r="CI59" s="30">
        <v>1328</v>
      </c>
      <c r="CJ59" s="30">
        <v>483</v>
      </c>
      <c r="CK59" s="30">
        <v>1136</v>
      </c>
      <c r="CL59" s="30">
        <v>1388</v>
      </c>
      <c r="CM59" s="30">
        <v>505</v>
      </c>
    </row>
    <row r="60" spans="1:91" x14ac:dyDescent="0.25">
      <c r="A60" s="29" t="s">
        <v>59</v>
      </c>
      <c r="B60" s="30">
        <v>15</v>
      </c>
      <c r="C60" s="30">
        <v>90</v>
      </c>
      <c r="D60" s="30">
        <v>55</v>
      </c>
      <c r="E60" s="30">
        <v>17</v>
      </c>
      <c r="F60" s="30">
        <v>100</v>
      </c>
      <c r="G60" s="30">
        <v>61</v>
      </c>
      <c r="H60" s="30">
        <v>19</v>
      </c>
      <c r="I60" s="30">
        <v>116</v>
      </c>
      <c r="J60" s="30">
        <v>71</v>
      </c>
      <c r="K60" s="30">
        <v>23</v>
      </c>
      <c r="L60" s="30">
        <v>137</v>
      </c>
      <c r="M60" s="30">
        <v>84</v>
      </c>
      <c r="N60" s="30">
        <v>27</v>
      </c>
      <c r="O60" s="30">
        <v>161</v>
      </c>
      <c r="P60" s="30">
        <v>98</v>
      </c>
      <c r="Q60" s="30">
        <v>31</v>
      </c>
      <c r="R60" s="30">
        <v>188</v>
      </c>
      <c r="S60" s="30">
        <v>115</v>
      </c>
      <c r="T60" s="30">
        <v>36</v>
      </c>
      <c r="U60" s="30">
        <v>217</v>
      </c>
      <c r="V60" s="30">
        <v>133</v>
      </c>
      <c r="W60" s="30">
        <v>41</v>
      </c>
      <c r="X60" s="30">
        <v>248</v>
      </c>
      <c r="Y60" s="30">
        <v>152</v>
      </c>
      <c r="Z60" s="30">
        <v>47</v>
      </c>
      <c r="AA60" s="30">
        <v>282</v>
      </c>
      <c r="AB60" s="30">
        <v>172</v>
      </c>
      <c r="AC60" s="30">
        <v>53</v>
      </c>
      <c r="AD60" s="30">
        <v>318</v>
      </c>
      <c r="AE60" s="30">
        <v>194</v>
      </c>
      <c r="AF60" s="30">
        <v>59</v>
      </c>
      <c r="AG60" s="30">
        <v>355</v>
      </c>
      <c r="AH60" s="30">
        <v>217</v>
      </c>
      <c r="AI60" s="30">
        <v>66</v>
      </c>
      <c r="AJ60" s="30">
        <v>394</v>
      </c>
      <c r="AK60" s="30">
        <v>241</v>
      </c>
      <c r="AL60" s="30">
        <v>72</v>
      </c>
      <c r="AM60" s="30">
        <v>434</v>
      </c>
      <c r="AN60" s="30">
        <v>265</v>
      </c>
      <c r="AO60" s="30">
        <v>79</v>
      </c>
      <c r="AP60" s="30">
        <v>476</v>
      </c>
      <c r="AQ60" s="30">
        <v>291</v>
      </c>
      <c r="AR60" s="30">
        <v>87</v>
      </c>
      <c r="AS60" s="30">
        <v>520</v>
      </c>
      <c r="AT60" s="30">
        <v>318</v>
      </c>
      <c r="AU60" s="30">
        <v>94</v>
      </c>
      <c r="AV60" s="30">
        <v>565</v>
      </c>
      <c r="AW60" s="30">
        <v>345</v>
      </c>
      <c r="AX60" s="30">
        <v>102</v>
      </c>
      <c r="AY60" s="30">
        <v>611</v>
      </c>
      <c r="AZ60" s="30">
        <v>373</v>
      </c>
      <c r="BA60" s="30">
        <v>110</v>
      </c>
      <c r="BB60" s="30">
        <v>658</v>
      </c>
      <c r="BC60" s="30">
        <v>402</v>
      </c>
      <c r="BD60" s="30">
        <v>118</v>
      </c>
      <c r="BE60" s="30">
        <v>707</v>
      </c>
      <c r="BF60" s="30">
        <v>432</v>
      </c>
      <c r="BG60" s="30">
        <v>126</v>
      </c>
      <c r="BH60" s="30">
        <v>757</v>
      </c>
      <c r="BI60" s="30">
        <v>463</v>
      </c>
      <c r="BJ60" s="30">
        <v>135</v>
      </c>
      <c r="BK60" s="30">
        <v>808</v>
      </c>
      <c r="BL60" s="30">
        <v>494</v>
      </c>
      <c r="BM60" s="30">
        <v>143</v>
      </c>
      <c r="BN60" s="30">
        <v>860</v>
      </c>
      <c r="BO60" s="30">
        <v>526</v>
      </c>
      <c r="BP60" s="30">
        <v>152</v>
      </c>
      <c r="BQ60" s="30">
        <v>914</v>
      </c>
      <c r="BR60" s="30">
        <v>558</v>
      </c>
      <c r="BS60" s="30">
        <v>161</v>
      </c>
      <c r="BT60" s="30">
        <v>968</v>
      </c>
      <c r="BU60" s="30">
        <v>592</v>
      </c>
      <c r="BV60" s="30">
        <v>171</v>
      </c>
      <c r="BW60" s="30">
        <v>1024</v>
      </c>
      <c r="BX60" s="30">
        <v>626</v>
      </c>
      <c r="BY60" s="30">
        <v>180</v>
      </c>
      <c r="BZ60" s="30">
        <v>1080</v>
      </c>
      <c r="CA60" s="30">
        <v>660</v>
      </c>
      <c r="CB60" s="30">
        <v>190</v>
      </c>
      <c r="CC60" s="30">
        <v>1138</v>
      </c>
      <c r="CD60" s="30">
        <v>695</v>
      </c>
      <c r="CE60" s="30">
        <v>199</v>
      </c>
      <c r="CF60" s="30">
        <v>1196</v>
      </c>
      <c r="CG60" s="30">
        <v>731</v>
      </c>
      <c r="CH60" s="30">
        <v>209</v>
      </c>
      <c r="CI60" s="30">
        <v>1256</v>
      </c>
      <c r="CJ60" s="30">
        <v>767</v>
      </c>
      <c r="CK60" s="30">
        <v>219</v>
      </c>
      <c r="CL60" s="30">
        <v>1316</v>
      </c>
      <c r="CM60" s="30">
        <v>804</v>
      </c>
    </row>
    <row r="61" spans="1:91" x14ac:dyDescent="0.25">
      <c r="A61" s="29" t="s">
        <v>32</v>
      </c>
      <c r="B61" s="30">
        <v>25</v>
      </c>
      <c r="C61" s="30">
        <v>13</v>
      </c>
      <c r="D61" s="30">
        <v>43</v>
      </c>
      <c r="E61" s="30">
        <v>27</v>
      </c>
      <c r="F61" s="30">
        <v>14</v>
      </c>
      <c r="G61" s="30">
        <v>46</v>
      </c>
      <c r="H61" s="30">
        <v>31</v>
      </c>
      <c r="I61" s="30">
        <v>16</v>
      </c>
      <c r="J61" s="30">
        <v>53</v>
      </c>
      <c r="K61" s="30">
        <v>36</v>
      </c>
      <c r="L61" s="30">
        <v>18</v>
      </c>
      <c r="M61" s="30">
        <v>61</v>
      </c>
      <c r="N61" s="30">
        <v>41</v>
      </c>
      <c r="O61" s="30">
        <v>21</v>
      </c>
      <c r="P61" s="30">
        <v>70</v>
      </c>
      <c r="Q61" s="30">
        <v>48</v>
      </c>
      <c r="R61" s="30">
        <v>24</v>
      </c>
      <c r="S61" s="30">
        <v>81</v>
      </c>
      <c r="T61" s="30">
        <v>54</v>
      </c>
      <c r="U61" s="30">
        <v>27</v>
      </c>
      <c r="V61" s="30">
        <v>92</v>
      </c>
      <c r="W61" s="30">
        <v>61</v>
      </c>
      <c r="X61" s="30">
        <v>31</v>
      </c>
      <c r="Y61" s="30">
        <v>104</v>
      </c>
      <c r="Z61" s="30">
        <v>69</v>
      </c>
      <c r="AA61" s="30">
        <v>34</v>
      </c>
      <c r="AB61" s="30">
        <v>117</v>
      </c>
      <c r="AC61" s="30">
        <v>77</v>
      </c>
      <c r="AD61" s="30">
        <v>38</v>
      </c>
      <c r="AE61" s="30">
        <v>131</v>
      </c>
      <c r="AF61" s="30">
        <v>85</v>
      </c>
      <c r="AG61" s="30">
        <v>43</v>
      </c>
      <c r="AH61" s="30">
        <v>145</v>
      </c>
      <c r="AI61" s="30">
        <v>94</v>
      </c>
      <c r="AJ61" s="30">
        <v>47</v>
      </c>
      <c r="AK61" s="30">
        <v>160</v>
      </c>
      <c r="AL61" s="30">
        <v>103</v>
      </c>
      <c r="AM61" s="30">
        <v>52</v>
      </c>
      <c r="AN61" s="30">
        <v>175</v>
      </c>
      <c r="AO61" s="30">
        <v>112</v>
      </c>
      <c r="AP61" s="30">
        <v>56</v>
      </c>
      <c r="AQ61" s="30">
        <v>191</v>
      </c>
      <c r="AR61" s="30">
        <v>122</v>
      </c>
      <c r="AS61" s="30">
        <v>61</v>
      </c>
      <c r="AT61" s="30">
        <v>208</v>
      </c>
      <c r="AU61" s="30">
        <v>132</v>
      </c>
      <c r="AV61" s="30">
        <v>66</v>
      </c>
      <c r="AW61" s="30">
        <v>225</v>
      </c>
      <c r="AX61" s="30">
        <v>142</v>
      </c>
      <c r="AY61" s="30">
        <v>71</v>
      </c>
      <c r="AZ61" s="30">
        <v>242</v>
      </c>
      <c r="BA61" s="30">
        <v>153</v>
      </c>
      <c r="BB61" s="30">
        <v>76</v>
      </c>
      <c r="BC61" s="30">
        <v>260</v>
      </c>
      <c r="BD61" s="30">
        <v>164</v>
      </c>
      <c r="BE61" s="30">
        <v>82</v>
      </c>
      <c r="BF61" s="30">
        <v>278</v>
      </c>
      <c r="BG61" s="30">
        <v>175</v>
      </c>
      <c r="BH61" s="30">
        <v>87</v>
      </c>
      <c r="BI61" s="30">
        <v>297</v>
      </c>
      <c r="BJ61" s="30">
        <v>186</v>
      </c>
      <c r="BK61" s="30">
        <v>93</v>
      </c>
      <c r="BL61" s="30">
        <v>316</v>
      </c>
      <c r="BM61" s="30">
        <v>198</v>
      </c>
      <c r="BN61" s="30">
        <v>99</v>
      </c>
      <c r="BO61" s="30">
        <v>336</v>
      </c>
      <c r="BP61" s="30">
        <v>209</v>
      </c>
      <c r="BQ61" s="30">
        <v>105</v>
      </c>
      <c r="BR61" s="30">
        <v>356</v>
      </c>
      <c r="BS61" s="30">
        <v>221</v>
      </c>
      <c r="BT61" s="30">
        <v>111</v>
      </c>
      <c r="BU61" s="30">
        <v>376</v>
      </c>
      <c r="BV61" s="30">
        <v>234</v>
      </c>
      <c r="BW61" s="30">
        <v>117</v>
      </c>
      <c r="BX61" s="30">
        <v>397</v>
      </c>
      <c r="BY61" s="30">
        <v>246</v>
      </c>
      <c r="BZ61" s="30">
        <v>123</v>
      </c>
      <c r="CA61" s="30">
        <v>418</v>
      </c>
      <c r="CB61" s="30">
        <v>259</v>
      </c>
      <c r="CC61" s="30">
        <v>129</v>
      </c>
      <c r="CD61" s="30">
        <v>440</v>
      </c>
      <c r="CE61" s="30">
        <v>272</v>
      </c>
      <c r="CF61" s="30">
        <v>136</v>
      </c>
      <c r="CG61" s="30">
        <v>462</v>
      </c>
      <c r="CH61" s="30">
        <v>285</v>
      </c>
      <c r="CI61" s="30">
        <v>142</v>
      </c>
      <c r="CJ61" s="30">
        <v>484</v>
      </c>
      <c r="CK61" s="30">
        <v>298</v>
      </c>
      <c r="CL61" s="30">
        <v>149</v>
      </c>
      <c r="CM61" s="30">
        <v>507</v>
      </c>
    </row>
    <row r="62" spans="1:91" x14ac:dyDescent="0.25">
      <c r="A62" s="29" t="s">
        <v>70</v>
      </c>
      <c r="B62" s="30">
        <v>216</v>
      </c>
      <c r="C62" s="30">
        <v>60</v>
      </c>
      <c r="D62" s="30">
        <v>12</v>
      </c>
      <c r="E62" s="30">
        <v>234</v>
      </c>
      <c r="F62" s="30">
        <v>65</v>
      </c>
      <c r="G62" s="30">
        <v>13</v>
      </c>
      <c r="H62" s="30">
        <v>265</v>
      </c>
      <c r="I62" s="30">
        <v>74</v>
      </c>
      <c r="J62" s="30">
        <v>15</v>
      </c>
      <c r="K62" s="30">
        <v>302</v>
      </c>
      <c r="L62" s="30">
        <v>84</v>
      </c>
      <c r="M62" s="30">
        <v>17</v>
      </c>
      <c r="N62" s="30">
        <v>344</v>
      </c>
      <c r="O62" s="30">
        <v>96</v>
      </c>
      <c r="P62" s="30">
        <v>19</v>
      </c>
      <c r="Q62" s="30">
        <v>392</v>
      </c>
      <c r="R62" s="30">
        <v>109</v>
      </c>
      <c r="S62" s="30">
        <v>22</v>
      </c>
      <c r="T62" s="30">
        <v>442</v>
      </c>
      <c r="U62" s="30">
        <v>123</v>
      </c>
      <c r="V62" s="30">
        <v>25</v>
      </c>
      <c r="W62" s="30">
        <v>497</v>
      </c>
      <c r="X62" s="30">
        <v>138</v>
      </c>
      <c r="Y62" s="30">
        <v>28</v>
      </c>
      <c r="Z62" s="30">
        <v>555</v>
      </c>
      <c r="AA62" s="30">
        <v>154</v>
      </c>
      <c r="AB62" s="30">
        <v>31</v>
      </c>
      <c r="AC62" s="30">
        <v>615</v>
      </c>
      <c r="AD62" s="30">
        <v>171</v>
      </c>
      <c r="AE62" s="30">
        <v>34</v>
      </c>
      <c r="AF62" s="30">
        <v>679</v>
      </c>
      <c r="AG62" s="30">
        <v>189</v>
      </c>
      <c r="AH62" s="30">
        <v>38</v>
      </c>
      <c r="AI62" s="30">
        <v>745</v>
      </c>
      <c r="AJ62" s="30">
        <v>207</v>
      </c>
      <c r="AK62" s="30">
        <v>41</v>
      </c>
      <c r="AL62" s="30">
        <v>814</v>
      </c>
      <c r="AM62" s="30">
        <v>226</v>
      </c>
      <c r="AN62" s="30">
        <v>45</v>
      </c>
      <c r="AO62" s="30">
        <v>885</v>
      </c>
      <c r="AP62" s="30">
        <v>246</v>
      </c>
      <c r="AQ62" s="30">
        <v>49</v>
      </c>
      <c r="AR62" s="30">
        <v>958</v>
      </c>
      <c r="AS62" s="30">
        <v>266</v>
      </c>
      <c r="AT62" s="30">
        <v>53</v>
      </c>
      <c r="AU62" s="30">
        <v>1033</v>
      </c>
      <c r="AV62" s="30">
        <v>287</v>
      </c>
      <c r="AW62" s="30">
        <v>57</v>
      </c>
      <c r="AX62" s="30">
        <v>1110</v>
      </c>
      <c r="AY62" s="30">
        <v>308</v>
      </c>
      <c r="AZ62" s="30">
        <v>62</v>
      </c>
      <c r="BA62" s="30">
        <v>1189</v>
      </c>
      <c r="BB62" s="30">
        <v>330</v>
      </c>
      <c r="BC62" s="30">
        <v>66</v>
      </c>
      <c r="BD62" s="30">
        <v>1270</v>
      </c>
      <c r="BE62" s="30">
        <v>353</v>
      </c>
      <c r="BF62" s="30">
        <v>71</v>
      </c>
      <c r="BG62" s="30">
        <v>1353</v>
      </c>
      <c r="BH62" s="30">
        <v>376</v>
      </c>
      <c r="BI62" s="30">
        <v>75</v>
      </c>
      <c r="BJ62" s="30">
        <v>1438</v>
      </c>
      <c r="BK62" s="30">
        <v>399</v>
      </c>
      <c r="BL62" s="30">
        <v>80</v>
      </c>
      <c r="BM62" s="30">
        <v>1524</v>
      </c>
      <c r="BN62" s="30">
        <v>423</v>
      </c>
      <c r="BO62" s="30">
        <v>85</v>
      </c>
      <c r="BP62" s="30">
        <v>1612</v>
      </c>
      <c r="BQ62" s="30">
        <v>448</v>
      </c>
      <c r="BR62" s="30">
        <v>90</v>
      </c>
      <c r="BS62" s="30">
        <v>1702</v>
      </c>
      <c r="BT62" s="30">
        <v>473</v>
      </c>
      <c r="BU62" s="30">
        <v>95</v>
      </c>
      <c r="BV62" s="30">
        <v>1793</v>
      </c>
      <c r="BW62" s="30">
        <v>498</v>
      </c>
      <c r="BX62" s="30">
        <v>100</v>
      </c>
      <c r="BY62" s="30">
        <v>1886</v>
      </c>
      <c r="BZ62" s="30">
        <v>524</v>
      </c>
      <c r="CA62" s="30">
        <v>105</v>
      </c>
      <c r="CB62" s="30">
        <v>1980</v>
      </c>
      <c r="CC62" s="30">
        <v>550</v>
      </c>
      <c r="CD62" s="30">
        <v>110</v>
      </c>
      <c r="CE62" s="30">
        <v>2076</v>
      </c>
      <c r="CF62" s="30">
        <v>577</v>
      </c>
      <c r="CG62" s="30">
        <v>115</v>
      </c>
      <c r="CH62" s="30">
        <v>2173</v>
      </c>
      <c r="CI62" s="30">
        <v>604</v>
      </c>
      <c r="CJ62" s="30">
        <v>121</v>
      </c>
      <c r="CK62" s="30">
        <v>2272</v>
      </c>
      <c r="CL62" s="30">
        <v>631</v>
      </c>
      <c r="CM62" s="30">
        <v>126</v>
      </c>
    </row>
    <row r="63" spans="1:91" x14ac:dyDescent="0.25">
      <c r="A63" s="29" t="s">
        <v>56</v>
      </c>
      <c r="B63" s="30">
        <v>38</v>
      </c>
      <c r="C63" s="30">
        <v>5</v>
      </c>
      <c r="D63" s="30">
        <v>38</v>
      </c>
      <c r="E63" s="30">
        <v>41</v>
      </c>
      <c r="F63" s="30">
        <v>5</v>
      </c>
      <c r="G63" s="30">
        <v>41</v>
      </c>
      <c r="H63" s="30">
        <v>47</v>
      </c>
      <c r="I63" s="30">
        <v>6</v>
      </c>
      <c r="J63" s="30">
        <v>47</v>
      </c>
      <c r="K63" s="30">
        <v>54</v>
      </c>
      <c r="L63" s="30">
        <v>7</v>
      </c>
      <c r="M63" s="30">
        <v>54</v>
      </c>
      <c r="N63" s="30">
        <v>62</v>
      </c>
      <c r="O63" s="30">
        <v>8</v>
      </c>
      <c r="P63" s="30">
        <v>62</v>
      </c>
      <c r="Q63" s="30">
        <v>71</v>
      </c>
      <c r="R63" s="30">
        <v>10</v>
      </c>
      <c r="S63" s="30">
        <v>71</v>
      </c>
      <c r="T63" s="30">
        <v>81</v>
      </c>
      <c r="U63" s="30">
        <v>11</v>
      </c>
      <c r="V63" s="30">
        <v>81</v>
      </c>
      <c r="W63" s="30">
        <v>92</v>
      </c>
      <c r="X63" s="30">
        <v>12</v>
      </c>
      <c r="Y63" s="30">
        <v>92</v>
      </c>
      <c r="Z63" s="30">
        <v>103</v>
      </c>
      <c r="AA63" s="30">
        <v>14</v>
      </c>
      <c r="AB63" s="30">
        <v>103</v>
      </c>
      <c r="AC63" s="30">
        <v>115</v>
      </c>
      <c r="AD63" s="30">
        <v>15</v>
      </c>
      <c r="AE63" s="30">
        <v>115</v>
      </c>
      <c r="AF63" s="30">
        <v>128</v>
      </c>
      <c r="AG63" s="30">
        <v>17</v>
      </c>
      <c r="AH63" s="30">
        <v>128</v>
      </c>
      <c r="AI63" s="30">
        <v>141</v>
      </c>
      <c r="AJ63" s="30">
        <v>19</v>
      </c>
      <c r="AK63" s="30">
        <v>141</v>
      </c>
      <c r="AL63" s="30">
        <v>155</v>
      </c>
      <c r="AM63" s="30">
        <v>21</v>
      </c>
      <c r="AN63" s="30">
        <v>155</v>
      </c>
      <c r="AO63" s="30">
        <v>169</v>
      </c>
      <c r="AP63" s="30">
        <v>22</v>
      </c>
      <c r="AQ63" s="30">
        <v>169</v>
      </c>
      <c r="AR63" s="30">
        <v>183</v>
      </c>
      <c r="AS63" s="30">
        <v>24</v>
      </c>
      <c r="AT63" s="30">
        <v>183</v>
      </c>
      <c r="AU63" s="30">
        <v>198</v>
      </c>
      <c r="AV63" s="30">
        <v>26</v>
      </c>
      <c r="AW63" s="30">
        <v>198</v>
      </c>
      <c r="AX63" s="30">
        <v>213</v>
      </c>
      <c r="AY63" s="30">
        <v>28</v>
      </c>
      <c r="AZ63" s="30">
        <v>213</v>
      </c>
      <c r="BA63" s="30">
        <v>229</v>
      </c>
      <c r="BB63" s="30">
        <v>31</v>
      </c>
      <c r="BC63" s="30">
        <v>229</v>
      </c>
      <c r="BD63" s="30">
        <v>246</v>
      </c>
      <c r="BE63" s="30">
        <v>33</v>
      </c>
      <c r="BF63" s="30">
        <v>246</v>
      </c>
      <c r="BG63" s="30">
        <v>262</v>
      </c>
      <c r="BH63" s="30">
        <v>35</v>
      </c>
      <c r="BI63" s="30">
        <v>262</v>
      </c>
      <c r="BJ63" s="30">
        <v>279</v>
      </c>
      <c r="BK63" s="30">
        <v>37</v>
      </c>
      <c r="BL63" s="30">
        <v>279</v>
      </c>
      <c r="BM63" s="30">
        <v>296</v>
      </c>
      <c r="BN63" s="30">
        <v>40</v>
      </c>
      <c r="BO63" s="30">
        <v>296</v>
      </c>
      <c r="BP63" s="30">
        <v>314</v>
      </c>
      <c r="BQ63" s="30">
        <v>42</v>
      </c>
      <c r="BR63" s="30">
        <v>314</v>
      </c>
      <c r="BS63" s="30">
        <v>332</v>
      </c>
      <c r="BT63" s="30">
        <v>44</v>
      </c>
      <c r="BU63" s="30">
        <v>332</v>
      </c>
      <c r="BV63" s="30">
        <v>351</v>
      </c>
      <c r="BW63" s="30">
        <v>47</v>
      </c>
      <c r="BX63" s="30">
        <v>351</v>
      </c>
      <c r="BY63" s="30">
        <v>369</v>
      </c>
      <c r="BZ63" s="30">
        <v>49</v>
      </c>
      <c r="CA63" s="30">
        <v>369</v>
      </c>
      <c r="CB63" s="30">
        <v>388</v>
      </c>
      <c r="CC63" s="30">
        <v>52</v>
      </c>
      <c r="CD63" s="30">
        <v>388</v>
      </c>
      <c r="CE63" s="30">
        <v>408</v>
      </c>
      <c r="CF63" s="30">
        <v>54</v>
      </c>
      <c r="CG63" s="30">
        <v>408</v>
      </c>
      <c r="CH63" s="30">
        <v>427</v>
      </c>
      <c r="CI63" s="30">
        <v>57</v>
      </c>
      <c r="CJ63" s="30">
        <v>427</v>
      </c>
      <c r="CK63" s="30">
        <v>447</v>
      </c>
      <c r="CL63" s="30">
        <v>60</v>
      </c>
      <c r="CM63" s="30">
        <v>447</v>
      </c>
    </row>
    <row r="64" spans="1:91" x14ac:dyDescent="0.25">
      <c r="A64" s="29" t="s">
        <v>6</v>
      </c>
      <c r="B64" s="30">
        <v>2</v>
      </c>
      <c r="C64" s="30">
        <v>9</v>
      </c>
      <c r="D64" s="30">
        <v>13</v>
      </c>
      <c r="E64" s="30">
        <v>2</v>
      </c>
      <c r="F64" s="30">
        <v>10</v>
      </c>
      <c r="G64" s="30">
        <v>14</v>
      </c>
      <c r="H64" s="30">
        <v>3</v>
      </c>
      <c r="I64" s="30">
        <v>11</v>
      </c>
      <c r="J64" s="30">
        <v>17</v>
      </c>
      <c r="K64" s="30">
        <v>3</v>
      </c>
      <c r="L64" s="30">
        <v>13</v>
      </c>
      <c r="M64" s="30">
        <v>19</v>
      </c>
      <c r="N64" s="30">
        <v>3</v>
      </c>
      <c r="O64" s="30">
        <v>15</v>
      </c>
      <c r="P64" s="30">
        <v>22</v>
      </c>
      <c r="Q64" s="30">
        <v>4</v>
      </c>
      <c r="R64" s="30">
        <v>18</v>
      </c>
      <c r="S64" s="30">
        <v>26</v>
      </c>
      <c r="T64" s="30">
        <v>5</v>
      </c>
      <c r="U64" s="30">
        <v>20</v>
      </c>
      <c r="V64" s="30">
        <v>30</v>
      </c>
      <c r="W64" s="30">
        <v>5</v>
      </c>
      <c r="X64" s="30">
        <v>23</v>
      </c>
      <c r="Y64" s="30">
        <v>33</v>
      </c>
      <c r="Z64" s="30">
        <v>6</v>
      </c>
      <c r="AA64" s="30">
        <v>26</v>
      </c>
      <c r="AB64" s="30">
        <v>38</v>
      </c>
      <c r="AC64" s="30">
        <v>6</v>
      </c>
      <c r="AD64" s="30">
        <v>29</v>
      </c>
      <c r="AE64" s="30">
        <v>42</v>
      </c>
      <c r="AF64" s="30">
        <v>7</v>
      </c>
      <c r="AG64" s="30">
        <v>32</v>
      </c>
      <c r="AH64" s="30">
        <v>47</v>
      </c>
      <c r="AI64" s="30">
        <v>8</v>
      </c>
      <c r="AJ64" s="30">
        <v>36</v>
      </c>
      <c r="AK64" s="30">
        <v>51</v>
      </c>
      <c r="AL64" s="30">
        <v>9</v>
      </c>
      <c r="AM64" s="30">
        <v>39</v>
      </c>
      <c r="AN64" s="30">
        <v>57</v>
      </c>
      <c r="AO64" s="30">
        <v>10</v>
      </c>
      <c r="AP64" s="30">
        <v>43</v>
      </c>
      <c r="AQ64" s="30">
        <v>62</v>
      </c>
      <c r="AR64" s="30">
        <v>10</v>
      </c>
      <c r="AS64" s="30">
        <v>46</v>
      </c>
      <c r="AT64" s="30">
        <v>67</v>
      </c>
      <c r="AU64" s="30">
        <v>11</v>
      </c>
      <c r="AV64" s="30">
        <v>50</v>
      </c>
      <c r="AW64" s="30">
        <v>73</v>
      </c>
      <c r="AX64" s="30">
        <v>12</v>
      </c>
      <c r="AY64" s="30">
        <v>54</v>
      </c>
      <c r="AZ64" s="30">
        <v>78</v>
      </c>
      <c r="BA64" s="30">
        <v>13</v>
      </c>
      <c r="BB64" s="30">
        <v>58</v>
      </c>
      <c r="BC64" s="30">
        <v>84</v>
      </c>
      <c r="BD64" s="30">
        <v>14</v>
      </c>
      <c r="BE64" s="30">
        <v>62</v>
      </c>
      <c r="BF64" s="30">
        <v>90</v>
      </c>
      <c r="BG64" s="30">
        <v>15</v>
      </c>
      <c r="BH64" s="30">
        <v>66</v>
      </c>
      <c r="BI64" s="30">
        <v>96</v>
      </c>
      <c r="BJ64" s="30">
        <v>16</v>
      </c>
      <c r="BK64" s="30">
        <v>71</v>
      </c>
      <c r="BL64" s="30">
        <v>102</v>
      </c>
      <c r="BM64" s="30">
        <v>17</v>
      </c>
      <c r="BN64" s="30">
        <v>75</v>
      </c>
      <c r="BO64" s="30">
        <v>108</v>
      </c>
      <c r="BP64" s="30">
        <v>18</v>
      </c>
      <c r="BQ64" s="30">
        <v>79</v>
      </c>
      <c r="BR64" s="30">
        <v>115</v>
      </c>
      <c r="BS64" s="30">
        <v>19</v>
      </c>
      <c r="BT64" s="30">
        <v>84</v>
      </c>
      <c r="BU64" s="30">
        <v>121</v>
      </c>
      <c r="BV64" s="30">
        <v>20</v>
      </c>
      <c r="BW64" s="30">
        <v>89</v>
      </c>
      <c r="BX64" s="30">
        <v>128</v>
      </c>
      <c r="BY64" s="30">
        <v>21</v>
      </c>
      <c r="BZ64" s="30">
        <v>93</v>
      </c>
      <c r="CA64" s="30">
        <v>135</v>
      </c>
      <c r="CB64" s="30">
        <v>22</v>
      </c>
      <c r="CC64" s="30">
        <v>98</v>
      </c>
      <c r="CD64" s="30">
        <v>141</v>
      </c>
      <c r="CE64" s="30">
        <v>23</v>
      </c>
      <c r="CF64" s="30">
        <v>103</v>
      </c>
      <c r="CG64" s="30">
        <v>148</v>
      </c>
      <c r="CH64" s="30">
        <v>24</v>
      </c>
      <c r="CI64" s="30">
        <v>108</v>
      </c>
      <c r="CJ64" s="30">
        <v>155</v>
      </c>
      <c r="CK64" s="30">
        <v>25</v>
      </c>
      <c r="CL64" s="30">
        <v>113</v>
      </c>
      <c r="CM64" s="30">
        <v>163</v>
      </c>
    </row>
    <row r="65" spans="1:91" x14ac:dyDescent="0.25">
      <c r="A65" s="29" t="s">
        <v>99</v>
      </c>
      <c r="B65" s="30">
        <v>10</v>
      </c>
      <c r="C65" s="30">
        <v>80</v>
      </c>
      <c r="D65" s="30">
        <v>30</v>
      </c>
      <c r="E65" s="30">
        <v>11</v>
      </c>
      <c r="F65" s="30">
        <v>88</v>
      </c>
      <c r="G65" s="30">
        <v>33</v>
      </c>
      <c r="H65" s="30">
        <v>13</v>
      </c>
      <c r="I65" s="30">
        <v>103</v>
      </c>
      <c r="J65" s="30">
        <v>39</v>
      </c>
      <c r="K65" s="30">
        <v>15</v>
      </c>
      <c r="L65" s="30">
        <v>122</v>
      </c>
      <c r="M65" s="30">
        <v>46</v>
      </c>
      <c r="N65" s="30">
        <v>18</v>
      </c>
      <c r="O65" s="30">
        <v>143</v>
      </c>
      <c r="P65" s="30">
        <v>54</v>
      </c>
      <c r="Q65" s="30">
        <v>21</v>
      </c>
      <c r="R65" s="30">
        <v>167</v>
      </c>
      <c r="S65" s="30">
        <v>63</v>
      </c>
      <c r="T65" s="30">
        <v>24</v>
      </c>
      <c r="U65" s="30">
        <v>193</v>
      </c>
      <c r="V65" s="30">
        <v>72</v>
      </c>
      <c r="W65" s="30">
        <v>28</v>
      </c>
      <c r="X65" s="30">
        <v>221</v>
      </c>
      <c r="Y65" s="30">
        <v>83</v>
      </c>
      <c r="Z65" s="30">
        <v>31</v>
      </c>
      <c r="AA65" s="30">
        <v>251</v>
      </c>
      <c r="AB65" s="30">
        <v>94</v>
      </c>
      <c r="AC65" s="30">
        <v>35</v>
      </c>
      <c r="AD65" s="30">
        <v>282</v>
      </c>
      <c r="AE65" s="30">
        <v>106</v>
      </c>
      <c r="AF65" s="30">
        <v>39</v>
      </c>
      <c r="AG65" s="30">
        <v>315</v>
      </c>
      <c r="AH65" s="30">
        <v>118</v>
      </c>
      <c r="AI65" s="30">
        <v>44</v>
      </c>
      <c r="AJ65" s="30">
        <v>350</v>
      </c>
      <c r="AK65" s="30">
        <v>131</v>
      </c>
      <c r="AL65" s="30">
        <v>48</v>
      </c>
      <c r="AM65" s="30">
        <v>386</v>
      </c>
      <c r="AN65" s="30">
        <v>145</v>
      </c>
      <c r="AO65" s="30">
        <v>53</v>
      </c>
      <c r="AP65" s="30">
        <v>423</v>
      </c>
      <c r="AQ65" s="30">
        <v>159</v>
      </c>
      <c r="AR65" s="30">
        <v>58</v>
      </c>
      <c r="AS65" s="30">
        <v>462</v>
      </c>
      <c r="AT65" s="30">
        <v>173</v>
      </c>
      <c r="AU65" s="30">
        <v>63</v>
      </c>
      <c r="AV65" s="30">
        <v>502</v>
      </c>
      <c r="AW65" s="30">
        <v>188</v>
      </c>
      <c r="AX65" s="30">
        <v>68</v>
      </c>
      <c r="AY65" s="30">
        <v>543</v>
      </c>
      <c r="AZ65" s="30">
        <v>204</v>
      </c>
      <c r="BA65" s="30">
        <v>73</v>
      </c>
      <c r="BB65" s="30">
        <v>585</v>
      </c>
      <c r="BC65" s="30">
        <v>219</v>
      </c>
      <c r="BD65" s="30">
        <v>79</v>
      </c>
      <c r="BE65" s="30">
        <v>628</v>
      </c>
      <c r="BF65" s="30">
        <v>236</v>
      </c>
      <c r="BG65" s="30">
        <v>84</v>
      </c>
      <c r="BH65" s="30">
        <v>673</v>
      </c>
      <c r="BI65" s="30">
        <v>252</v>
      </c>
      <c r="BJ65" s="30">
        <v>90</v>
      </c>
      <c r="BK65" s="30">
        <v>718</v>
      </c>
      <c r="BL65" s="30">
        <v>269</v>
      </c>
      <c r="BM65" s="30">
        <v>96</v>
      </c>
      <c r="BN65" s="30">
        <v>765</v>
      </c>
      <c r="BO65" s="30">
        <v>287</v>
      </c>
      <c r="BP65" s="30">
        <v>102</v>
      </c>
      <c r="BQ65" s="30">
        <v>812</v>
      </c>
      <c r="BR65" s="30">
        <v>305</v>
      </c>
      <c r="BS65" s="30">
        <v>108</v>
      </c>
      <c r="BT65" s="30">
        <v>861</v>
      </c>
      <c r="BU65" s="30">
        <v>323</v>
      </c>
      <c r="BV65" s="30">
        <v>114</v>
      </c>
      <c r="BW65" s="30">
        <v>910</v>
      </c>
      <c r="BX65" s="30">
        <v>341</v>
      </c>
      <c r="BY65" s="30">
        <v>120</v>
      </c>
      <c r="BZ65" s="30">
        <v>960</v>
      </c>
      <c r="CA65" s="30">
        <v>360</v>
      </c>
      <c r="CB65" s="30">
        <v>126</v>
      </c>
      <c r="CC65" s="30">
        <v>1012</v>
      </c>
      <c r="CD65" s="30">
        <v>379</v>
      </c>
      <c r="CE65" s="30">
        <v>133</v>
      </c>
      <c r="CF65" s="30">
        <v>1064</v>
      </c>
      <c r="CG65" s="30">
        <v>399</v>
      </c>
      <c r="CH65" s="30">
        <v>140</v>
      </c>
      <c r="CI65" s="30">
        <v>1116</v>
      </c>
      <c r="CJ65" s="30">
        <v>419</v>
      </c>
      <c r="CK65" s="30">
        <v>146</v>
      </c>
      <c r="CL65" s="30">
        <v>1170</v>
      </c>
      <c r="CM65" s="30">
        <v>439</v>
      </c>
    </row>
    <row r="66" spans="1:91" x14ac:dyDescent="0.25">
      <c r="A66" s="29" t="s">
        <v>49</v>
      </c>
      <c r="B66" s="30">
        <v>40</v>
      </c>
      <c r="C66" s="30">
        <v>25</v>
      </c>
      <c r="D66" s="30">
        <v>55</v>
      </c>
      <c r="E66" s="30">
        <v>44</v>
      </c>
      <c r="F66" s="30">
        <v>28</v>
      </c>
      <c r="G66" s="30">
        <v>61</v>
      </c>
      <c r="H66" s="30">
        <v>52</v>
      </c>
      <c r="I66" s="30">
        <v>32</v>
      </c>
      <c r="J66" s="30">
        <v>71</v>
      </c>
      <c r="K66" s="30">
        <v>61</v>
      </c>
      <c r="L66" s="30">
        <v>38</v>
      </c>
      <c r="M66" s="30">
        <v>84</v>
      </c>
      <c r="N66" s="30">
        <v>71</v>
      </c>
      <c r="O66" s="30">
        <v>45</v>
      </c>
      <c r="P66" s="30">
        <v>98</v>
      </c>
      <c r="Q66" s="30">
        <v>83</v>
      </c>
      <c r="R66" s="30">
        <v>52</v>
      </c>
      <c r="S66" s="30">
        <v>115</v>
      </c>
      <c r="T66" s="30">
        <v>96</v>
      </c>
      <c r="U66" s="30">
        <v>60</v>
      </c>
      <c r="V66" s="30">
        <v>133</v>
      </c>
      <c r="W66" s="30">
        <v>110</v>
      </c>
      <c r="X66" s="30">
        <v>69</v>
      </c>
      <c r="Y66" s="30">
        <v>152</v>
      </c>
      <c r="Z66" s="30">
        <v>125</v>
      </c>
      <c r="AA66" s="30">
        <v>78</v>
      </c>
      <c r="AB66" s="30">
        <v>172</v>
      </c>
      <c r="AC66" s="30">
        <v>141</v>
      </c>
      <c r="AD66" s="30">
        <v>88</v>
      </c>
      <c r="AE66" s="30">
        <v>194</v>
      </c>
      <c r="AF66" s="30">
        <v>158</v>
      </c>
      <c r="AG66" s="30">
        <v>99</v>
      </c>
      <c r="AH66" s="30">
        <v>217</v>
      </c>
      <c r="AI66" s="30">
        <v>175</v>
      </c>
      <c r="AJ66" s="30">
        <v>109</v>
      </c>
      <c r="AK66" s="30">
        <v>241</v>
      </c>
      <c r="AL66" s="30">
        <v>193</v>
      </c>
      <c r="AM66" s="30">
        <v>121</v>
      </c>
      <c r="AN66" s="30">
        <v>265</v>
      </c>
      <c r="AO66" s="30">
        <v>212</v>
      </c>
      <c r="AP66" s="30">
        <v>132</v>
      </c>
      <c r="AQ66" s="30">
        <v>291</v>
      </c>
      <c r="AR66" s="30">
        <v>231</v>
      </c>
      <c r="AS66" s="30">
        <v>144</v>
      </c>
      <c r="AT66" s="30">
        <v>318</v>
      </c>
      <c r="AU66" s="30">
        <v>251</v>
      </c>
      <c r="AV66" s="30">
        <v>157</v>
      </c>
      <c r="AW66" s="30">
        <v>345</v>
      </c>
      <c r="AX66" s="30">
        <v>271</v>
      </c>
      <c r="AY66" s="30">
        <v>170</v>
      </c>
      <c r="AZ66" s="30">
        <v>373</v>
      </c>
      <c r="BA66" s="30">
        <v>293</v>
      </c>
      <c r="BB66" s="30">
        <v>183</v>
      </c>
      <c r="BC66" s="30">
        <v>402</v>
      </c>
      <c r="BD66" s="30">
        <v>314</v>
      </c>
      <c r="BE66" s="30">
        <v>196</v>
      </c>
      <c r="BF66" s="30">
        <v>432</v>
      </c>
      <c r="BG66" s="30">
        <v>336</v>
      </c>
      <c r="BH66" s="30">
        <v>210</v>
      </c>
      <c r="BI66" s="30">
        <v>463</v>
      </c>
      <c r="BJ66" s="30">
        <v>359</v>
      </c>
      <c r="BK66" s="30">
        <v>225</v>
      </c>
      <c r="BL66" s="30">
        <v>494</v>
      </c>
      <c r="BM66" s="30">
        <v>382</v>
      </c>
      <c r="BN66" s="30">
        <v>239</v>
      </c>
      <c r="BO66" s="30">
        <v>526</v>
      </c>
      <c r="BP66" s="30">
        <v>406</v>
      </c>
      <c r="BQ66" s="30">
        <v>254</v>
      </c>
      <c r="BR66" s="30">
        <v>558</v>
      </c>
      <c r="BS66" s="30">
        <v>430</v>
      </c>
      <c r="BT66" s="30">
        <v>269</v>
      </c>
      <c r="BU66" s="30">
        <v>592</v>
      </c>
      <c r="BV66" s="30">
        <v>455</v>
      </c>
      <c r="BW66" s="30">
        <v>284</v>
      </c>
      <c r="BX66" s="30">
        <v>626</v>
      </c>
      <c r="BY66" s="30">
        <v>480</v>
      </c>
      <c r="BZ66" s="30">
        <v>300</v>
      </c>
      <c r="CA66" s="30">
        <v>660</v>
      </c>
      <c r="CB66" s="30">
        <v>506</v>
      </c>
      <c r="CC66" s="30">
        <v>316</v>
      </c>
      <c r="CD66" s="30">
        <v>695</v>
      </c>
      <c r="CE66" s="30">
        <v>532</v>
      </c>
      <c r="CF66" s="30">
        <v>332</v>
      </c>
      <c r="CG66" s="30">
        <v>731</v>
      </c>
      <c r="CH66" s="30">
        <v>558</v>
      </c>
      <c r="CI66" s="30">
        <v>349</v>
      </c>
      <c r="CJ66" s="30">
        <v>767</v>
      </c>
      <c r="CK66" s="30">
        <v>585</v>
      </c>
      <c r="CL66" s="30">
        <v>366</v>
      </c>
      <c r="CM66" s="30">
        <v>804</v>
      </c>
    </row>
    <row r="67" spans="1:91" x14ac:dyDescent="0.25">
      <c r="A67" s="29" t="s">
        <v>66</v>
      </c>
      <c r="B67" s="30">
        <v>216</v>
      </c>
      <c r="C67" s="30">
        <v>36</v>
      </c>
      <c r="D67" s="30">
        <v>132</v>
      </c>
      <c r="E67" s="30">
        <v>234</v>
      </c>
      <c r="F67" s="30">
        <v>39</v>
      </c>
      <c r="G67" s="30">
        <v>143</v>
      </c>
      <c r="H67" s="30">
        <v>265</v>
      </c>
      <c r="I67" s="30">
        <v>44</v>
      </c>
      <c r="J67" s="30">
        <v>162</v>
      </c>
      <c r="K67" s="30">
        <v>302</v>
      </c>
      <c r="L67" s="30">
        <v>50</v>
      </c>
      <c r="M67" s="30">
        <v>184</v>
      </c>
      <c r="N67" s="30">
        <v>344</v>
      </c>
      <c r="O67" s="30">
        <v>57</v>
      </c>
      <c r="P67" s="30">
        <v>210</v>
      </c>
      <c r="Q67" s="30">
        <v>392</v>
      </c>
      <c r="R67" s="30">
        <v>65</v>
      </c>
      <c r="S67" s="30">
        <v>239</v>
      </c>
      <c r="T67" s="30">
        <v>442</v>
      </c>
      <c r="U67" s="30">
        <v>74</v>
      </c>
      <c r="V67" s="30">
        <v>270</v>
      </c>
      <c r="W67" s="30">
        <v>497</v>
      </c>
      <c r="X67" s="30">
        <v>83</v>
      </c>
      <c r="Y67" s="30">
        <v>304</v>
      </c>
      <c r="Z67" s="30">
        <v>555</v>
      </c>
      <c r="AA67" s="30">
        <v>92</v>
      </c>
      <c r="AB67" s="30">
        <v>339</v>
      </c>
      <c r="AC67" s="30">
        <v>615</v>
      </c>
      <c r="AD67" s="30">
        <v>103</v>
      </c>
      <c r="AE67" s="30">
        <v>376</v>
      </c>
      <c r="AF67" s="30">
        <v>679</v>
      </c>
      <c r="AG67" s="30">
        <v>113</v>
      </c>
      <c r="AH67" s="30">
        <v>415</v>
      </c>
      <c r="AI67" s="30">
        <v>745</v>
      </c>
      <c r="AJ67" s="30">
        <v>124</v>
      </c>
      <c r="AK67" s="30">
        <v>455</v>
      </c>
      <c r="AL67" s="30">
        <v>814</v>
      </c>
      <c r="AM67" s="30">
        <v>136</v>
      </c>
      <c r="AN67" s="30">
        <v>497</v>
      </c>
      <c r="AO67" s="30">
        <v>885</v>
      </c>
      <c r="AP67" s="30">
        <v>147</v>
      </c>
      <c r="AQ67" s="30">
        <v>541</v>
      </c>
      <c r="AR67" s="30">
        <v>958</v>
      </c>
      <c r="AS67" s="30">
        <v>160</v>
      </c>
      <c r="AT67" s="30">
        <v>585</v>
      </c>
      <c r="AU67" s="30">
        <v>1033</v>
      </c>
      <c r="AV67" s="30">
        <v>172</v>
      </c>
      <c r="AW67" s="30">
        <v>631</v>
      </c>
      <c r="AX67" s="30">
        <v>1110</v>
      </c>
      <c r="AY67" s="30">
        <v>185</v>
      </c>
      <c r="AZ67" s="30">
        <v>678</v>
      </c>
      <c r="BA67" s="30">
        <v>1189</v>
      </c>
      <c r="BB67" s="30">
        <v>198</v>
      </c>
      <c r="BC67" s="30">
        <v>727</v>
      </c>
      <c r="BD67" s="30">
        <v>1270</v>
      </c>
      <c r="BE67" s="30">
        <v>212</v>
      </c>
      <c r="BF67" s="30">
        <v>776</v>
      </c>
      <c r="BG67" s="30">
        <v>1353</v>
      </c>
      <c r="BH67" s="30">
        <v>226</v>
      </c>
      <c r="BI67" s="30">
        <v>827</v>
      </c>
      <c r="BJ67" s="30">
        <v>1438</v>
      </c>
      <c r="BK67" s="30">
        <v>240</v>
      </c>
      <c r="BL67" s="30">
        <v>879</v>
      </c>
      <c r="BM67" s="30">
        <v>1524</v>
      </c>
      <c r="BN67" s="30">
        <v>254</v>
      </c>
      <c r="BO67" s="30">
        <v>931</v>
      </c>
      <c r="BP67" s="30">
        <v>1612</v>
      </c>
      <c r="BQ67" s="30">
        <v>269</v>
      </c>
      <c r="BR67" s="30">
        <v>985</v>
      </c>
      <c r="BS67" s="30">
        <v>1702</v>
      </c>
      <c r="BT67" s="30">
        <v>284</v>
      </c>
      <c r="BU67" s="30">
        <v>1040</v>
      </c>
      <c r="BV67" s="30">
        <v>1793</v>
      </c>
      <c r="BW67" s="30">
        <v>299</v>
      </c>
      <c r="BX67" s="30">
        <v>1096</v>
      </c>
      <c r="BY67" s="30">
        <v>1886</v>
      </c>
      <c r="BZ67" s="30">
        <v>314</v>
      </c>
      <c r="CA67" s="30">
        <v>1152</v>
      </c>
      <c r="CB67" s="30">
        <v>1980</v>
      </c>
      <c r="CC67" s="30">
        <v>330</v>
      </c>
      <c r="CD67" s="30">
        <v>1210</v>
      </c>
      <c r="CE67" s="30">
        <v>2076</v>
      </c>
      <c r="CF67" s="30">
        <v>346</v>
      </c>
      <c r="CG67" s="30">
        <v>1269</v>
      </c>
      <c r="CH67" s="30">
        <v>2173</v>
      </c>
      <c r="CI67" s="30">
        <v>362</v>
      </c>
      <c r="CJ67" s="30">
        <v>1328</v>
      </c>
      <c r="CK67" s="30">
        <v>2272</v>
      </c>
      <c r="CL67" s="30">
        <v>379</v>
      </c>
      <c r="CM67" s="30">
        <v>1388</v>
      </c>
    </row>
    <row r="68" spans="1:91" x14ac:dyDescent="0.25">
      <c r="A68" s="29" t="s">
        <v>68</v>
      </c>
      <c r="B68" s="30">
        <v>48</v>
      </c>
      <c r="C68" s="30">
        <v>192</v>
      </c>
      <c r="D68" s="30">
        <v>48</v>
      </c>
      <c r="E68" s="30">
        <v>52</v>
      </c>
      <c r="F68" s="30">
        <v>208</v>
      </c>
      <c r="G68" s="30">
        <v>52</v>
      </c>
      <c r="H68" s="30">
        <v>59</v>
      </c>
      <c r="I68" s="30">
        <v>235</v>
      </c>
      <c r="J68" s="30">
        <v>59</v>
      </c>
      <c r="K68" s="30">
        <v>67</v>
      </c>
      <c r="L68" s="30">
        <v>268</v>
      </c>
      <c r="M68" s="30">
        <v>67</v>
      </c>
      <c r="N68" s="30">
        <v>77</v>
      </c>
      <c r="O68" s="30">
        <v>306</v>
      </c>
      <c r="P68" s="30">
        <v>77</v>
      </c>
      <c r="Q68" s="30">
        <v>87</v>
      </c>
      <c r="R68" s="30">
        <v>348</v>
      </c>
      <c r="S68" s="30">
        <v>87</v>
      </c>
      <c r="T68" s="30">
        <v>98</v>
      </c>
      <c r="U68" s="30">
        <v>393</v>
      </c>
      <c r="V68" s="30">
        <v>98</v>
      </c>
      <c r="W68" s="30">
        <v>110</v>
      </c>
      <c r="X68" s="30">
        <v>442</v>
      </c>
      <c r="Y68" s="30">
        <v>110</v>
      </c>
      <c r="Z68" s="30">
        <v>123</v>
      </c>
      <c r="AA68" s="30">
        <v>493</v>
      </c>
      <c r="AB68" s="30">
        <v>123</v>
      </c>
      <c r="AC68" s="30">
        <v>137</v>
      </c>
      <c r="AD68" s="30">
        <v>547</v>
      </c>
      <c r="AE68" s="30">
        <v>137</v>
      </c>
      <c r="AF68" s="30">
        <v>151</v>
      </c>
      <c r="AG68" s="30">
        <v>604</v>
      </c>
      <c r="AH68" s="30">
        <v>151</v>
      </c>
      <c r="AI68" s="30">
        <v>166</v>
      </c>
      <c r="AJ68" s="30">
        <v>662</v>
      </c>
      <c r="AK68" s="30">
        <v>166</v>
      </c>
      <c r="AL68" s="30">
        <v>181</v>
      </c>
      <c r="AM68" s="30">
        <v>723</v>
      </c>
      <c r="AN68" s="30">
        <v>181</v>
      </c>
      <c r="AO68" s="30">
        <v>197</v>
      </c>
      <c r="AP68" s="30">
        <v>786</v>
      </c>
      <c r="AQ68" s="30">
        <v>197</v>
      </c>
      <c r="AR68" s="30">
        <v>213</v>
      </c>
      <c r="AS68" s="30">
        <v>851</v>
      </c>
      <c r="AT68" s="30">
        <v>213</v>
      </c>
      <c r="AU68" s="30">
        <v>230</v>
      </c>
      <c r="AV68" s="30">
        <v>918</v>
      </c>
      <c r="AW68" s="30">
        <v>230</v>
      </c>
      <c r="AX68" s="30">
        <v>247</v>
      </c>
      <c r="AY68" s="30">
        <v>987</v>
      </c>
      <c r="AZ68" s="30">
        <v>247</v>
      </c>
      <c r="BA68" s="30">
        <v>264</v>
      </c>
      <c r="BB68" s="30">
        <v>1057</v>
      </c>
      <c r="BC68" s="30">
        <v>264</v>
      </c>
      <c r="BD68" s="30">
        <v>282</v>
      </c>
      <c r="BE68" s="30">
        <v>1129</v>
      </c>
      <c r="BF68" s="30">
        <v>282</v>
      </c>
      <c r="BG68" s="30">
        <v>301</v>
      </c>
      <c r="BH68" s="30">
        <v>1203</v>
      </c>
      <c r="BI68" s="30">
        <v>301</v>
      </c>
      <c r="BJ68" s="30">
        <v>320</v>
      </c>
      <c r="BK68" s="30">
        <v>1278</v>
      </c>
      <c r="BL68" s="30">
        <v>320</v>
      </c>
      <c r="BM68" s="30">
        <v>339</v>
      </c>
      <c r="BN68" s="30">
        <v>1355</v>
      </c>
      <c r="BO68" s="30">
        <v>339</v>
      </c>
      <c r="BP68" s="30">
        <v>358</v>
      </c>
      <c r="BQ68" s="30">
        <v>1433</v>
      </c>
      <c r="BR68" s="30">
        <v>358</v>
      </c>
      <c r="BS68" s="30">
        <v>378</v>
      </c>
      <c r="BT68" s="30">
        <v>1513</v>
      </c>
      <c r="BU68" s="30">
        <v>378</v>
      </c>
      <c r="BV68" s="30">
        <v>398</v>
      </c>
      <c r="BW68" s="30">
        <v>1594</v>
      </c>
      <c r="BX68" s="30">
        <v>398</v>
      </c>
      <c r="BY68" s="30">
        <v>419</v>
      </c>
      <c r="BZ68" s="30">
        <v>1676</v>
      </c>
      <c r="CA68" s="30">
        <v>419</v>
      </c>
      <c r="CB68" s="30">
        <v>440</v>
      </c>
      <c r="CC68" s="30">
        <v>1760</v>
      </c>
      <c r="CD68" s="30">
        <v>440</v>
      </c>
      <c r="CE68" s="30">
        <v>461</v>
      </c>
      <c r="CF68" s="30">
        <v>1845</v>
      </c>
      <c r="CG68" s="30">
        <v>461</v>
      </c>
      <c r="CH68" s="30">
        <v>483</v>
      </c>
      <c r="CI68" s="30">
        <v>1932</v>
      </c>
      <c r="CJ68" s="30">
        <v>483</v>
      </c>
      <c r="CK68" s="30">
        <v>505</v>
      </c>
      <c r="CL68" s="30">
        <v>2019</v>
      </c>
      <c r="CM68" s="30">
        <v>505</v>
      </c>
    </row>
    <row r="69" spans="1:91" x14ac:dyDescent="0.25">
      <c r="A69" s="29" t="s">
        <v>35</v>
      </c>
      <c r="B69" s="30">
        <v>10</v>
      </c>
      <c r="C69" s="30">
        <v>13</v>
      </c>
      <c r="D69" s="30">
        <v>38</v>
      </c>
      <c r="E69" s="30">
        <v>11</v>
      </c>
      <c r="F69" s="30">
        <v>14</v>
      </c>
      <c r="G69" s="30">
        <v>41</v>
      </c>
      <c r="H69" s="30">
        <v>12</v>
      </c>
      <c r="I69" s="30">
        <v>16</v>
      </c>
      <c r="J69" s="30">
        <v>47</v>
      </c>
      <c r="K69" s="30">
        <v>14</v>
      </c>
      <c r="L69" s="30">
        <v>18</v>
      </c>
      <c r="M69" s="30">
        <v>54</v>
      </c>
      <c r="N69" s="30">
        <v>17</v>
      </c>
      <c r="O69" s="30">
        <v>21</v>
      </c>
      <c r="P69" s="30">
        <v>62</v>
      </c>
      <c r="Q69" s="30">
        <v>19</v>
      </c>
      <c r="R69" s="30">
        <v>24</v>
      </c>
      <c r="S69" s="30">
        <v>71</v>
      </c>
      <c r="T69" s="30">
        <v>22</v>
      </c>
      <c r="U69" s="30">
        <v>27</v>
      </c>
      <c r="V69" s="30">
        <v>81</v>
      </c>
      <c r="W69" s="30">
        <v>25</v>
      </c>
      <c r="X69" s="30">
        <v>31</v>
      </c>
      <c r="Y69" s="30">
        <v>92</v>
      </c>
      <c r="Z69" s="30">
        <v>28</v>
      </c>
      <c r="AA69" s="30">
        <v>34</v>
      </c>
      <c r="AB69" s="30">
        <v>103</v>
      </c>
      <c r="AC69" s="30">
        <v>31</v>
      </c>
      <c r="AD69" s="30">
        <v>38</v>
      </c>
      <c r="AE69" s="30">
        <v>115</v>
      </c>
      <c r="AF69" s="30">
        <v>34</v>
      </c>
      <c r="AG69" s="30">
        <v>43</v>
      </c>
      <c r="AH69" s="30">
        <v>128</v>
      </c>
      <c r="AI69" s="30">
        <v>38</v>
      </c>
      <c r="AJ69" s="30">
        <v>47</v>
      </c>
      <c r="AK69" s="30">
        <v>141</v>
      </c>
      <c r="AL69" s="30">
        <v>41</v>
      </c>
      <c r="AM69" s="30">
        <v>52</v>
      </c>
      <c r="AN69" s="30">
        <v>155</v>
      </c>
      <c r="AO69" s="30">
        <v>45</v>
      </c>
      <c r="AP69" s="30">
        <v>56</v>
      </c>
      <c r="AQ69" s="30">
        <v>169</v>
      </c>
      <c r="AR69" s="30">
        <v>49</v>
      </c>
      <c r="AS69" s="30">
        <v>61</v>
      </c>
      <c r="AT69" s="30">
        <v>183</v>
      </c>
      <c r="AU69" s="30">
        <v>53</v>
      </c>
      <c r="AV69" s="30">
        <v>66</v>
      </c>
      <c r="AW69" s="30">
        <v>198</v>
      </c>
      <c r="AX69" s="30">
        <v>57</v>
      </c>
      <c r="AY69" s="30">
        <v>71</v>
      </c>
      <c r="AZ69" s="30">
        <v>213</v>
      </c>
      <c r="BA69" s="30">
        <v>61</v>
      </c>
      <c r="BB69" s="30">
        <v>76</v>
      </c>
      <c r="BC69" s="30">
        <v>229</v>
      </c>
      <c r="BD69" s="30">
        <v>65</v>
      </c>
      <c r="BE69" s="30">
        <v>82</v>
      </c>
      <c r="BF69" s="30">
        <v>246</v>
      </c>
      <c r="BG69" s="30">
        <v>70</v>
      </c>
      <c r="BH69" s="30">
        <v>87</v>
      </c>
      <c r="BI69" s="30">
        <v>262</v>
      </c>
      <c r="BJ69" s="30">
        <v>74</v>
      </c>
      <c r="BK69" s="30">
        <v>93</v>
      </c>
      <c r="BL69" s="30">
        <v>279</v>
      </c>
      <c r="BM69" s="30">
        <v>79</v>
      </c>
      <c r="BN69" s="30">
        <v>99</v>
      </c>
      <c r="BO69" s="30">
        <v>296</v>
      </c>
      <c r="BP69" s="30">
        <v>84</v>
      </c>
      <c r="BQ69" s="30">
        <v>105</v>
      </c>
      <c r="BR69" s="30">
        <v>314</v>
      </c>
      <c r="BS69" s="30">
        <v>89</v>
      </c>
      <c r="BT69" s="30">
        <v>111</v>
      </c>
      <c r="BU69" s="30">
        <v>332</v>
      </c>
      <c r="BV69" s="30">
        <v>93</v>
      </c>
      <c r="BW69" s="30">
        <v>117</v>
      </c>
      <c r="BX69" s="30">
        <v>351</v>
      </c>
      <c r="BY69" s="30">
        <v>98</v>
      </c>
      <c r="BZ69" s="30">
        <v>123</v>
      </c>
      <c r="CA69" s="30">
        <v>369</v>
      </c>
      <c r="CB69" s="30">
        <v>104</v>
      </c>
      <c r="CC69" s="30">
        <v>129</v>
      </c>
      <c r="CD69" s="30">
        <v>388</v>
      </c>
      <c r="CE69" s="30">
        <v>109</v>
      </c>
      <c r="CF69" s="30">
        <v>136</v>
      </c>
      <c r="CG69" s="30">
        <v>408</v>
      </c>
      <c r="CH69" s="30">
        <v>114</v>
      </c>
      <c r="CI69" s="30">
        <v>142</v>
      </c>
      <c r="CJ69" s="30">
        <v>427</v>
      </c>
      <c r="CK69" s="30">
        <v>119</v>
      </c>
      <c r="CL69" s="30">
        <v>149</v>
      </c>
      <c r="CM69" s="30">
        <v>447</v>
      </c>
    </row>
    <row r="70" spans="1:91" x14ac:dyDescent="0.25">
      <c r="A70" s="29" t="s">
        <v>11</v>
      </c>
      <c r="B70" s="30">
        <v>12</v>
      </c>
      <c r="C70" s="30">
        <v>8</v>
      </c>
      <c r="D70" s="30">
        <v>4</v>
      </c>
      <c r="E70" s="30">
        <v>13</v>
      </c>
      <c r="F70" s="30">
        <v>9</v>
      </c>
      <c r="G70" s="30">
        <v>4</v>
      </c>
      <c r="H70" s="30">
        <v>15</v>
      </c>
      <c r="I70" s="30">
        <v>10</v>
      </c>
      <c r="J70" s="30">
        <v>5</v>
      </c>
      <c r="K70" s="30">
        <v>18</v>
      </c>
      <c r="L70" s="30">
        <v>12</v>
      </c>
      <c r="M70" s="30">
        <v>6</v>
      </c>
      <c r="N70" s="30">
        <v>21</v>
      </c>
      <c r="O70" s="30">
        <v>14</v>
      </c>
      <c r="P70" s="30">
        <v>7</v>
      </c>
      <c r="Q70" s="30">
        <v>24</v>
      </c>
      <c r="R70" s="30">
        <v>16</v>
      </c>
      <c r="S70" s="30">
        <v>8</v>
      </c>
      <c r="T70" s="30">
        <v>27</v>
      </c>
      <c r="U70" s="30">
        <v>18</v>
      </c>
      <c r="V70" s="30">
        <v>9</v>
      </c>
      <c r="W70" s="30">
        <v>31</v>
      </c>
      <c r="X70" s="30">
        <v>21</v>
      </c>
      <c r="Y70" s="30">
        <v>10</v>
      </c>
      <c r="Z70" s="30">
        <v>35</v>
      </c>
      <c r="AA70" s="30">
        <v>23</v>
      </c>
      <c r="AB70" s="30">
        <v>12</v>
      </c>
      <c r="AC70" s="30">
        <v>39</v>
      </c>
      <c r="AD70" s="30">
        <v>26</v>
      </c>
      <c r="AE70" s="30">
        <v>13</v>
      </c>
      <c r="AF70" s="30">
        <v>43</v>
      </c>
      <c r="AG70" s="30">
        <v>29</v>
      </c>
      <c r="AH70" s="30">
        <v>14</v>
      </c>
      <c r="AI70" s="30">
        <v>48</v>
      </c>
      <c r="AJ70" s="30">
        <v>32</v>
      </c>
      <c r="AK70" s="30">
        <v>16</v>
      </c>
      <c r="AL70" s="30">
        <v>52</v>
      </c>
      <c r="AM70" s="30">
        <v>35</v>
      </c>
      <c r="AN70" s="30">
        <v>17</v>
      </c>
      <c r="AO70" s="30">
        <v>57</v>
      </c>
      <c r="AP70" s="30">
        <v>38</v>
      </c>
      <c r="AQ70" s="30">
        <v>19</v>
      </c>
      <c r="AR70" s="30">
        <v>62</v>
      </c>
      <c r="AS70" s="30">
        <v>41</v>
      </c>
      <c r="AT70" s="30">
        <v>21</v>
      </c>
      <c r="AU70" s="30">
        <v>67</v>
      </c>
      <c r="AV70" s="30">
        <v>45</v>
      </c>
      <c r="AW70" s="30">
        <v>22</v>
      </c>
      <c r="AX70" s="30">
        <v>72</v>
      </c>
      <c r="AY70" s="30">
        <v>48</v>
      </c>
      <c r="AZ70" s="30">
        <v>24</v>
      </c>
      <c r="BA70" s="30">
        <v>77</v>
      </c>
      <c r="BB70" s="30">
        <v>52</v>
      </c>
      <c r="BC70" s="30">
        <v>26</v>
      </c>
      <c r="BD70" s="30">
        <v>83</v>
      </c>
      <c r="BE70" s="30">
        <v>55</v>
      </c>
      <c r="BF70" s="30">
        <v>28</v>
      </c>
      <c r="BG70" s="30">
        <v>88</v>
      </c>
      <c r="BH70" s="30">
        <v>59</v>
      </c>
      <c r="BI70" s="30">
        <v>29</v>
      </c>
      <c r="BJ70" s="30">
        <v>94</v>
      </c>
      <c r="BK70" s="30">
        <v>63</v>
      </c>
      <c r="BL70" s="30">
        <v>31</v>
      </c>
      <c r="BM70" s="30">
        <v>100</v>
      </c>
      <c r="BN70" s="30">
        <v>67</v>
      </c>
      <c r="BO70" s="30">
        <v>33</v>
      </c>
      <c r="BP70" s="30">
        <v>106</v>
      </c>
      <c r="BQ70" s="30">
        <v>71</v>
      </c>
      <c r="BR70" s="30">
        <v>35</v>
      </c>
      <c r="BS70" s="30">
        <v>112</v>
      </c>
      <c r="BT70" s="30">
        <v>75</v>
      </c>
      <c r="BU70" s="30">
        <v>37</v>
      </c>
      <c r="BV70" s="30">
        <v>118</v>
      </c>
      <c r="BW70" s="30">
        <v>79</v>
      </c>
      <c r="BX70" s="30">
        <v>39</v>
      </c>
      <c r="BY70" s="30">
        <v>124</v>
      </c>
      <c r="BZ70" s="30">
        <v>83</v>
      </c>
      <c r="CA70" s="30">
        <v>41</v>
      </c>
      <c r="CB70" s="30">
        <v>131</v>
      </c>
      <c r="CC70" s="30">
        <v>87</v>
      </c>
      <c r="CD70" s="30">
        <v>44</v>
      </c>
      <c r="CE70" s="30">
        <v>137</v>
      </c>
      <c r="CF70" s="30">
        <v>91</v>
      </c>
      <c r="CG70" s="30">
        <v>46</v>
      </c>
      <c r="CH70" s="30">
        <v>144</v>
      </c>
      <c r="CI70" s="30">
        <v>96</v>
      </c>
      <c r="CJ70" s="30">
        <v>48</v>
      </c>
      <c r="CK70" s="30">
        <v>150</v>
      </c>
      <c r="CL70" s="30">
        <v>100</v>
      </c>
      <c r="CM70" s="30">
        <v>50</v>
      </c>
    </row>
    <row r="71" spans="1:91" x14ac:dyDescent="0.25">
      <c r="A71" s="29" t="s">
        <v>36</v>
      </c>
      <c r="B71" s="30">
        <v>18</v>
      </c>
      <c r="C71" s="30">
        <v>15</v>
      </c>
      <c r="D71" s="30">
        <v>28</v>
      </c>
      <c r="E71" s="30">
        <v>19</v>
      </c>
      <c r="F71" s="30">
        <v>16</v>
      </c>
      <c r="G71" s="30">
        <v>30</v>
      </c>
      <c r="H71" s="30">
        <v>22</v>
      </c>
      <c r="I71" s="30">
        <v>19</v>
      </c>
      <c r="J71" s="30">
        <v>34</v>
      </c>
      <c r="K71" s="30">
        <v>25</v>
      </c>
      <c r="L71" s="30">
        <v>22</v>
      </c>
      <c r="M71" s="30">
        <v>39</v>
      </c>
      <c r="N71" s="30">
        <v>29</v>
      </c>
      <c r="O71" s="30">
        <v>25</v>
      </c>
      <c r="P71" s="30">
        <v>46</v>
      </c>
      <c r="Q71" s="30">
        <v>33</v>
      </c>
      <c r="R71" s="30">
        <v>29</v>
      </c>
      <c r="S71" s="30">
        <v>52</v>
      </c>
      <c r="T71" s="30">
        <v>38</v>
      </c>
      <c r="U71" s="30">
        <v>32</v>
      </c>
      <c r="V71" s="30">
        <v>60</v>
      </c>
      <c r="W71" s="30">
        <v>43</v>
      </c>
      <c r="X71" s="30">
        <v>37</v>
      </c>
      <c r="Y71" s="30">
        <v>67</v>
      </c>
      <c r="Z71" s="30">
        <v>48</v>
      </c>
      <c r="AA71" s="30">
        <v>41</v>
      </c>
      <c r="AB71" s="30">
        <v>76</v>
      </c>
      <c r="AC71" s="30">
        <v>54</v>
      </c>
      <c r="AD71" s="30">
        <v>46</v>
      </c>
      <c r="AE71" s="30">
        <v>84</v>
      </c>
      <c r="AF71" s="30">
        <v>60</v>
      </c>
      <c r="AG71" s="30">
        <v>51</v>
      </c>
      <c r="AH71" s="30">
        <v>94</v>
      </c>
      <c r="AI71" s="30">
        <v>66</v>
      </c>
      <c r="AJ71" s="30">
        <v>56</v>
      </c>
      <c r="AK71" s="30">
        <v>103</v>
      </c>
      <c r="AL71" s="30">
        <v>72</v>
      </c>
      <c r="AM71" s="30">
        <v>62</v>
      </c>
      <c r="AN71" s="30">
        <v>113</v>
      </c>
      <c r="AO71" s="30">
        <v>79</v>
      </c>
      <c r="AP71" s="30">
        <v>67</v>
      </c>
      <c r="AQ71" s="30">
        <v>124</v>
      </c>
      <c r="AR71" s="30">
        <v>85</v>
      </c>
      <c r="AS71" s="30">
        <v>73</v>
      </c>
      <c r="AT71" s="30">
        <v>134</v>
      </c>
      <c r="AU71" s="30">
        <v>92</v>
      </c>
      <c r="AV71" s="30">
        <v>79</v>
      </c>
      <c r="AW71" s="30">
        <v>145</v>
      </c>
      <c r="AX71" s="30">
        <v>100</v>
      </c>
      <c r="AY71" s="30">
        <v>85</v>
      </c>
      <c r="AZ71" s="30">
        <v>157</v>
      </c>
      <c r="BA71" s="30">
        <v>107</v>
      </c>
      <c r="BB71" s="30">
        <v>92</v>
      </c>
      <c r="BC71" s="30">
        <v>168</v>
      </c>
      <c r="BD71" s="30">
        <v>115</v>
      </c>
      <c r="BE71" s="30">
        <v>98</v>
      </c>
      <c r="BF71" s="30">
        <v>180</v>
      </c>
      <c r="BG71" s="30">
        <v>122</v>
      </c>
      <c r="BH71" s="30">
        <v>105</v>
      </c>
      <c r="BI71" s="30">
        <v>192</v>
      </c>
      <c r="BJ71" s="30">
        <v>130</v>
      </c>
      <c r="BK71" s="30">
        <v>112</v>
      </c>
      <c r="BL71" s="30">
        <v>205</v>
      </c>
      <c r="BM71" s="30">
        <v>138</v>
      </c>
      <c r="BN71" s="30">
        <v>119</v>
      </c>
      <c r="BO71" s="30">
        <v>217</v>
      </c>
      <c r="BP71" s="30">
        <v>147</v>
      </c>
      <c r="BQ71" s="30">
        <v>126</v>
      </c>
      <c r="BR71" s="30">
        <v>230</v>
      </c>
      <c r="BS71" s="30">
        <v>155</v>
      </c>
      <c r="BT71" s="30">
        <v>133</v>
      </c>
      <c r="BU71" s="30">
        <v>244</v>
      </c>
      <c r="BV71" s="30">
        <v>164</v>
      </c>
      <c r="BW71" s="30">
        <v>140</v>
      </c>
      <c r="BX71" s="30">
        <v>257</v>
      </c>
      <c r="BY71" s="30">
        <v>172</v>
      </c>
      <c r="BZ71" s="30">
        <v>148</v>
      </c>
      <c r="CA71" s="30">
        <v>271</v>
      </c>
      <c r="CB71" s="30">
        <v>181</v>
      </c>
      <c r="CC71" s="30">
        <v>155</v>
      </c>
      <c r="CD71" s="30">
        <v>285</v>
      </c>
      <c r="CE71" s="30">
        <v>190</v>
      </c>
      <c r="CF71" s="30">
        <v>163</v>
      </c>
      <c r="CG71" s="30">
        <v>299</v>
      </c>
      <c r="CH71" s="30">
        <v>199</v>
      </c>
      <c r="CI71" s="30">
        <v>171</v>
      </c>
      <c r="CJ71" s="30">
        <v>313</v>
      </c>
      <c r="CK71" s="30">
        <v>209</v>
      </c>
      <c r="CL71" s="30">
        <v>179</v>
      </c>
      <c r="CM71" s="30">
        <v>328</v>
      </c>
    </row>
    <row r="72" spans="1:91" x14ac:dyDescent="0.25">
      <c r="A72" s="29" t="s">
        <v>69</v>
      </c>
      <c r="B72" s="30">
        <v>216</v>
      </c>
      <c r="C72" s="30">
        <v>36</v>
      </c>
      <c r="D72" s="30">
        <v>36</v>
      </c>
      <c r="E72" s="30">
        <v>234</v>
      </c>
      <c r="F72" s="30">
        <v>39</v>
      </c>
      <c r="G72" s="30">
        <v>39</v>
      </c>
      <c r="H72" s="30">
        <v>265</v>
      </c>
      <c r="I72" s="30">
        <v>44</v>
      </c>
      <c r="J72" s="30">
        <v>44</v>
      </c>
      <c r="K72" s="30">
        <v>302</v>
      </c>
      <c r="L72" s="30">
        <v>50</v>
      </c>
      <c r="M72" s="30">
        <v>50</v>
      </c>
      <c r="N72" s="30">
        <v>344</v>
      </c>
      <c r="O72" s="30">
        <v>57</v>
      </c>
      <c r="P72" s="30">
        <v>57</v>
      </c>
      <c r="Q72" s="30">
        <v>392</v>
      </c>
      <c r="R72" s="30">
        <v>65</v>
      </c>
      <c r="S72" s="30">
        <v>65</v>
      </c>
      <c r="T72" s="30">
        <v>442</v>
      </c>
      <c r="U72" s="30">
        <v>74</v>
      </c>
      <c r="V72" s="30">
        <v>74</v>
      </c>
      <c r="W72" s="30">
        <v>497</v>
      </c>
      <c r="X72" s="30">
        <v>83</v>
      </c>
      <c r="Y72" s="30">
        <v>83</v>
      </c>
      <c r="Z72" s="30">
        <v>555</v>
      </c>
      <c r="AA72" s="30">
        <v>92</v>
      </c>
      <c r="AB72" s="30">
        <v>92</v>
      </c>
      <c r="AC72" s="30">
        <v>615</v>
      </c>
      <c r="AD72" s="30">
        <v>103</v>
      </c>
      <c r="AE72" s="30">
        <v>103</v>
      </c>
      <c r="AF72" s="30">
        <v>679</v>
      </c>
      <c r="AG72" s="30">
        <v>113</v>
      </c>
      <c r="AH72" s="30">
        <v>113</v>
      </c>
      <c r="AI72" s="30">
        <v>745</v>
      </c>
      <c r="AJ72" s="30">
        <v>124</v>
      </c>
      <c r="AK72" s="30">
        <v>124</v>
      </c>
      <c r="AL72" s="30">
        <v>814</v>
      </c>
      <c r="AM72" s="30">
        <v>136</v>
      </c>
      <c r="AN72" s="30">
        <v>136</v>
      </c>
      <c r="AO72" s="30">
        <v>885</v>
      </c>
      <c r="AP72" s="30">
        <v>147</v>
      </c>
      <c r="AQ72" s="30">
        <v>147</v>
      </c>
      <c r="AR72" s="30">
        <v>958</v>
      </c>
      <c r="AS72" s="30">
        <v>160</v>
      </c>
      <c r="AT72" s="30">
        <v>160</v>
      </c>
      <c r="AU72" s="30">
        <v>1033</v>
      </c>
      <c r="AV72" s="30">
        <v>172</v>
      </c>
      <c r="AW72" s="30">
        <v>172</v>
      </c>
      <c r="AX72" s="30">
        <v>1110</v>
      </c>
      <c r="AY72" s="30">
        <v>185</v>
      </c>
      <c r="AZ72" s="30">
        <v>185</v>
      </c>
      <c r="BA72" s="30">
        <v>1189</v>
      </c>
      <c r="BB72" s="30">
        <v>198</v>
      </c>
      <c r="BC72" s="30">
        <v>198</v>
      </c>
      <c r="BD72" s="30">
        <v>1270</v>
      </c>
      <c r="BE72" s="30">
        <v>212</v>
      </c>
      <c r="BF72" s="30">
        <v>212</v>
      </c>
      <c r="BG72" s="30">
        <v>1353</v>
      </c>
      <c r="BH72" s="30">
        <v>226</v>
      </c>
      <c r="BI72" s="30">
        <v>226</v>
      </c>
      <c r="BJ72" s="30">
        <v>1438</v>
      </c>
      <c r="BK72" s="30">
        <v>240</v>
      </c>
      <c r="BL72" s="30">
        <v>240</v>
      </c>
      <c r="BM72" s="30">
        <v>1524</v>
      </c>
      <c r="BN72" s="30">
        <v>254</v>
      </c>
      <c r="BO72" s="30">
        <v>254</v>
      </c>
      <c r="BP72" s="30">
        <v>1612</v>
      </c>
      <c r="BQ72" s="30">
        <v>269</v>
      </c>
      <c r="BR72" s="30">
        <v>269</v>
      </c>
      <c r="BS72" s="30">
        <v>1702</v>
      </c>
      <c r="BT72" s="30">
        <v>284</v>
      </c>
      <c r="BU72" s="30">
        <v>284</v>
      </c>
      <c r="BV72" s="30">
        <v>1793</v>
      </c>
      <c r="BW72" s="30">
        <v>299</v>
      </c>
      <c r="BX72" s="30">
        <v>299</v>
      </c>
      <c r="BY72" s="30">
        <v>1886</v>
      </c>
      <c r="BZ72" s="30">
        <v>314</v>
      </c>
      <c r="CA72" s="30">
        <v>314</v>
      </c>
      <c r="CB72" s="30">
        <v>1980</v>
      </c>
      <c r="CC72" s="30">
        <v>330</v>
      </c>
      <c r="CD72" s="30">
        <v>330</v>
      </c>
      <c r="CE72" s="30">
        <v>2076</v>
      </c>
      <c r="CF72" s="30">
        <v>346</v>
      </c>
      <c r="CG72" s="30">
        <v>346</v>
      </c>
      <c r="CH72" s="30">
        <v>2173</v>
      </c>
      <c r="CI72" s="30">
        <v>362</v>
      </c>
      <c r="CJ72" s="30">
        <v>362</v>
      </c>
      <c r="CK72" s="30">
        <v>2272</v>
      </c>
      <c r="CL72" s="30">
        <v>379</v>
      </c>
      <c r="CM72" s="30">
        <v>379</v>
      </c>
    </row>
    <row r="73" spans="1:91" x14ac:dyDescent="0.25">
      <c r="A73" s="29" t="s">
        <v>60</v>
      </c>
      <c r="B73" s="30">
        <v>40</v>
      </c>
      <c r="C73" s="30">
        <v>10</v>
      </c>
      <c r="D73" s="30">
        <v>70</v>
      </c>
      <c r="E73" s="30">
        <v>44</v>
      </c>
      <c r="F73" s="30">
        <v>11</v>
      </c>
      <c r="G73" s="30">
        <v>77</v>
      </c>
      <c r="H73" s="30">
        <v>52</v>
      </c>
      <c r="I73" s="30">
        <v>13</v>
      </c>
      <c r="J73" s="30">
        <v>90</v>
      </c>
      <c r="K73" s="30">
        <v>61</v>
      </c>
      <c r="L73" s="30">
        <v>15</v>
      </c>
      <c r="M73" s="30">
        <v>106</v>
      </c>
      <c r="N73" s="30">
        <v>71</v>
      </c>
      <c r="O73" s="30">
        <v>18</v>
      </c>
      <c r="P73" s="30">
        <v>125</v>
      </c>
      <c r="Q73" s="30">
        <v>83</v>
      </c>
      <c r="R73" s="30">
        <v>21</v>
      </c>
      <c r="S73" s="30">
        <v>146</v>
      </c>
      <c r="T73" s="30">
        <v>96</v>
      </c>
      <c r="U73" s="30">
        <v>24</v>
      </c>
      <c r="V73" s="30">
        <v>169</v>
      </c>
      <c r="W73" s="30">
        <v>110</v>
      </c>
      <c r="X73" s="30">
        <v>28</v>
      </c>
      <c r="Y73" s="30">
        <v>193</v>
      </c>
      <c r="Z73" s="30">
        <v>125</v>
      </c>
      <c r="AA73" s="30">
        <v>31</v>
      </c>
      <c r="AB73" s="30">
        <v>219</v>
      </c>
      <c r="AC73" s="30">
        <v>141</v>
      </c>
      <c r="AD73" s="30">
        <v>35</v>
      </c>
      <c r="AE73" s="30">
        <v>247</v>
      </c>
      <c r="AF73" s="30">
        <v>158</v>
      </c>
      <c r="AG73" s="30">
        <v>39</v>
      </c>
      <c r="AH73" s="30">
        <v>276</v>
      </c>
      <c r="AI73" s="30">
        <v>175</v>
      </c>
      <c r="AJ73" s="30">
        <v>44</v>
      </c>
      <c r="AK73" s="30">
        <v>306</v>
      </c>
      <c r="AL73" s="30">
        <v>193</v>
      </c>
      <c r="AM73" s="30">
        <v>48</v>
      </c>
      <c r="AN73" s="30">
        <v>338</v>
      </c>
      <c r="AO73" s="30">
        <v>212</v>
      </c>
      <c r="AP73" s="30">
        <v>53</v>
      </c>
      <c r="AQ73" s="30">
        <v>370</v>
      </c>
      <c r="AR73" s="30">
        <v>231</v>
      </c>
      <c r="AS73" s="30">
        <v>58</v>
      </c>
      <c r="AT73" s="30">
        <v>404</v>
      </c>
      <c r="AU73" s="30">
        <v>251</v>
      </c>
      <c r="AV73" s="30">
        <v>63</v>
      </c>
      <c r="AW73" s="30">
        <v>439</v>
      </c>
      <c r="AX73" s="30">
        <v>271</v>
      </c>
      <c r="AY73" s="30">
        <v>68</v>
      </c>
      <c r="AZ73" s="30">
        <v>475</v>
      </c>
      <c r="BA73" s="30">
        <v>293</v>
      </c>
      <c r="BB73" s="30">
        <v>73</v>
      </c>
      <c r="BC73" s="30">
        <v>512</v>
      </c>
      <c r="BD73" s="30">
        <v>314</v>
      </c>
      <c r="BE73" s="30">
        <v>79</v>
      </c>
      <c r="BF73" s="30">
        <v>550</v>
      </c>
      <c r="BG73" s="30">
        <v>336</v>
      </c>
      <c r="BH73" s="30">
        <v>84</v>
      </c>
      <c r="BI73" s="30">
        <v>589</v>
      </c>
      <c r="BJ73" s="30">
        <v>359</v>
      </c>
      <c r="BK73" s="30">
        <v>90</v>
      </c>
      <c r="BL73" s="30">
        <v>629</v>
      </c>
      <c r="BM73" s="30">
        <v>382</v>
      </c>
      <c r="BN73" s="30">
        <v>96</v>
      </c>
      <c r="BO73" s="30">
        <v>669</v>
      </c>
      <c r="BP73" s="30">
        <v>406</v>
      </c>
      <c r="BQ73" s="30">
        <v>102</v>
      </c>
      <c r="BR73" s="30">
        <v>711</v>
      </c>
      <c r="BS73" s="30">
        <v>430</v>
      </c>
      <c r="BT73" s="30">
        <v>108</v>
      </c>
      <c r="BU73" s="30">
        <v>753</v>
      </c>
      <c r="BV73" s="30">
        <v>455</v>
      </c>
      <c r="BW73" s="30">
        <v>114</v>
      </c>
      <c r="BX73" s="30">
        <v>796</v>
      </c>
      <c r="BY73" s="30">
        <v>480</v>
      </c>
      <c r="BZ73" s="30">
        <v>120</v>
      </c>
      <c r="CA73" s="30">
        <v>840</v>
      </c>
      <c r="CB73" s="30">
        <v>506</v>
      </c>
      <c r="CC73" s="30">
        <v>126</v>
      </c>
      <c r="CD73" s="30">
        <v>885</v>
      </c>
      <c r="CE73" s="30">
        <v>532</v>
      </c>
      <c r="CF73" s="30">
        <v>133</v>
      </c>
      <c r="CG73" s="30">
        <v>931</v>
      </c>
      <c r="CH73" s="30">
        <v>558</v>
      </c>
      <c r="CI73" s="30">
        <v>140</v>
      </c>
      <c r="CJ73" s="30">
        <v>977</v>
      </c>
      <c r="CK73" s="30">
        <v>585</v>
      </c>
      <c r="CL73" s="30">
        <v>146</v>
      </c>
      <c r="CM73" s="30">
        <v>1024</v>
      </c>
    </row>
    <row r="74" spans="1:91" x14ac:dyDescent="0.25">
      <c r="A74" s="29" t="s">
        <v>61</v>
      </c>
      <c r="B74" s="30">
        <v>50</v>
      </c>
      <c r="C74" s="30">
        <v>20</v>
      </c>
      <c r="D74" s="30">
        <v>50</v>
      </c>
      <c r="E74" s="30">
        <v>55</v>
      </c>
      <c r="F74" s="30">
        <v>22</v>
      </c>
      <c r="G74" s="30">
        <v>55</v>
      </c>
      <c r="H74" s="30">
        <v>65</v>
      </c>
      <c r="I74" s="30">
        <v>26</v>
      </c>
      <c r="J74" s="30">
        <v>65</v>
      </c>
      <c r="K74" s="30">
        <v>76</v>
      </c>
      <c r="L74" s="30">
        <v>30</v>
      </c>
      <c r="M74" s="30">
        <v>76</v>
      </c>
      <c r="N74" s="30">
        <v>89</v>
      </c>
      <c r="O74" s="30">
        <v>36</v>
      </c>
      <c r="P74" s="30">
        <v>89</v>
      </c>
      <c r="Q74" s="30">
        <v>104</v>
      </c>
      <c r="R74" s="30">
        <v>42</v>
      </c>
      <c r="S74" s="30">
        <v>104</v>
      </c>
      <c r="T74" s="30">
        <v>121</v>
      </c>
      <c r="U74" s="30">
        <v>48</v>
      </c>
      <c r="V74" s="30">
        <v>121</v>
      </c>
      <c r="W74" s="30">
        <v>138</v>
      </c>
      <c r="X74" s="30">
        <v>55</v>
      </c>
      <c r="Y74" s="30">
        <v>138</v>
      </c>
      <c r="Z74" s="30">
        <v>157</v>
      </c>
      <c r="AA74" s="30">
        <v>63</v>
      </c>
      <c r="AB74" s="30">
        <v>157</v>
      </c>
      <c r="AC74" s="30">
        <v>176</v>
      </c>
      <c r="AD74" s="30">
        <v>71</v>
      </c>
      <c r="AE74" s="30">
        <v>176</v>
      </c>
      <c r="AF74" s="30">
        <v>197</v>
      </c>
      <c r="AG74" s="30">
        <v>79</v>
      </c>
      <c r="AH74" s="30">
        <v>197</v>
      </c>
      <c r="AI74" s="30">
        <v>219</v>
      </c>
      <c r="AJ74" s="30">
        <v>87</v>
      </c>
      <c r="AK74" s="30">
        <v>219</v>
      </c>
      <c r="AL74" s="30">
        <v>241</v>
      </c>
      <c r="AM74" s="30">
        <v>96</v>
      </c>
      <c r="AN74" s="30">
        <v>241</v>
      </c>
      <c r="AO74" s="30">
        <v>265</v>
      </c>
      <c r="AP74" s="30">
        <v>106</v>
      </c>
      <c r="AQ74" s="30">
        <v>265</v>
      </c>
      <c r="AR74" s="30">
        <v>289</v>
      </c>
      <c r="AS74" s="30">
        <v>115</v>
      </c>
      <c r="AT74" s="30">
        <v>289</v>
      </c>
      <c r="AU74" s="30">
        <v>314</v>
      </c>
      <c r="AV74" s="30">
        <v>125</v>
      </c>
      <c r="AW74" s="30">
        <v>314</v>
      </c>
      <c r="AX74" s="30">
        <v>339</v>
      </c>
      <c r="AY74" s="30">
        <v>136</v>
      </c>
      <c r="AZ74" s="30">
        <v>339</v>
      </c>
      <c r="BA74" s="30">
        <v>366</v>
      </c>
      <c r="BB74" s="30">
        <v>146</v>
      </c>
      <c r="BC74" s="30">
        <v>366</v>
      </c>
      <c r="BD74" s="30">
        <v>393</v>
      </c>
      <c r="BE74" s="30">
        <v>157</v>
      </c>
      <c r="BF74" s="30">
        <v>393</v>
      </c>
      <c r="BG74" s="30">
        <v>421</v>
      </c>
      <c r="BH74" s="30">
        <v>168</v>
      </c>
      <c r="BI74" s="30">
        <v>421</v>
      </c>
      <c r="BJ74" s="30">
        <v>449</v>
      </c>
      <c r="BK74" s="30">
        <v>180</v>
      </c>
      <c r="BL74" s="30">
        <v>449</v>
      </c>
      <c r="BM74" s="30">
        <v>478</v>
      </c>
      <c r="BN74" s="30">
        <v>191</v>
      </c>
      <c r="BO74" s="30">
        <v>478</v>
      </c>
      <c r="BP74" s="30">
        <v>508</v>
      </c>
      <c r="BQ74" s="30">
        <v>203</v>
      </c>
      <c r="BR74" s="30">
        <v>508</v>
      </c>
      <c r="BS74" s="30">
        <v>538</v>
      </c>
      <c r="BT74" s="30">
        <v>215</v>
      </c>
      <c r="BU74" s="30">
        <v>538</v>
      </c>
      <c r="BV74" s="30">
        <v>569</v>
      </c>
      <c r="BW74" s="30">
        <v>228</v>
      </c>
      <c r="BX74" s="30">
        <v>569</v>
      </c>
      <c r="BY74" s="30">
        <v>600</v>
      </c>
      <c r="BZ74" s="30">
        <v>240</v>
      </c>
      <c r="CA74" s="30">
        <v>600</v>
      </c>
      <c r="CB74" s="30">
        <v>632</v>
      </c>
      <c r="CC74" s="30">
        <v>253</v>
      </c>
      <c r="CD74" s="30">
        <v>632</v>
      </c>
      <c r="CE74" s="30">
        <v>665</v>
      </c>
      <c r="CF74" s="30">
        <v>266</v>
      </c>
      <c r="CG74" s="30">
        <v>665</v>
      </c>
      <c r="CH74" s="30">
        <v>698</v>
      </c>
      <c r="CI74" s="30">
        <v>279</v>
      </c>
      <c r="CJ74" s="30">
        <v>698</v>
      </c>
      <c r="CK74" s="30">
        <v>731</v>
      </c>
      <c r="CL74" s="30">
        <v>293</v>
      </c>
      <c r="CM74" s="30">
        <v>731</v>
      </c>
    </row>
    <row r="75" spans="1:91" x14ac:dyDescent="0.25">
      <c r="A75" s="29" t="s">
        <v>100</v>
      </c>
      <c r="B75" s="30">
        <v>10</v>
      </c>
      <c r="C75" s="30">
        <v>35</v>
      </c>
      <c r="D75" s="30">
        <v>75</v>
      </c>
      <c r="E75" s="30">
        <v>11</v>
      </c>
      <c r="F75" s="30">
        <v>39</v>
      </c>
      <c r="G75" s="30">
        <v>83</v>
      </c>
      <c r="H75" s="30">
        <v>13</v>
      </c>
      <c r="I75" s="30">
        <v>45</v>
      </c>
      <c r="J75" s="30">
        <v>97</v>
      </c>
      <c r="K75" s="30">
        <v>15</v>
      </c>
      <c r="L75" s="30">
        <v>53</v>
      </c>
      <c r="M75" s="30">
        <v>114</v>
      </c>
      <c r="N75" s="30">
        <v>18</v>
      </c>
      <c r="O75" s="30">
        <v>63</v>
      </c>
      <c r="P75" s="30">
        <v>134</v>
      </c>
      <c r="Q75" s="30">
        <v>21</v>
      </c>
      <c r="R75" s="30">
        <v>73</v>
      </c>
      <c r="S75" s="30">
        <v>156</v>
      </c>
      <c r="T75" s="30">
        <v>24</v>
      </c>
      <c r="U75" s="30">
        <v>84</v>
      </c>
      <c r="V75" s="30">
        <v>181</v>
      </c>
      <c r="W75" s="30">
        <v>28</v>
      </c>
      <c r="X75" s="30">
        <v>97</v>
      </c>
      <c r="Y75" s="30">
        <v>207</v>
      </c>
      <c r="Z75" s="30">
        <v>31</v>
      </c>
      <c r="AA75" s="30">
        <v>110</v>
      </c>
      <c r="AB75" s="30">
        <v>235</v>
      </c>
      <c r="AC75" s="30">
        <v>35</v>
      </c>
      <c r="AD75" s="30">
        <v>123</v>
      </c>
      <c r="AE75" s="30">
        <v>265</v>
      </c>
      <c r="AF75" s="30">
        <v>39</v>
      </c>
      <c r="AG75" s="30">
        <v>138</v>
      </c>
      <c r="AH75" s="30">
        <v>296</v>
      </c>
      <c r="AI75" s="30">
        <v>44</v>
      </c>
      <c r="AJ75" s="30">
        <v>153</v>
      </c>
      <c r="AK75" s="30">
        <v>328</v>
      </c>
      <c r="AL75" s="30">
        <v>48</v>
      </c>
      <c r="AM75" s="30">
        <v>169</v>
      </c>
      <c r="AN75" s="30">
        <v>362</v>
      </c>
      <c r="AO75" s="30">
        <v>53</v>
      </c>
      <c r="AP75" s="30">
        <v>185</v>
      </c>
      <c r="AQ75" s="30">
        <v>397</v>
      </c>
      <c r="AR75" s="30">
        <v>58</v>
      </c>
      <c r="AS75" s="30">
        <v>202</v>
      </c>
      <c r="AT75" s="30">
        <v>433</v>
      </c>
      <c r="AU75" s="30">
        <v>63</v>
      </c>
      <c r="AV75" s="30">
        <v>220</v>
      </c>
      <c r="AW75" s="30">
        <v>471</v>
      </c>
      <c r="AX75" s="30">
        <v>68</v>
      </c>
      <c r="AY75" s="30">
        <v>238</v>
      </c>
      <c r="AZ75" s="30">
        <v>509</v>
      </c>
      <c r="BA75" s="30">
        <v>73</v>
      </c>
      <c r="BB75" s="30">
        <v>256</v>
      </c>
      <c r="BC75" s="30">
        <v>549</v>
      </c>
      <c r="BD75" s="30">
        <v>79</v>
      </c>
      <c r="BE75" s="30">
        <v>275</v>
      </c>
      <c r="BF75" s="30">
        <v>589</v>
      </c>
      <c r="BG75" s="30">
        <v>84</v>
      </c>
      <c r="BH75" s="30">
        <v>294</v>
      </c>
      <c r="BI75" s="30">
        <v>631</v>
      </c>
      <c r="BJ75" s="30">
        <v>90</v>
      </c>
      <c r="BK75" s="30">
        <v>314</v>
      </c>
      <c r="BL75" s="30">
        <v>674</v>
      </c>
      <c r="BM75" s="30">
        <v>96</v>
      </c>
      <c r="BN75" s="30">
        <v>335</v>
      </c>
      <c r="BO75" s="30">
        <v>717</v>
      </c>
      <c r="BP75" s="30">
        <v>102</v>
      </c>
      <c r="BQ75" s="30">
        <v>355</v>
      </c>
      <c r="BR75" s="30">
        <v>762</v>
      </c>
      <c r="BS75" s="30">
        <v>108</v>
      </c>
      <c r="BT75" s="30">
        <v>377</v>
      </c>
      <c r="BU75" s="30">
        <v>807</v>
      </c>
      <c r="BV75" s="30">
        <v>114</v>
      </c>
      <c r="BW75" s="30">
        <v>398</v>
      </c>
      <c r="BX75" s="30">
        <v>853</v>
      </c>
      <c r="BY75" s="30">
        <v>120</v>
      </c>
      <c r="BZ75" s="30">
        <v>420</v>
      </c>
      <c r="CA75" s="30">
        <v>900</v>
      </c>
      <c r="CB75" s="30">
        <v>126</v>
      </c>
      <c r="CC75" s="30">
        <v>443</v>
      </c>
      <c r="CD75" s="30">
        <v>948</v>
      </c>
      <c r="CE75" s="30">
        <v>133</v>
      </c>
      <c r="CF75" s="30">
        <v>465</v>
      </c>
      <c r="CG75" s="30">
        <v>997</v>
      </c>
      <c r="CH75" s="30">
        <v>140</v>
      </c>
      <c r="CI75" s="30">
        <v>488</v>
      </c>
      <c r="CJ75" s="30">
        <v>1047</v>
      </c>
      <c r="CK75" s="30">
        <v>146</v>
      </c>
      <c r="CL75" s="30">
        <v>512</v>
      </c>
      <c r="CM75" s="30">
        <v>1097</v>
      </c>
    </row>
    <row r="76" spans="1:91" x14ac:dyDescent="0.25">
      <c r="A76" s="29" t="s">
        <v>94</v>
      </c>
      <c r="B76" s="30">
        <v>20</v>
      </c>
      <c r="C76" s="30">
        <v>23</v>
      </c>
      <c r="D76" s="30">
        <v>18</v>
      </c>
      <c r="E76" s="30">
        <v>22</v>
      </c>
      <c r="F76" s="30">
        <v>25</v>
      </c>
      <c r="G76" s="30">
        <v>19</v>
      </c>
      <c r="H76" s="30">
        <v>25</v>
      </c>
      <c r="I76" s="30">
        <v>28</v>
      </c>
      <c r="J76" s="30">
        <v>22</v>
      </c>
      <c r="K76" s="30">
        <v>29</v>
      </c>
      <c r="L76" s="30">
        <v>32</v>
      </c>
      <c r="M76" s="30">
        <v>25</v>
      </c>
      <c r="N76" s="30">
        <v>33</v>
      </c>
      <c r="O76" s="30">
        <v>37</v>
      </c>
      <c r="P76" s="30">
        <v>29</v>
      </c>
      <c r="Q76" s="30">
        <v>38</v>
      </c>
      <c r="R76" s="30">
        <v>43</v>
      </c>
      <c r="S76" s="30">
        <v>33</v>
      </c>
      <c r="T76" s="30">
        <v>43</v>
      </c>
      <c r="U76" s="30">
        <v>49</v>
      </c>
      <c r="V76" s="30">
        <v>38</v>
      </c>
      <c r="W76" s="30">
        <v>49</v>
      </c>
      <c r="X76" s="30">
        <v>55</v>
      </c>
      <c r="Y76" s="30">
        <v>43</v>
      </c>
      <c r="Z76" s="30">
        <v>55</v>
      </c>
      <c r="AA76" s="30">
        <v>62</v>
      </c>
      <c r="AB76" s="30">
        <v>48</v>
      </c>
      <c r="AC76" s="30">
        <v>61</v>
      </c>
      <c r="AD76" s="30">
        <v>69</v>
      </c>
      <c r="AE76" s="30">
        <v>54</v>
      </c>
      <c r="AF76" s="30">
        <v>68</v>
      </c>
      <c r="AG76" s="30">
        <v>77</v>
      </c>
      <c r="AH76" s="30">
        <v>60</v>
      </c>
      <c r="AI76" s="30">
        <v>75</v>
      </c>
      <c r="AJ76" s="30">
        <v>85</v>
      </c>
      <c r="AK76" s="30">
        <v>66</v>
      </c>
      <c r="AL76" s="30">
        <v>82</v>
      </c>
      <c r="AM76" s="30">
        <v>93</v>
      </c>
      <c r="AN76" s="30">
        <v>72</v>
      </c>
      <c r="AO76" s="30">
        <v>90</v>
      </c>
      <c r="AP76" s="30">
        <v>101</v>
      </c>
      <c r="AQ76" s="30">
        <v>79</v>
      </c>
      <c r="AR76" s="30">
        <v>98</v>
      </c>
      <c r="AS76" s="30">
        <v>110</v>
      </c>
      <c r="AT76" s="30">
        <v>85</v>
      </c>
      <c r="AU76" s="30">
        <v>106</v>
      </c>
      <c r="AV76" s="30">
        <v>119</v>
      </c>
      <c r="AW76" s="30">
        <v>92</v>
      </c>
      <c r="AX76" s="30">
        <v>114</v>
      </c>
      <c r="AY76" s="30">
        <v>128</v>
      </c>
      <c r="AZ76" s="30">
        <v>100</v>
      </c>
      <c r="BA76" s="30">
        <v>122</v>
      </c>
      <c r="BB76" s="30">
        <v>138</v>
      </c>
      <c r="BC76" s="30">
        <v>107</v>
      </c>
      <c r="BD76" s="30">
        <v>131</v>
      </c>
      <c r="BE76" s="30">
        <v>147</v>
      </c>
      <c r="BF76" s="30">
        <v>115</v>
      </c>
      <c r="BG76" s="30">
        <v>140</v>
      </c>
      <c r="BH76" s="30">
        <v>157</v>
      </c>
      <c r="BI76" s="30">
        <v>122</v>
      </c>
      <c r="BJ76" s="30">
        <v>149</v>
      </c>
      <c r="BK76" s="30">
        <v>167</v>
      </c>
      <c r="BL76" s="30">
        <v>130</v>
      </c>
      <c r="BM76" s="30">
        <v>158</v>
      </c>
      <c r="BN76" s="30">
        <v>178</v>
      </c>
      <c r="BO76" s="30">
        <v>138</v>
      </c>
      <c r="BP76" s="30">
        <v>168</v>
      </c>
      <c r="BQ76" s="30">
        <v>188</v>
      </c>
      <c r="BR76" s="30">
        <v>147</v>
      </c>
      <c r="BS76" s="30">
        <v>177</v>
      </c>
      <c r="BT76" s="30">
        <v>199</v>
      </c>
      <c r="BU76" s="30">
        <v>155</v>
      </c>
      <c r="BV76" s="30">
        <v>187</v>
      </c>
      <c r="BW76" s="30">
        <v>210</v>
      </c>
      <c r="BX76" s="30">
        <v>164</v>
      </c>
      <c r="BY76" s="30">
        <v>197</v>
      </c>
      <c r="BZ76" s="30">
        <v>221</v>
      </c>
      <c r="CA76" s="30">
        <v>172</v>
      </c>
      <c r="CB76" s="30">
        <v>207</v>
      </c>
      <c r="CC76" s="30">
        <v>233</v>
      </c>
      <c r="CD76" s="30">
        <v>181</v>
      </c>
      <c r="CE76" s="30">
        <v>217</v>
      </c>
      <c r="CF76" s="30">
        <v>245</v>
      </c>
      <c r="CG76" s="30">
        <v>190</v>
      </c>
      <c r="CH76" s="30">
        <v>228</v>
      </c>
      <c r="CI76" s="30">
        <v>256</v>
      </c>
      <c r="CJ76" s="30">
        <v>199</v>
      </c>
      <c r="CK76" s="30">
        <v>238</v>
      </c>
      <c r="CL76" s="30">
        <v>268</v>
      </c>
      <c r="CM76" s="30">
        <v>209</v>
      </c>
    </row>
    <row r="77" spans="1:91" x14ac:dyDescent="0.25">
      <c r="A77" s="29" t="s">
        <v>86</v>
      </c>
      <c r="B77" s="30">
        <v>8</v>
      </c>
      <c r="C77" s="30">
        <v>28</v>
      </c>
      <c r="D77" s="30">
        <v>25</v>
      </c>
      <c r="E77" s="30">
        <v>8</v>
      </c>
      <c r="F77" s="30">
        <v>30</v>
      </c>
      <c r="G77" s="30">
        <v>27</v>
      </c>
      <c r="H77" s="30">
        <v>9</v>
      </c>
      <c r="I77" s="30">
        <v>34</v>
      </c>
      <c r="J77" s="30">
        <v>31</v>
      </c>
      <c r="K77" s="30">
        <v>11</v>
      </c>
      <c r="L77" s="30">
        <v>39</v>
      </c>
      <c r="M77" s="30">
        <v>36</v>
      </c>
      <c r="N77" s="30">
        <v>12</v>
      </c>
      <c r="O77" s="30">
        <v>46</v>
      </c>
      <c r="P77" s="30">
        <v>41</v>
      </c>
      <c r="Q77" s="30">
        <v>14</v>
      </c>
      <c r="R77" s="30">
        <v>52</v>
      </c>
      <c r="S77" s="30">
        <v>48</v>
      </c>
      <c r="T77" s="30">
        <v>16</v>
      </c>
      <c r="U77" s="30">
        <v>60</v>
      </c>
      <c r="V77" s="30">
        <v>54</v>
      </c>
      <c r="W77" s="30">
        <v>18</v>
      </c>
      <c r="X77" s="30">
        <v>67</v>
      </c>
      <c r="Y77" s="30">
        <v>61</v>
      </c>
      <c r="Z77" s="30">
        <v>21</v>
      </c>
      <c r="AA77" s="30">
        <v>76</v>
      </c>
      <c r="AB77" s="30">
        <v>69</v>
      </c>
      <c r="AC77" s="30">
        <v>23</v>
      </c>
      <c r="AD77" s="30">
        <v>84</v>
      </c>
      <c r="AE77" s="30">
        <v>77</v>
      </c>
      <c r="AF77" s="30">
        <v>26</v>
      </c>
      <c r="AG77" s="30">
        <v>94</v>
      </c>
      <c r="AH77" s="30">
        <v>85</v>
      </c>
      <c r="AI77" s="30">
        <v>28</v>
      </c>
      <c r="AJ77" s="30">
        <v>103</v>
      </c>
      <c r="AK77" s="30">
        <v>94</v>
      </c>
      <c r="AL77" s="30">
        <v>31</v>
      </c>
      <c r="AM77" s="30">
        <v>113</v>
      </c>
      <c r="AN77" s="30">
        <v>103</v>
      </c>
      <c r="AO77" s="30">
        <v>34</v>
      </c>
      <c r="AP77" s="30">
        <v>124</v>
      </c>
      <c r="AQ77" s="30">
        <v>112</v>
      </c>
      <c r="AR77" s="30">
        <v>37</v>
      </c>
      <c r="AS77" s="30">
        <v>134</v>
      </c>
      <c r="AT77" s="30">
        <v>122</v>
      </c>
      <c r="AU77" s="30">
        <v>40</v>
      </c>
      <c r="AV77" s="30">
        <v>145</v>
      </c>
      <c r="AW77" s="30">
        <v>132</v>
      </c>
      <c r="AX77" s="30">
        <v>43</v>
      </c>
      <c r="AY77" s="30">
        <v>157</v>
      </c>
      <c r="AZ77" s="30">
        <v>142</v>
      </c>
      <c r="BA77" s="30">
        <v>46</v>
      </c>
      <c r="BB77" s="30">
        <v>168</v>
      </c>
      <c r="BC77" s="30">
        <v>153</v>
      </c>
      <c r="BD77" s="30">
        <v>49</v>
      </c>
      <c r="BE77" s="30">
        <v>180</v>
      </c>
      <c r="BF77" s="30">
        <v>164</v>
      </c>
      <c r="BG77" s="30">
        <v>52</v>
      </c>
      <c r="BH77" s="30">
        <v>192</v>
      </c>
      <c r="BI77" s="30">
        <v>175</v>
      </c>
      <c r="BJ77" s="30">
        <v>56</v>
      </c>
      <c r="BK77" s="30">
        <v>205</v>
      </c>
      <c r="BL77" s="30">
        <v>186</v>
      </c>
      <c r="BM77" s="30">
        <v>59</v>
      </c>
      <c r="BN77" s="30">
        <v>217</v>
      </c>
      <c r="BO77" s="30">
        <v>198</v>
      </c>
      <c r="BP77" s="30">
        <v>63</v>
      </c>
      <c r="BQ77" s="30">
        <v>230</v>
      </c>
      <c r="BR77" s="30">
        <v>209</v>
      </c>
      <c r="BS77" s="30">
        <v>66</v>
      </c>
      <c r="BT77" s="30">
        <v>244</v>
      </c>
      <c r="BU77" s="30">
        <v>221</v>
      </c>
      <c r="BV77" s="30">
        <v>70</v>
      </c>
      <c r="BW77" s="30">
        <v>257</v>
      </c>
      <c r="BX77" s="30">
        <v>234</v>
      </c>
      <c r="BY77" s="30">
        <v>74</v>
      </c>
      <c r="BZ77" s="30">
        <v>271</v>
      </c>
      <c r="CA77" s="30">
        <v>246</v>
      </c>
      <c r="CB77" s="30">
        <v>78</v>
      </c>
      <c r="CC77" s="30">
        <v>285</v>
      </c>
      <c r="CD77" s="30">
        <v>259</v>
      </c>
      <c r="CE77" s="30">
        <v>82</v>
      </c>
      <c r="CF77" s="30">
        <v>299</v>
      </c>
      <c r="CG77" s="30">
        <v>272</v>
      </c>
      <c r="CH77" s="30">
        <v>85</v>
      </c>
      <c r="CI77" s="30">
        <v>313</v>
      </c>
      <c r="CJ77" s="30">
        <v>285</v>
      </c>
      <c r="CK77" s="30">
        <v>89</v>
      </c>
      <c r="CL77" s="30">
        <v>328</v>
      </c>
      <c r="CM77" s="30">
        <v>298</v>
      </c>
    </row>
    <row r="78" spans="1:91" x14ac:dyDescent="0.25">
      <c r="A78" s="29" t="s">
        <v>58</v>
      </c>
      <c r="B78" s="30">
        <v>10</v>
      </c>
      <c r="C78" s="30">
        <v>15</v>
      </c>
      <c r="D78" s="30">
        <v>95</v>
      </c>
      <c r="E78" s="30">
        <v>11</v>
      </c>
      <c r="F78" s="30">
        <v>17</v>
      </c>
      <c r="G78" s="30">
        <v>105</v>
      </c>
      <c r="H78" s="30">
        <v>13</v>
      </c>
      <c r="I78" s="30">
        <v>19</v>
      </c>
      <c r="J78" s="30">
        <v>123</v>
      </c>
      <c r="K78" s="30">
        <v>15</v>
      </c>
      <c r="L78" s="30">
        <v>23</v>
      </c>
      <c r="M78" s="30">
        <v>144</v>
      </c>
      <c r="N78" s="30">
        <v>18</v>
      </c>
      <c r="O78" s="30">
        <v>27</v>
      </c>
      <c r="P78" s="30">
        <v>170</v>
      </c>
      <c r="Q78" s="30">
        <v>21</v>
      </c>
      <c r="R78" s="30">
        <v>31</v>
      </c>
      <c r="S78" s="30">
        <v>198</v>
      </c>
      <c r="T78" s="30">
        <v>24</v>
      </c>
      <c r="U78" s="30">
        <v>36</v>
      </c>
      <c r="V78" s="30">
        <v>229</v>
      </c>
      <c r="W78" s="30">
        <v>28</v>
      </c>
      <c r="X78" s="30">
        <v>41</v>
      </c>
      <c r="Y78" s="30">
        <v>262</v>
      </c>
      <c r="Z78" s="30">
        <v>31</v>
      </c>
      <c r="AA78" s="30">
        <v>47</v>
      </c>
      <c r="AB78" s="30">
        <v>298</v>
      </c>
      <c r="AC78" s="30">
        <v>35</v>
      </c>
      <c r="AD78" s="30">
        <v>53</v>
      </c>
      <c r="AE78" s="30">
        <v>335</v>
      </c>
      <c r="AF78" s="30">
        <v>39</v>
      </c>
      <c r="AG78" s="30">
        <v>59</v>
      </c>
      <c r="AH78" s="30">
        <v>374</v>
      </c>
      <c r="AI78" s="30">
        <v>44</v>
      </c>
      <c r="AJ78" s="30">
        <v>66</v>
      </c>
      <c r="AK78" s="30">
        <v>416</v>
      </c>
      <c r="AL78" s="30">
        <v>48</v>
      </c>
      <c r="AM78" s="30">
        <v>72</v>
      </c>
      <c r="AN78" s="30">
        <v>458</v>
      </c>
      <c r="AO78" s="30">
        <v>53</v>
      </c>
      <c r="AP78" s="30">
        <v>79</v>
      </c>
      <c r="AQ78" s="30">
        <v>503</v>
      </c>
      <c r="AR78" s="30">
        <v>58</v>
      </c>
      <c r="AS78" s="30">
        <v>87</v>
      </c>
      <c r="AT78" s="30">
        <v>549</v>
      </c>
      <c r="AU78" s="30">
        <v>63</v>
      </c>
      <c r="AV78" s="30">
        <v>94</v>
      </c>
      <c r="AW78" s="30">
        <v>596</v>
      </c>
      <c r="AX78" s="30">
        <v>68</v>
      </c>
      <c r="AY78" s="30">
        <v>102</v>
      </c>
      <c r="AZ78" s="30">
        <v>645</v>
      </c>
      <c r="BA78" s="30">
        <v>73</v>
      </c>
      <c r="BB78" s="30">
        <v>110</v>
      </c>
      <c r="BC78" s="30">
        <v>695</v>
      </c>
      <c r="BD78" s="30">
        <v>79</v>
      </c>
      <c r="BE78" s="30">
        <v>118</v>
      </c>
      <c r="BF78" s="30">
        <v>746</v>
      </c>
      <c r="BG78" s="30">
        <v>84</v>
      </c>
      <c r="BH78" s="30">
        <v>126</v>
      </c>
      <c r="BI78" s="30">
        <v>799</v>
      </c>
      <c r="BJ78" s="30">
        <v>90</v>
      </c>
      <c r="BK78" s="30">
        <v>135</v>
      </c>
      <c r="BL78" s="30">
        <v>853</v>
      </c>
      <c r="BM78" s="30">
        <v>96</v>
      </c>
      <c r="BN78" s="30">
        <v>143</v>
      </c>
      <c r="BO78" s="30">
        <v>908</v>
      </c>
      <c r="BP78" s="30">
        <v>102</v>
      </c>
      <c r="BQ78" s="30">
        <v>152</v>
      </c>
      <c r="BR78" s="30">
        <v>965</v>
      </c>
      <c r="BS78" s="30">
        <v>108</v>
      </c>
      <c r="BT78" s="30">
        <v>161</v>
      </c>
      <c r="BU78" s="30">
        <v>1022</v>
      </c>
      <c r="BV78" s="30">
        <v>114</v>
      </c>
      <c r="BW78" s="30">
        <v>171</v>
      </c>
      <c r="BX78" s="30">
        <v>1081</v>
      </c>
      <c r="BY78" s="30">
        <v>120</v>
      </c>
      <c r="BZ78" s="30">
        <v>180</v>
      </c>
      <c r="CA78" s="30">
        <v>1140</v>
      </c>
      <c r="CB78" s="30">
        <v>126</v>
      </c>
      <c r="CC78" s="30">
        <v>190</v>
      </c>
      <c r="CD78" s="30">
        <v>1201</v>
      </c>
      <c r="CE78" s="30">
        <v>133</v>
      </c>
      <c r="CF78" s="30">
        <v>199</v>
      </c>
      <c r="CG78" s="30">
        <v>1263</v>
      </c>
      <c r="CH78" s="30">
        <v>140</v>
      </c>
      <c r="CI78" s="30">
        <v>209</v>
      </c>
      <c r="CJ78" s="30">
        <v>1326</v>
      </c>
      <c r="CK78" s="30">
        <v>146</v>
      </c>
      <c r="CL78" s="30">
        <v>219</v>
      </c>
      <c r="CM78" s="30">
        <v>1389</v>
      </c>
    </row>
    <row r="79" spans="1:91" x14ac:dyDescent="0.25">
      <c r="A79" s="29" t="s">
        <v>37</v>
      </c>
      <c r="B79" s="30">
        <v>13</v>
      </c>
      <c r="C79" s="30">
        <v>30</v>
      </c>
      <c r="D79" s="30">
        <v>18</v>
      </c>
      <c r="E79" s="30">
        <v>14</v>
      </c>
      <c r="F79" s="30">
        <v>33</v>
      </c>
      <c r="G79" s="30">
        <v>19</v>
      </c>
      <c r="H79" s="30">
        <v>16</v>
      </c>
      <c r="I79" s="30">
        <v>37</v>
      </c>
      <c r="J79" s="30">
        <v>22</v>
      </c>
      <c r="K79" s="30">
        <v>18</v>
      </c>
      <c r="L79" s="30">
        <v>43</v>
      </c>
      <c r="M79" s="30">
        <v>25</v>
      </c>
      <c r="N79" s="30">
        <v>21</v>
      </c>
      <c r="O79" s="30">
        <v>50</v>
      </c>
      <c r="P79" s="30">
        <v>29</v>
      </c>
      <c r="Q79" s="30">
        <v>24</v>
      </c>
      <c r="R79" s="30">
        <v>57</v>
      </c>
      <c r="S79" s="30">
        <v>33</v>
      </c>
      <c r="T79" s="30">
        <v>27</v>
      </c>
      <c r="U79" s="30">
        <v>65</v>
      </c>
      <c r="V79" s="30">
        <v>38</v>
      </c>
      <c r="W79" s="30">
        <v>31</v>
      </c>
      <c r="X79" s="30">
        <v>74</v>
      </c>
      <c r="Y79" s="30">
        <v>43</v>
      </c>
      <c r="Z79" s="30">
        <v>34</v>
      </c>
      <c r="AA79" s="30">
        <v>83</v>
      </c>
      <c r="AB79" s="30">
        <v>48</v>
      </c>
      <c r="AC79" s="30">
        <v>38</v>
      </c>
      <c r="AD79" s="30">
        <v>92</v>
      </c>
      <c r="AE79" s="30">
        <v>54</v>
      </c>
      <c r="AF79" s="30">
        <v>43</v>
      </c>
      <c r="AG79" s="30">
        <v>102</v>
      </c>
      <c r="AH79" s="30">
        <v>60</v>
      </c>
      <c r="AI79" s="30">
        <v>47</v>
      </c>
      <c r="AJ79" s="30">
        <v>113</v>
      </c>
      <c r="AK79" s="30">
        <v>66</v>
      </c>
      <c r="AL79" s="30">
        <v>52</v>
      </c>
      <c r="AM79" s="30">
        <v>124</v>
      </c>
      <c r="AN79" s="30">
        <v>72</v>
      </c>
      <c r="AO79" s="30">
        <v>56</v>
      </c>
      <c r="AP79" s="30">
        <v>135</v>
      </c>
      <c r="AQ79" s="30">
        <v>79</v>
      </c>
      <c r="AR79" s="30">
        <v>61</v>
      </c>
      <c r="AS79" s="30">
        <v>147</v>
      </c>
      <c r="AT79" s="30">
        <v>85</v>
      </c>
      <c r="AU79" s="30">
        <v>66</v>
      </c>
      <c r="AV79" s="30">
        <v>159</v>
      </c>
      <c r="AW79" s="30">
        <v>92</v>
      </c>
      <c r="AX79" s="30">
        <v>71</v>
      </c>
      <c r="AY79" s="30">
        <v>171</v>
      </c>
      <c r="AZ79" s="30">
        <v>100</v>
      </c>
      <c r="BA79" s="30">
        <v>76</v>
      </c>
      <c r="BB79" s="30">
        <v>183</v>
      </c>
      <c r="BC79" s="30">
        <v>107</v>
      </c>
      <c r="BD79" s="30">
        <v>82</v>
      </c>
      <c r="BE79" s="30">
        <v>196</v>
      </c>
      <c r="BF79" s="30">
        <v>115</v>
      </c>
      <c r="BG79" s="30">
        <v>87</v>
      </c>
      <c r="BH79" s="30">
        <v>210</v>
      </c>
      <c r="BI79" s="30">
        <v>122</v>
      </c>
      <c r="BJ79" s="30">
        <v>93</v>
      </c>
      <c r="BK79" s="30">
        <v>223</v>
      </c>
      <c r="BL79" s="30">
        <v>130</v>
      </c>
      <c r="BM79" s="30">
        <v>99</v>
      </c>
      <c r="BN79" s="30">
        <v>237</v>
      </c>
      <c r="BO79" s="30">
        <v>138</v>
      </c>
      <c r="BP79" s="30">
        <v>105</v>
      </c>
      <c r="BQ79" s="30">
        <v>251</v>
      </c>
      <c r="BR79" s="30">
        <v>147</v>
      </c>
      <c r="BS79" s="30">
        <v>111</v>
      </c>
      <c r="BT79" s="30">
        <v>266</v>
      </c>
      <c r="BU79" s="30">
        <v>155</v>
      </c>
      <c r="BV79" s="30">
        <v>117</v>
      </c>
      <c r="BW79" s="30">
        <v>280</v>
      </c>
      <c r="BX79" s="30">
        <v>164</v>
      </c>
      <c r="BY79" s="30">
        <v>123</v>
      </c>
      <c r="BZ79" s="30">
        <v>295</v>
      </c>
      <c r="CA79" s="30">
        <v>172</v>
      </c>
      <c r="CB79" s="30">
        <v>129</v>
      </c>
      <c r="CC79" s="30">
        <v>311</v>
      </c>
      <c r="CD79" s="30">
        <v>181</v>
      </c>
      <c r="CE79" s="30">
        <v>136</v>
      </c>
      <c r="CF79" s="30">
        <v>326</v>
      </c>
      <c r="CG79" s="30">
        <v>190</v>
      </c>
      <c r="CH79" s="30">
        <v>142</v>
      </c>
      <c r="CI79" s="30">
        <v>342</v>
      </c>
      <c r="CJ79" s="30">
        <v>199</v>
      </c>
      <c r="CK79" s="30">
        <v>149</v>
      </c>
      <c r="CL79" s="30">
        <v>358</v>
      </c>
      <c r="CM79" s="30">
        <v>209</v>
      </c>
    </row>
    <row r="80" spans="1:91" x14ac:dyDescent="0.25">
      <c r="A80" s="29" t="s">
        <v>103</v>
      </c>
      <c r="B80" s="30">
        <v>132</v>
      </c>
      <c r="C80" s="30">
        <v>132</v>
      </c>
      <c r="D80" s="30">
        <v>60</v>
      </c>
      <c r="E80" s="30">
        <v>143</v>
      </c>
      <c r="F80" s="30">
        <v>143</v>
      </c>
      <c r="G80" s="30">
        <v>65</v>
      </c>
      <c r="H80" s="30">
        <v>162</v>
      </c>
      <c r="I80" s="30">
        <v>162</v>
      </c>
      <c r="J80" s="30">
        <v>74</v>
      </c>
      <c r="K80" s="30">
        <v>184</v>
      </c>
      <c r="L80" s="30">
        <v>184</v>
      </c>
      <c r="M80" s="30">
        <v>84</v>
      </c>
      <c r="N80" s="30">
        <v>210</v>
      </c>
      <c r="O80" s="30">
        <v>210</v>
      </c>
      <c r="P80" s="30">
        <v>96</v>
      </c>
      <c r="Q80" s="30">
        <v>239</v>
      </c>
      <c r="R80" s="30">
        <v>239</v>
      </c>
      <c r="S80" s="30">
        <v>109</v>
      </c>
      <c r="T80" s="30">
        <v>270</v>
      </c>
      <c r="U80" s="30">
        <v>270</v>
      </c>
      <c r="V80" s="30">
        <v>123</v>
      </c>
      <c r="W80" s="30">
        <v>304</v>
      </c>
      <c r="X80" s="30">
        <v>304</v>
      </c>
      <c r="Y80" s="30">
        <v>138</v>
      </c>
      <c r="Z80" s="30">
        <v>339</v>
      </c>
      <c r="AA80" s="30">
        <v>339</v>
      </c>
      <c r="AB80" s="30">
        <v>154</v>
      </c>
      <c r="AC80" s="30">
        <v>376</v>
      </c>
      <c r="AD80" s="30">
        <v>376</v>
      </c>
      <c r="AE80" s="30">
        <v>171</v>
      </c>
      <c r="AF80" s="30">
        <v>415</v>
      </c>
      <c r="AG80" s="30">
        <v>415</v>
      </c>
      <c r="AH80" s="30">
        <v>189</v>
      </c>
      <c r="AI80" s="30">
        <v>455</v>
      </c>
      <c r="AJ80" s="30">
        <v>455</v>
      </c>
      <c r="AK80" s="30">
        <v>207</v>
      </c>
      <c r="AL80" s="30">
        <v>497</v>
      </c>
      <c r="AM80" s="30">
        <v>497</v>
      </c>
      <c r="AN80" s="30">
        <v>226</v>
      </c>
      <c r="AO80" s="30">
        <v>541</v>
      </c>
      <c r="AP80" s="30">
        <v>541</v>
      </c>
      <c r="AQ80" s="30">
        <v>246</v>
      </c>
      <c r="AR80" s="30">
        <v>585</v>
      </c>
      <c r="AS80" s="30">
        <v>585</v>
      </c>
      <c r="AT80" s="30">
        <v>266</v>
      </c>
      <c r="AU80" s="30">
        <v>631</v>
      </c>
      <c r="AV80" s="30">
        <v>631</v>
      </c>
      <c r="AW80" s="30">
        <v>287</v>
      </c>
      <c r="AX80" s="30">
        <v>678</v>
      </c>
      <c r="AY80" s="30">
        <v>678</v>
      </c>
      <c r="AZ80" s="30">
        <v>308</v>
      </c>
      <c r="BA80" s="30">
        <v>727</v>
      </c>
      <c r="BB80" s="30">
        <v>727</v>
      </c>
      <c r="BC80" s="30">
        <v>330</v>
      </c>
      <c r="BD80" s="30">
        <v>776</v>
      </c>
      <c r="BE80" s="30">
        <v>776</v>
      </c>
      <c r="BF80" s="30">
        <v>353</v>
      </c>
      <c r="BG80" s="30">
        <v>827</v>
      </c>
      <c r="BH80" s="30">
        <v>827</v>
      </c>
      <c r="BI80" s="30">
        <v>376</v>
      </c>
      <c r="BJ80" s="30">
        <v>879</v>
      </c>
      <c r="BK80" s="30">
        <v>879</v>
      </c>
      <c r="BL80" s="30">
        <v>399</v>
      </c>
      <c r="BM80" s="30">
        <v>931</v>
      </c>
      <c r="BN80" s="30">
        <v>931</v>
      </c>
      <c r="BO80" s="30">
        <v>423</v>
      </c>
      <c r="BP80" s="30">
        <v>985</v>
      </c>
      <c r="BQ80" s="30">
        <v>985</v>
      </c>
      <c r="BR80" s="30">
        <v>448</v>
      </c>
      <c r="BS80" s="30">
        <v>1040</v>
      </c>
      <c r="BT80" s="30">
        <v>1040</v>
      </c>
      <c r="BU80" s="30">
        <v>473</v>
      </c>
      <c r="BV80" s="30">
        <v>1096</v>
      </c>
      <c r="BW80" s="30">
        <v>1096</v>
      </c>
      <c r="BX80" s="30">
        <v>498</v>
      </c>
      <c r="BY80" s="30">
        <v>1152</v>
      </c>
      <c r="BZ80" s="30">
        <v>1152</v>
      </c>
      <c r="CA80" s="30">
        <v>524</v>
      </c>
      <c r="CB80" s="30">
        <v>1210</v>
      </c>
      <c r="CC80" s="30">
        <v>1210</v>
      </c>
      <c r="CD80" s="30">
        <v>550</v>
      </c>
      <c r="CE80" s="30">
        <v>1269</v>
      </c>
      <c r="CF80" s="30">
        <v>1269</v>
      </c>
      <c r="CG80" s="30">
        <v>577</v>
      </c>
      <c r="CH80" s="30">
        <v>1328</v>
      </c>
      <c r="CI80" s="30">
        <v>1328</v>
      </c>
      <c r="CJ80" s="30">
        <v>604</v>
      </c>
      <c r="CK80" s="30">
        <v>1388</v>
      </c>
      <c r="CL80" s="30">
        <v>1388</v>
      </c>
      <c r="CM80" s="30">
        <v>631</v>
      </c>
    </row>
    <row r="81" spans="1:91" x14ac:dyDescent="0.25">
      <c r="A81" s="29" t="s">
        <v>1934</v>
      </c>
      <c r="B81" s="340">
        <v>13</v>
      </c>
      <c r="C81" s="340">
        <v>20</v>
      </c>
      <c r="D81" s="340">
        <v>38</v>
      </c>
      <c r="E81" s="340">
        <v>14.299999999999999</v>
      </c>
      <c r="F81" s="340">
        <v>22</v>
      </c>
      <c r="G81" s="340">
        <v>41.79999999999999</v>
      </c>
      <c r="H81" s="340">
        <v>16.033333333333331</v>
      </c>
      <c r="I81" s="340">
        <v>24.666666666666668</v>
      </c>
      <c r="J81" s="340">
        <v>46.86666666666666</v>
      </c>
      <c r="K81" s="340">
        <v>18.633333333333333</v>
      </c>
      <c r="L81" s="340">
        <v>28.666666666666668</v>
      </c>
      <c r="M81" s="340">
        <v>54.466666666666661</v>
      </c>
      <c r="N81" s="340">
        <v>21.666666666666668</v>
      </c>
      <c r="O81" s="340">
        <v>33.333333333333336</v>
      </c>
      <c r="P81" s="340">
        <v>63.333333333333329</v>
      </c>
      <c r="Q81" s="340">
        <v>24.700000000000003</v>
      </c>
      <c r="R81" s="340">
        <v>38</v>
      </c>
      <c r="S81" s="340">
        <v>72.2</v>
      </c>
      <c r="T81" s="340">
        <v>28.166666666666668</v>
      </c>
      <c r="U81" s="340">
        <v>43.333333333333336</v>
      </c>
      <c r="V81" s="340">
        <v>82.333333333333329</v>
      </c>
      <c r="W81" s="340">
        <v>32.066666666666663</v>
      </c>
      <c r="X81" s="340">
        <v>49.333333333333336</v>
      </c>
      <c r="Y81" s="340">
        <v>93.73333333333332</v>
      </c>
      <c r="Z81" s="340">
        <v>35.966666666666669</v>
      </c>
      <c r="AA81" s="340">
        <v>55.333333333333336</v>
      </c>
      <c r="AB81" s="340">
        <v>105.13333333333333</v>
      </c>
      <c r="AC81" s="340">
        <v>39.866666666666674</v>
      </c>
      <c r="AD81" s="340">
        <v>61.333333333333343</v>
      </c>
      <c r="AE81" s="340">
        <v>116.53333333333333</v>
      </c>
      <c r="AF81" s="340">
        <v>44.2</v>
      </c>
      <c r="AG81" s="340">
        <v>68</v>
      </c>
      <c r="AH81" s="340">
        <v>129.19999999999999</v>
      </c>
      <c r="AI81" s="340">
        <v>48.966666666666669</v>
      </c>
      <c r="AJ81" s="340">
        <v>75.333333333333343</v>
      </c>
      <c r="AK81" s="340">
        <v>143.13333333333333</v>
      </c>
      <c r="AL81" s="340">
        <v>53.516666666666673</v>
      </c>
      <c r="AM81" s="340">
        <v>82.333333333333343</v>
      </c>
      <c r="AN81" s="340">
        <v>156.43333333333334</v>
      </c>
      <c r="AO81" s="340">
        <v>58.5</v>
      </c>
      <c r="AP81" s="340">
        <v>90</v>
      </c>
      <c r="AQ81" s="340">
        <v>170.99999999999997</v>
      </c>
      <c r="AR81" s="340">
        <v>63.699999999999996</v>
      </c>
      <c r="AS81" s="340">
        <v>98</v>
      </c>
      <c r="AT81" s="340">
        <v>186.19999999999996</v>
      </c>
      <c r="AU81" s="340">
        <v>68.900000000000006</v>
      </c>
      <c r="AV81" s="340">
        <v>106.00000000000001</v>
      </c>
      <c r="AW81" s="340">
        <v>201.39999999999998</v>
      </c>
      <c r="AX81" s="340">
        <v>74.099999999999994</v>
      </c>
      <c r="AY81" s="340">
        <v>114</v>
      </c>
      <c r="AZ81" s="340">
        <v>216.59999999999997</v>
      </c>
      <c r="BA81" s="340">
        <v>79.300000000000011</v>
      </c>
      <c r="BB81" s="340">
        <v>122.00000000000001</v>
      </c>
      <c r="BC81" s="340">
        <v>231.79999999999998</v>
      </c>
      <c r="BD81" s="340">
        <v>84.933333333333337</v>
      </c>
      <c r="BE81" s="340">
        <v>130.66666666666669</v>
      </c>
      <c r="BF81" s="340">
        <v>248.26666666666665</v>
      </c>
      <c r="BG81" s="340">
        <v>91</v>
      </c>
      <c r="BH81" s="340">
        <v>140</v>
      </c>
      <c r="BI81" s="340">
        <v>266</v>
      </c>
      <c r="BJ81" s="340">
        <v>96.63333333333334</v>
      </c>
      <c r="BK81" s="340">
        <v>148.66666666666666</v>
      </c>
      <c r="BL81" s="340">
        <v>282.46666666666664</v>
      </c>
      <c r="BM81" s="340">
        <v>102.7</v>
      </c>
      <c r="BN81" s="340">
        <v>158</v>
      </c>
      <c r="BO81" s="340">
        <v>300.2</v>
      </c>
      <c r="BP81" s="340">
        <v>108.98333333333335</v>
      </c>
      <c r="BQ81" s="340">
        <v>167.66666666666669</v>
      </c>
      <c r="BR81" s="340">
        <v>318.56666666666666</v>
      </c>
      <c r="BS81" s="340">
        <v>115.26666666666667</v>
      </c>
      <c r="BT81" s="340">
        <v>177.33333333333334</v>
      </c>
      <c r="BU81" s="340">
        <v>336.93333333333328</v>
      </c>
      <c r="BV81" s="340">
        <v>121.33333333333333</v>
      </c>
      <c r="BW81" s="340">
        <v>186.66666666666666</v>
      </c>
      <c r="BX81" s="340">
        <v>354.66666666666663</v>
      </c>
      <c r="BY81" s="340">
        <v>127.83333333333333</v>
      </c>
      <c r="BZ81" s="340">
        <v>196.66666666666666</v>
      </c>
      <c r="CA81" s="340">
        <v>373.66666666666663</v>
      </c>
      <c r="CB81" s="340">
        <v>134.76666666666665</v>
      </c>
      <c r="CC81" s="340">
        <v>207.33333333333334</v>
      </c>
      <c r="CD81" s="340">
        <v>393.93333333333328</v>
      </c>
      <c r="CE81" s="340">
        <v>141.26666666666665</v>
      </c>
      <c r="CF81" s="340">
        <v>217.33333333333334</v>
      </c>
      <c r="CG81" s="340">
        <v>412.93333333333328</v>
      </c>
      <c r="CH81" s="340">
        <v>148.19999999999999</v>
      </c>
      <c r="CI81" s="340">
        <v>228</v>
      </c>
      <c r="CJ81" s="340">
        <v>433.19999999999993</v>
      </c>
      <c r="CK81" s="340">
        <v>154.91666666666669</v>
      </c>
      <c r="CL81" s="340">
        <v>238.33333333333334</v>
      </c>
      <c r="CM81" s="340">
        <v>452.83333333333331</v>
      </c>
    </row>
    <row r="82" spans="1:91" x14ac:dyDescent="0.25">
      <c r="A82" s="29" t="s">
        <v>251</v>
      </c>
      <c r="B82" s="30">
        <v>23</v>
      </c>
      <c r="C82" s="30">
        <v>25</v>
      </c>
      <c r="D82" s="30">
        <v>13</v>
      </c>
      <c r="E82" s="30">
        <v>25</v>
      </c>
      <c r="F82" s="30">
        <v>27</v>
      </c>
      <c r="G82" s="30">
        <v>14</v>
      </c>
      <c r="H82" s="30">
        <v>28</v>
      </c>
      <c r="I82" s="30">
        <v>31</v>
      </c>
      <c r="J82" s="30">
        <v>16</v>
      </c>
      <c r="K82" s="30">
        <v>32</v>
      </c>
      <c r="L82" s="30">
        <v>36</v>
      </c>
      <c r="M82" s="30">
        <v>18</v>
      </c>
      <c r="N82" s="30">
        <v>37</v>
      </c>
      <c r="O82" s="30">
        <v>41</v>
      </c>
      <c r="P82" s="30">
        <v>21</v>
      </c>
      <c r="Q82" s="30">
        <v>43</v>
      </c>
      <c r="R82" s="30">
        <v>48</v>
      </c>
      <c r="S82" s="30">
        <v>24</v>
      </c>
      <c r="T82" s="30">
        <v>49</v>
      </c>
      <c r="U82" s="30">
        <v>54</v>
      </c>
      <c r="V82" s="30">
        <v>27</v>
      </c>
      <c r="W82" s="30">
        <v>55</v>
      </c>
      <c r="X82" s="30">
        <v>61</v>
      </c>
      <c r="Y82" s="30">
        <v>31</v>
      </c>
      <c r="Z82" s="30">
        <v>62</v>
      </c>
      <c r="AA82" s="30">
        <v>69</v>
      </c>
      <c r="AB82" s="30">
        <v>34</v>
      </c>
      <c r="AC82" s="30">
        <v>69</v>
      </c>
      <c r="AD82" s="30">
        <v>77</v>
      </c>
      <c r="AE82" s="30">
        <v>38</v>
      </c>
      <c r="AF82" s="30">
        <v>77</v>
      </c>
      <c r="AG82" s="30">
        <v>85</v>
      </c>
      <c r="AH82" s="30">
        <v>43</v>
      </c>
      <c r="AI82" s="30">
        <v>85</v>
      </c>
      <c r="AJ82" s="30">
        <v>94</v>
      </c>
      <c r="AK82" s="30">
        <v>47</v>
      </c>
      <c r="AL82" s="30">
        <v>93</v>
      </c>
      <c r="AM82" s="30">
        <v>103</v>
      </c>
      <c r="AN82" s="30">
        <v>52</v>
      </c>
      <c r="AO82" s="30">
        <v>101</v>
      </c>
      <c r="AP82" s="30">
        <v>112</v>
      </c>
      <c r="AQ82" s="30">
        <v>56</v>
      </c>
      <c r="AR82" s="30">
        <v>110</v>
      </c>
      <c r="AS82" s="30">
        <v>122</v>
      </c>
      <c r="AT82" s="30">
        <v>61</v>
      </c>
      <c r="AU82" s="30">
        <v>119</v>
      </c>
      <c r="AV82" s="30">
        <v>132</v>
      </c>
      <c r="AW82" s="30">
        <v>66</v>
      </c>
      <c r="AX82" s="30">
        <v>128</v>
      </c>
      <c r="AY82" s="30">
        <v>142</v>
      </c>
      <c r="AZ82" s="30">
        <v>71</v>
      </c>
      <c r="BA82" s="30">
        <v>138</v>
      </c>
      <c r="BB82" s="30">
        <v>153</v>
      </c>
      <c r="BC82" s="30">
        <v>76</v>
      </c>
      <c r="BD82" s="30">
        <v>147</v>
      </c>
      <c r="BE82" s="30">
        <v>164</v>
      </c>
      <c r="BF82" s="30">
        <v>82</v>
      </c>
      <c r="BG82" s="30">
        <v>157</v>
      </c>
      <c r="BH82" s="30">
        <v>175</v>
      </c>
      <c r="BI82" s="30">
        <v>87</v>
      </c>
      <c r="BJ82" s="30">
        <v>167</v>
      </c>
      <c r="BK82" s="30">
        <v>186</v>
      </c>
      <c r="BL82" s="30">
        <v>93</v>
      </c>
      <c r="BM82" s="30">
        <v>178</v>
      </c>
      <c r="BN82" s="30">
        <v>198</v>
      </c>
      <c r="BO82" s="30">
        <v>99</v>
      </c>
      <c r="BP82" s="30">
        <v>188</v>
      </c>
      <c r="BQ82" s="30">
        <v>209</v>
      </c>
      <c r="BR82" s="30">
        <v>105</v>
      </c>
      <c r="BS82" s="30">
        <v>199</v>
      </c>
      <c r="BT82" s="30">
        <v>221</v>
      </c>
      <c r="BU82" s="30">
        <v>111</v>
      </c>
      <c r="BV82" s="30">
        <v>210</v>
      </c>
      <c r="BW82" s="30">
        <v>234</v>
      </c>
      <c r="BX82" s="30">
        <v>117</v>
      </c>
      <c r="BY82" s="30">
        <v>221</v>
      </c>
      <c r="BZ82" s="30">
        <v>246</v>
      </c>
      <c r="CA82" s="30">
        <v>123</v>
      </c>
      <c r="CB82" s="30">
        <v>233</v>
      </c>
      <c r="CC82" s="30">
        <v>259</v>
      </c>
      <c r="CD82" s="30">
        <v>129</v>
      </c>
      <c r="CE82" s="30">
        <v>245</v>
      </c>
      <c r="CF82" s="30">
        <v>272</v>
      </c>
      <c r="CG82" s="30">
        <v>136</v>
      </c>
      <c r="CH82" s="30">
        <v>256</v>
      </c>
      <c r="CI82" s="30">
        <v>285</v>
      </c>
      <c r="CJ82" s="30">
        <v>142</v>
      </c>
      <c r="CK82" s="30">
        <v>268</v>
      </c>
      <c r="CL82" s="30">
        <v>298</v>
      </c>
      <c r="CM82" s="30">
        <v>149</v>
      </c>
    </row>
    <row r="83" spans="1:91" x14ac:dyDescent="0.25">
      <c r="A83" s="29" t="s">
        <v>51</v>
      </c>
      <c r="B83" s="30">
        <v>70</v>
      </c>
      <c r="C83" s="30">
        <v>15</v>
      </c>
      <c r="D83" s="30">
        <v>35</v>
      </c>
      <c r="E83" s="30">
        <v>77</v>
      </c>
      <c r="F83" s="30">
        <v>17</v>
      </c>
      <c r="G83" s="30">
        <v>39</v>
      </c>
      <c r="H83" s="30">
        <v>90</v>
      </c>
      <c r="I83" s="30">
        <v>19</v>
      </c>
      <c r="J83" s="30">
        <v>45</v>
      </c>
      <c r="K83" s="30">
        <v>106</v>
      </c>
      <c r="L83" s="30">
        <v>23</v>
      </c>
      <c r="M83" s="30">
        <v>53</v>
      </c>
      <c r="N83" s="30">
        <v>125</v>
      </c>
      <c r="O83" s="30">
        <v>27</v>
      </c>
      <c r="P83" s="30">
        <v>63</v>
      </c>
      <c r="Q83" s="30">
        <v>146</v>
      </c>
      <c r="R83" s="30">
        <v>31</v>
      </c>
      <c r="S83" s="30">
        <v>73</v>
      </c>
      <c r="T83" s="30">
        <v>169</v>
      </c>
      <c r="U83" s="30">
        <v>36</v>
      </c>
      <c r="V83" s="30">
        <v>84</v>
      </c>
      <c r="W83" s="30">
        <v>193</v>
      </c>
      <c r="X83" s="30">
        <v>41</v>
      </c>
      <c r="Y83" s="30">
        <v>97</v>
      </c>
      <c r="Z83" s="30">
        <v>219</v>
      </c>
      <c r="AA83" s="30">
        <v>47</v>
      </c>
      <c r="AB83" s="30">
        <v>110</v>
      </c>
      <c r="AC83" s="30">
        <v>247</v>
      </c>
      <c r="AD83" s="30">
        <v>53</v>
      </c>
      <c r="AE83" s="30">
        <v>123</v>
      </c>
      <c r="AF83" s="30">
        <v>276</v>
      </c>
      <c r="AG83" s="30">
        <v>59</v>
      </c>
      <c r="AH83" s="30">
        <v>138</v>
      </c>
      <c r="AI83" s="30">
        <v>306</v>
      </c>
      <c r="AJ83" s="30">
        <v>66</v>
      </c>
      <c r="AK83" s="30">
        <v>153</v>
      </c>
      <c r="AL83" s="30">
        <v>338</v>
      </c>
      <c r="AM83" s="30">
        <v>72</v>
      </c>
      <c r="AN83" s="30">
        <v>169</v>
      </c>
      <c r="AO83" s="30">
        <v>370</v>
      </c>
      <c r="AP83" s="30">
        <v>79</v>
      </c>
      <c r="AQ83" s="30">
        <v>185</v>
      </c>
      <c r="AR83" s="30">
        <v>404</v>
      </c>
      <c r="AS83" s="30">
        <v>87</v>
      </c>
      <c r="AT83" s="30">
        <v>202</v>
      </c>
      <c r="AU83" s="30">
        <v>439</v>
      </c>
      <c r="AV83" s="30">
        <v>94</v>
      </c>
      <c r="AW83" s="30">
        <v>220</v>
      </c>
      <c r="AX83" s="30">
        <v>475</v>
      </c>
      <c r="AY83" s="30">
        <v>102</v>
      </c>
      <c r="AZ83" s="30">
        <v>238</v>
      </c>
      <c r="BA83" s="30">
        <v>512</v>
      </c>
      <c r="BB83" s="30">
        <v>110</v>
      </c>
      <c r="BC83" s="30">
        <v>256</v>
      </c>
      <c r="BD83" s="30">
        <v>550</v>
      </c>
      <c r="BE83" s="30">
        <v>118</v>
      </c>
      <c r="BF83" s="30">
        <v>275</v>
      </c>
      <c r="BG83" s="30">
        <v>589</v>
      </c>
      <c r="BH83" s="30">
        <v>126</v>
      </c>
      <c r="BI83" s="30">
        <v>294</v>
      </c>
      <c r="BJ83" s="30">
        <v>629</v>
      </c>
      <c r="BK83" s="30">
        <v>135</v>
      </c>
      <c r="BL83" s="30">
        <v>314</v>
      </c>
      <c r="BM83" s="30">
        <v>669</v>
      </c>
      <c r="BN83" s="30">
        <v>143</v>
      </c>
      <c r="BO83" s="30">
        <v>335</v>
      </c>
      <c r="BP83" s="30">
        <v>711</v>
      </c>
      <c r="BQ83" s="30">
        <v>152</v>
      </c>
      <c r="BR83" s="30">
        <v>355</v>
      </c>
      <c r="BS83" s="30">
        <v>753</v>
      </c>
      <c r="BT83" s="30">
        <v>161</v>
      </c>
      <c r="BU83" s="30">
        <v>377</v>
      </c>
      <c r="BV83" s="30">
        <v>796</v>
      </c>
      <c r="BW83" s="30">
        <v>171</v>
      </c>
      <c r="BX83" s="30">
        <v>398</v>
      </c>
      <c r="BY83" s="30">
        <v>840</v>
      </c>
      <c r="BZ83" s="30">
        <v>180</v>
      </c>
      <c r="CA83" s="30">
        <v>420</v>
      </c>
      <c r="CB83" s="30">
        <v>885</v>
      </c>
      <c r="CC83" s="30">
        <v>190</v>
      </c>
      <c r="CD83" s="30">
        <v>443</v>
      </c>
      <c r="CE83" s="30">
        <v>931</v>
      </c>
      <c r="CF83" s="30">
        <v>199</v>
      </c>
      <c r="CG83" s="30">
        <v>465</v>
      </c>
      <c r="CH83" s="30">
        <v>977</v>
      </c>
      <c r="CI83" s="30">
        <v>209</v>
      </c>
      <c r="CJ83" s="30">
        <v>488</v>
      </c>
      <c r="CK83" s="30">
        <v>1024</v>
      </c>
      <c r="CL83" s="30">
        <v>219</v>
      </c>
      <c r="CM83" s="30">
        <v>512</v>
      </c>
    </row>
    <row r="84" spans="1:91" x14ac:dyDescent="0.25">
      <c r="A84" s="29" t="s">
        <v>83</v>
      </c>
      <c r="B84" s="30">
        <v>60</v>
      </c>
      <c r="C84" s="30">
        <v>204</v>
      </c>
      <c r="D84" s="30">
        <v>24</v>
      </c>
      <c r="E84" s="30">
        <v>65</v>
      </c>
      <c r="F84" s="30">
        <v>221</v>
      </c>
      <c r="G84" s="30">
        <v>26</v>
      </c>
      <c r="H84" s="30">
        <v>74</v>
      </c>
      <c r="I84" s="30">
        <v>250</v>
      </c>
      <c r="J84" s="30">
        <v>29</v>
      </c>
      <c r="K84" s="30">
        <v>84</v>
      </c>
      <c r="L84" s="30">
        <v>285</v>
      </c>
      <c r="M84" s="30">
        <v>34</v>
      </c>
      <c r="N84" s="30">
        <v>96</v>
      </c>
      <c r="O84" s="30">
        <v>325</v>
      </c>
      <c r="P84" s="30">
        <v>38</v>
      </c>
      <c r="Q84" s="30">
        <v>109</v>
      </c>
      <c r="R84" s="30">
        <v>370</v>
      </c>
      <c r="S84" s="30">
        <v>44</v>
      </c>
      <c r="T84" s="30">
        <v>123</v>
      </c>
      <c r="U84" s="30">
        <v>418</v>
      </c>
      <c r="V84" s="30">
        <v>49</v>
      </c>
      <c r="W84" s="30">
        <v>138</v>
      </c>
      <c r="X84" s="30">
        <v>469</v>
      </c>
      <c r="Y84" s="30">
        <v>55</v>
      </c>
      <c r="Z84" s="30">
        <v>154</v>
      </c>
      <c r="AA84" s="30">
        <v>524</v>
      </c>
      <c r="AB84" s="30">
        <v>62</v>
      </c>
      <c r="AC84" s="30">
        <v>171</v>
      </c>
      <c r="AD84" s="30">
        <v>581</v>
      </c>
      <c r="AE84" s="30">
        <v>68</v>
      </c>
      <c r="AF84" s="30">
        <v>189</v>
      </c>
      <c r="AG84" s="30">
        <v>641</v>
      </c>
      <c r="AH84" s="30">
        <v>75</v>
      </c>
      <c r="AI84" s="30">
        <v>207</v>
      </c>
      <c r="AJ84" s="30">
        <v>704</v>
      </c>
      <c r="AK84" s="30">
        <v>83</v>
      </c>
      <c r="AL84" s="30">
        <v>226</v>
      </c>
      <c r="AM84" s="30">
        <v>768</v>
      </c>
      <c r="AN84" s="30">
        <v>90</v>
      </c>
      <c r="AO84" s="30">
        <v>246</v>
      </c>
      <c r="AP84" s="30">
        <v>835</v>
      </c>
      <c r="AQ84" s="30">
        <v>98</v>
      </c>
      <c r="AR84" s="30">
        <v>266</v>
      </c>
      <c r="AS84" s="30">
        <v>904</v>
      </c>
      <c r="AT84" s="30">
        <v>106</v>
      </c>
      <c r="AU84" s="30">
        <v>287</v>
      </c>
      <c r="AV84" s="30">
        <v>975</v>
      </c>
      <c r="AW84" s="30">
        <v>115</v>
      </c>
      <c r="AX84" s="30">
        <v>308</v>
      </c>
      <c r="AY84" s="30">
        <v>1048</v>
      </c>
      <c r="AZ84" s="30">
        <v>123</v>
      </c>
      <c r="BA84" s="30">
        <v>330</v>
      </c>
      <c r="BB84" s="30">
        <v>1123</v>
      </c>
      <c r="BC84" s="30">
        <v>132</v>
      </c>
      <c r="BD84" s="30">
        <v>353</v>
      </c>
      <c r="BE84" s="30">
        <v>1200</v>
      </c>
      <c r="BF84" s="30">
        <v>141</v>
      </c>
      <c r="BG84" s="30">
        <v>376</v>
      </c>
      <c r="BH84" s="30">
        <v>1278</v>
      </c>
      <c r="BI84" s="30">
        <v>150</v>
      </c>
      <c r="BJ84" s="30">
        <v>399</v>
      </c>
      <c r="BK84" s="30">
        <v>1358</v>
      </c>
      <c r="BL84" s="30">
        <v>160</v>
      </c>
      <c r="BM84" s="30">
        <v>423</v>
      </c>
      <c r="BN84" s="30">
        <v>1440</v>
      </c>
      <c r="BO84" s="30">
        <v>169</v>
      </c>
      <c r="BP84" s="30">
        <v>448</v>
      </c>
      <c r="BQ84" s="30">
        <v>1523</v>
      </c>
      <c r="BR84" s="30">
        <v>179</v>
      </c>
      <c r="BS84" s="30">
        <v>473</v>
      </c>
      <c r="BT84" s="30">
        <v>1607</v>
      </c>
      <c r="BU84" s="30">
        <v>189</v>
      </c>
      <c r="BV84" s="30">
        <v>498</v>
      </c>
      <c r="BW84" s="30">
        <v>1694</v>
      </c>
      <c r="BX84" s="30">
        <v>199</v>
      </c>
      <c r="BY84" s="30">
        <v>524</v>
      </c>
      <c r="BZ84" s="30">
        <v>1781</v>
      </c>
      <c r="CA84" s="30">
        <v>210</v>
      </c>
      <c r="CB84" s="30">
        <v>550</v>
      </c>
      <c r="CC84" s="30">
        <v>1870</v>
      </c>
      <c r="CD84" s="30">
        <v>220</v>
      </c>
      <c r="CE84" s="30">
        <v>577</v>
      </c>
      <c r="CF84" s="30">
        <v>1961</v>
      </c>
      <c r="CG84" s="30">
        <v>231</v>
      </c>
      <c r="CH84" s="30">
        <v>604</v>
      </c>
      <c r="CI84" s="30">
        <v>2052</v>
      </c>
      <c r="CJ84" s="30">
        <v>241</v>
      </c>
      <c r="CK84" s="30">
        <v>631</v>
      </c>
      <c r="CL84" s="30">
        <v>2145</v>
      </c>
      <c r="CM84" s="30">
        <v>252</v>
      </c>
    </row>
    <row r="85" spans="1:91" x14ac:dyDescent="0.25">
      <c r="A85" s="29" t="s">
        <v>62</v>
      </c>
      <c r="B85" s="30">
        <v>20</v>
      </c>
      <c r="C85" s="30">
        <v>50</v>
      </c>
      <c r="D85" s="30">
        <v>50</v>
      </c>
      <c r="E85" s="30">
        <v>22</v>
      </c>
      <c r="F85" s="30">
        <v>55</v>
      </c>
      <c r="G85" s="30">
        <v>55</v>
      </c>
      <c r="H85" s="30">
        <v>26</v>
      </c>
      <c r="I85" s="30">
        <v>65</v>
      </c>
      <c r="J85" s="30">
        <v>65</v>
      </c>
      <c r="K85" s="30">
        <v>30</v>
      </c>
      <c r="L85" s="30">
        <v>76</v>
      </c>
      <c r="M85" s="30">
        <v>76</v>
      </c>
      <c r="N85" s="30">
        <v>36</v>
      </c>
      <c r="O85" s="30">
        <v>89</v>
      </c>
      <c r="P85" s="30">
        <v>89</v>
      </c>
      <c r="Q85" s="30">
        <v>42</v>
      </c>
      <c r="R85" s="30">
        <v>104</v>
      </c>
      <c r="S85" s="30">
        <v>104</v>
      </c>
      <c r="T85" s="30">
        <v>48</v>
      </c>
      <c r="U85" s="30">
        <v>121</v>
      </c>
      <c r="V85" s="30">
        <v>121</v>
      </c>
      <c r="W85" s="30">
        <v>55</v>
      </c>
      <c r="X85" s="30">
        <v>138</v>
      </c>
      <c r="Y85" s="30">
        <v>138</v>
      </c>
      <c r="Z85" s="30">
        <v>63</v>
      </c>
      <c r="AA85" s="30">
        <v>157</v>
      </c>
      <c r="AB85" s="30">
        <v>157</v>
      </c>
      <c r="AC85" s="30">
        <v>71</v>
      </c>
      <c r="AD85" s="30">
        <v>176</v>
      </c>
      <c r="AE85" s="30">
        <v>176</v>
      </c>
      <c r="AF85" s="30">
        <v>79</v>
      </c>
      <c r="AG85" s="30">
        <v>197</v>
      </c>
      <c r="AH85" s="30">
        <v>197</v>
      </c>
      <c r="AI85" s="30">
        <v>87</v>
      </c>
      <c r="AJ85" s="30">
        <v>219</v>
      </c>
      <c r="AK85" s="30">
        <v>219</v>
      </c>
      <c r="AL85" s="30">
        <v>96</v>
      </c>
      <c r="AM85" s="30">
        <v>241</v>
      </c>
      <c r="AN85" s="30">
        <v>241</v>
      </c>
      <c r="AO85" s="30">
        <v>106</v>
      </c>
      <c r="AP85" s="30">
        <v>265</v>
      </c>
      <c r="AQ85" s="30">
        <v>265</v>
      </c>
      <c r="AR85" s="30">
        <v>115</v>
      </c>
      <c r="AS85" s="30">
        <v>289</v>
      </c>
      <c r="AT85" s="30">
        <v>289</v>
      </c>
      <c r="AU85" s="30">
        <v>125</v>
      </c>
      <c r="AV85" s="30">
        <v>314</v>
      </c>
      <c r="AW85" s="30">
        <v>314</v>
      </c>
      <c r="AX85" s="30">
        <v>136</v>
      </c>
      <c r="AY85" s="30">
        <v>339</v>
      </c>
      <c r="AZ85" s="30">
        <v>339</v>
      </c>
      <c r="BA85" s="30">
        <v>146</v>
      </c>
      <c r="BB85" s="30">
        <v>366</v>
      </c>
      <c r="BC85" s="30">
        <v>366</v>
      </c>
      <c r="BD85" s="30">
        <v>157</v>
      </c>
      <c r="BE85" s="30">
        <v>393</v>
      </c>
      <c r="BF85" s="30">
        <v>393</v>
      </c>
      <c r="BG85" s="30">
        <v>168</v>
      </c>
      <c r="BH85" s="30">
        <v>421</v>
      </c>
      <c r="BI85" s="30">
        <v>421</v>
      </c>
      <c r="BJ85" s="30">
        <v>180</v>
      </c>
      <c r="BK85" s="30">
        <v>449</v>
      </c>
      <c r="BL85" s="30">
        <v>449</v>
      </c>
      <c r="BM85" s="30">
        <v>191</v>
      </c>
      <c r="BN85" s="30">
        <v>478</v>
      </c>
      <c r="BO85" s="30">
        <v>478</v>
      </c>
      <c r="BP85" s="30">
        <v>203</v>
      </c>
      <c r="BQ85" s="30">
        <v>508</v>
      </c>
      <c r="BR85" s="30">
        <v>508</v>
      </c>
      <c r="BS85" s="30">
        <v>215</v>
      </c>
      <c r="BT85" s="30">
        <v>538</v>
      </c>
      <c r="BU85" s="30">
        <v>538</v>
      </c>
      <c r="BV85" s="30">
        <v>228</v>
      </c>
      <c r="BW85" s="30">
        <v>569</v>
      </c>
      <c r="BX85" s="30">
        <v>569</v>
      </c>
      <c r="BY85" s="30">
        <v>240</v>
      </c>
      <c r="BZ85" s="30">
        <v>600</v>
      </c>
      <c r="CA85" s="30">
        <v>600</v>
      </c>
      <c r="CB85" s="30">
        <v>253</v>
      </c>
      <c r="CC85" s="30">
        <v>632</v>
      </c>
      <c r="CD85" s="30">
        <v>632</v>
      </c>
      <c r="CE85" s="30">
        <v>266</v>
      </c>
      <c r="CF85" s="30">
        <v>665</v>
      </c>
      <c r="CG85" s="30">
        <v>665</v>
      </c>
      <c r="CH85" s="30">
        <v>279</v>
      </c>
      <c r="CI85" s="30">
        <v>698</v>
      </c>
      <c r="CJ85" s="30">
        <v>698</v>
      </c>
      <c r="CK85" s="30">
        <v>293</v>
      </c>
      <c r="CL85" s="30">
        <v>731</v>
      </c>
      <c r="CM85" s="30">
        <v>731</v>
      </c>
    </row>
    <row r="86" spans="1:91" x14ac:dyDescent="0.25">
      <c r="A86" s="29" t="s">
        <v>1849</v>
      </c>
      <c r="B86" s="340">
        <v>20</v>
      </c>
      <c r="C86" s="340">
        <v>65</v>
      </c>
      <c r="D86" s="340">
        <v>55</v>
      </c>
      <c r="E86" s="340">
        <v>22</v>
      </c>
      <c r="F86" s="340">
        <v>71.5</v>
      </c>
      <c r="G86" s="340">
        <v>60.5</v>
      </c>
      <c r="H86" s="340">
        <v>25.833333333333332</v>
      </c>
      <c r="I86" s="340">
        <v>83.958333333333343</v>
      </c>
      <c r="J86" s="340">
        <v>71.041666666666671</v>
      </c>
      <c r="K86" s="340">
        <v>30.333333333333332</v>
      </c>
      <c r="L86" s="340">
        <v>98.583333333333343</v>
      </c>
      <c r="M86" s="340">
        <v>83.416666666666671</v>
      </c>
      <c r="N86" s="340">
        <v>35.833333333333336</v>
      </c>
      <c r="O86" s="340">
        <v>116.45833333333334</v>
      </c>
      <c r="P86" s="340">
        <v>98.541666666666671</v>
      </c>
      <c r="Q86" s="340">
        <v>41.833333333333336</v>
      </c>
      <c r="R86" s="340">
        <v>135.95833333333334</v>
      </c>
      <c r="S86" s="340">
        <v>115.04166666666669</v>
      </c>
      <c r="T86" s="340">
        <v>48.166666666666664</v>
      </c>
      <c r="U86" s="340">
        <v>156.54166666666669</v>
      </c>
      <c r="V86" s="340">
        <v>132.45833333333334</v>
      </c>
      <c r="W86" s="340">
        <v>55.166666666666664</v>
      </c>
      <c r="X86" s="340">
        <v>179.29166666666669</v>
      </c>
      <c r="Y86" s="340">
        <v>151.70833333333334</v>
      </c>
      <c r="Z86" s="340">
        <v>62.666666666666664</v>
      </c>
      <c r="AA86" s="340">
        <v>203.66666666666669</v>
      </c>
      <c r="AB86" s="340">
        <v>172.33333333333334</v>
      </c>
      <c r="AC86" s="340">
        <v>70.666666666666671</v>
      </c>
      <c r="AD86" s="340">
        <v>229.66666666666669</v>
      </c>
      <c r="AE86" s="340">
        <v>194.33333333333334</v>
      </c>
      <c r="AF86" s="340">
        <v>78.833333333333329</v>
      </c>
      <c r="AG86" s="340">
        <v>256.20833333333337</v>
      </c>
      <c r="AH86" s="340">
        <v>216.79166666666669</v>
      </c>
      <c r="AI86" s="340">
        <v>87.333333333333329</v>
      </c>
      <c r="AJ86" s="340">
        <v>283.83333333333337</v>
      </c>
      <c r="AK86" s="340">
        <v>240.16666666666669</v>
      </c>
      <c r="AL86" s="340">
        <v>96.5</v>
      </c>
      <c r="AM86" s="340">
        <v>313.625</v>
      </c>
      <c r="AN86" s="340">
        <v>265.375</v>
      </c>
      <c r="AO86" s="340">
        <v>105.83333333333333</v>
      </c>
      <c r="AP86" s="340">
        <v>343.95833333333337</v>
      </c>
      <c r="AQ86" s="340">
        <v>291.04166666666669</v>
      </c>
      <c r="AR86" s="340">
        <v>115.33333333333333</v>
      </c>
      <c r="AS86" s="340">
        <v>374.83333333333337</v>
      </c>
      <c r="AT86" s="340">
        <v>317.16666666666669</v>
      </c>
      <c r="AU86" s="340">
        <v>125.33333333333333</v>
      </c>
      <c r="AV86" s="340">
        <v>407.33333333333337</v>
      </c>
      <c r="AW86" s="340">
        <v>344.66666666666669</v>
      </c>
      <c r="AX86" s="340">
        <v>135.83333333333334</v>
      </c>
      <c r="AY86" s="340">
        <v>441.45833333333337</v>
      </c>
      <c r="AZ86" s="340">
        <v>373.54166666666669</v>
      </c>
      <c r="BA86" s="340">
        <v>146.16666666666666</v>
      </c>
      <c r="BB86" s="340">
        <v>475.04166666666674</v>
      </c>
      <c r="BC86" s="340">
        <v>401.95833333333337</v>
      </c>
      <c r="BD86" s="340">
        <v>157.16666666666666</v>
      </c>
      <c r="BE86" s="340">
        <v>510.79166666666674</v>
      </c>
      <c r="BF86" s="340">
        <v>432.20833333333337</v>
      </c>
      <c r="BG86" s="340">
        <v>168.16666666666666</v>
      </c>
      <c r="BH86" s="340">
        <v>546.54166666666674</v>
      </c>
      <c r="BI86" s="340">
        <v>462.45833333333337</v>
      </c>
      <c r="BJ86" s="340">
        <v>179.66666666666666</v>
      </c>
      <c r="BK86" s="340">
        <v>583.91666666666674</v>
      </c>
      <c r="BL86" s="340">
        <v>494.08333333333337</v>
      </c>
      <c r="BM86" s="340">
        <v>191.16666666666666</v>
      </c>
      <c r="BN86" s="340">
        <v>621.29166666666674</v>
      </c>
      <c r="BO86" s="340">
        <v>525.70833333333337</v>
      </c>
      <c r="BP86" s="340">
        <v>203.16666666666666</v>
      </c>
      <c r="BQ86" s="340">
        <v>660.29166666666674</v>
      </c>
      <c r="BR86" s="340">
        <v>558.70833333333337</v>
      </c>
      <c r="BS86" s="340">
        <v>215.16666666666666</v>
      </c>
      <c r="BT86" s="340">
        <v>699.29166666666674</v>
      </c>
      <c r="BU86" s="340">
        <v>591.70833333333337</v>
      </c>
      <c r="BV86" s="340">
        <v>227.5</v>
      </c>
      <c r="BW86" s="340">
        <v>739.375</v>
      </c>
      <c r="BX86" s="340">
        <v>625.625</v>
      </c>
      <c r="BY86" s="340">
        <v>240</v>
      </c>
      <c r="BZ86" s="340">
        <v>780</v>
      </c>
      <c r="CA86" s="340">
        <v>660</v>
      </c>
      <c r="CB86" s="340">
        <v>252.83333333333334</v>
      </c>
      <c r="CC86" s="340">
        <v>821.70833333333348</v>
      </c>
      <c r="CD86" s="340">
        <v>695.29166666666674</v>
      </c>
      <c r="CE86" s="340">
        <v>266</v>
      </c>
      <c r="CF86" s="340">
        <v>864.50000000000011</v>
      </c>
      <c r="CG86" s="340">
        <v>731.50000000000011</v>
      </c>
      <c r="CH86" s="340">
        <v>279.16666666666669</v>
      </c>
      <c r="CI86" s="340">
        <v>907.29166666666674</v>
      </c>
      <c r="CJ86" s="340">
        <v>767.70833333333337</v>
      </c>
      <c r="CK86" s="340">
        <v>292.66666666666669</v>
      </c>
      <c r="CL86" s="340">
        <v>951.16666666666686</v>
      </c>
      <c r="CM86" s="340">
        <v>804.83333333333348</v>
      </c>
    </row>
    <row r="87" spans="1:91" x14ac:dyDescent="0.25">
      <c r="A87" s="29" t="s">
        <v>52</v>
      </c>
      <c r="B87" s="30">
        <v>7</v>
      </c>
      <c r="C87" s="30">
        <v>11</v>
      </c>
      <c r="D87" s="30">
        <v>6</v>
      </c>
      <c r="E87" s="30">
        <v>8</v>
      </c>
      <c r="F87" s="30">
        <v>12</v>
      </c>
      <c r="G87" s="30">
        <v>7</v>
      </c>
      <c r="H87" s="30">
        <v>9</v>
      </c>
      <c r="I87" s="30">
        <v>14</v>
      </c>
      <c r="J87" s="30">
        <v>8</v>
      </c>
      <c r="K87" s="30">
        <v>10</v>
      </c>
      <c r="L87" s="30">
        <v>16</v>
      </c>
      <c r="M87" s="30">
        <v>9</v>
      </c>
      <c r="N87" s="30">
        <v>12</v>
      </c>
      <c r="O87" s="30">
        <v>19</v>
      </c>
      <c r="P87" s="30">
        <v>10</v>
      </c>
      <c r="Q87" s="30">
        <v>14</v>
      </c>
      <c r="R87" s="30">
        <v>22</v>
      </c>
      <c r="S87" s="30">
        <v>12</v>
      </c>
      <c r="T87" s="30">
        <v>16</v>
      </c>
      <c r="U87" s="30">
        <v>25</v>
      </c>
      <c r="V87" s="30">
        <v>14</v>
      </c>
      <c r="W87" s="30">
        <v>18</v>
      </c>
      <c r="X87" s="30">
        <v>28</v>
      </c>
      <c r="Y87" s="30">
        <v>15</v>
      </c>
      <c r="Z87" s="30">
        <v>20</v>
      </c>
      <c r="AA87" s="30">
        <v>32</v>
      </c>
      <c r="AB87" s="30">
        <v>17</v>
      </c>
      <c r="AC87" s="30">
        <v>23</v>
      </c>
      <c r="AD87" s="30">
        <v>36</v>
      </c>
      <c r="AE87" s="30">
        <v>19</v>
      </c>
      <c r="AF87" s="30">
        <v>25</v>
      </c>
      <c r="AG87" s="30">
        <v>39</v>
      </c>
      <c r="AH87" s="30">
        <v>22</v>
      </c>
      <c r="AI87" s="30">
        <v>28</v>
      </c>
      <c r="AJ87" s="30">
        <v>44</v>
      </c>
      <c r="AK87" s="30">
        <v>24</v>
      </c>
      <c r="AL87" s="30">
        <v>30</v>
      </c>
      <c r="AM87" s="30">
        <v>48</v>
      </c>
      <c r="AN87" s="30">
        <v>26</v>
      </c>
      <c r="AO87" s="30">
        <v>33</v>
      </c>
      <c r="AP87" s="30">
        <v>52</v>
      </c>
      <c r="AQ87" s="30">
        <v>29</v>
      </c>
      <c r="AR87" s="30">
        <v>36</v>
      </c>
      <c r="AS87" s="30">
        <v>57</v>
      </c>
      <c r="AT87" s="30">
        <v>31</v>
      </c>
      <c r="AU87" s="30">
        <v>39</v>
      </c>
      <c r="AV87" s="30">
        <v>61</v>
      </c>
      <c r="AW87" s="30">
        <v>33</v>
      </c>
      <c r="AX87" s="30">
        <v>42</v>
      </c>
      <c r="AY87" s="30">
        <v>66</v>
      </c>
      <c r="AZ87" s="30">
        <v>36</v>
      </c>
      <c r="BA87" s="30">
        <v>45</v>
      </c>
      <c r="BB87" s="30">
        <v>71</v>
      </c>
      <c r="BC87" s="30">
        <v>39</v>
      </c>
      <c r="BD87" s="30">
        <v>48</v>
      </c>
      <c r="BE87" s="30">
        <v>76</v>
      </c>
      <c r="BF87" s="30">
        <v>41</v>
      </c>
      <c r="BG87" s="30">
        <v>52</v>
      </c>
      <c r="BH87" s="30">
        <v>81</v>
      </c>
      <c r="BI87" s="30">
        <v>44</v>
      </c>
      <c r="BJ87" s="30">
        <v>55</v>
      </c>
      <c r="BK87" s="30">
        <v>86</v>
      </c>
      <c r="BL87" s="30">
        <v>47</v>
      </c>
      <c r="BM87" s="30">
        <v>58</v>
      </c>
      <c r="BN87" s="30">
        <v>92</v>
      </c>
      <c r="BO87" s="30">
        <v>50</v>
      </c>
      <c r="BP87" s="30">
        <v>62</v>
      </c>
      <c r="BQ87" s="30">
        <v>97</v>
      </c>
      <c r="BR87" s="30">
        <v>53</v>
      </c>
      <c r="BS87" s="30">
        <v>65</v>
      </c>
      <c r="BT87" s="30">
        <v>103</v>
      </c>
      <c r="BU87" s="30">
        <v>56</v>
      </c>
      <c r="BV87" s="30">
        <v>69</v>
      </c>
      <c r="BW87" s="30">
        <v>108</v>
      </c>
      <c r="BX87" s="30">
        <v>59</v>
      </c>
      <c r="BY87" s="30">
        <v>73</v>
      </c>
      <c r="BZ87" s="30">
        <v>114</v>
      </c>
      <c r="CA87" s="30">
        <v>62</v>
      </c>
      <c r="CB87" s="30">
        <v>76</v>
      </c>
      <c r="CC87" s="30">
        <v>120</v>
      </c>
      <c r="CD87" s="30">
        <v>65</v>
      </c>
      <c r="CE87" s="30">
        <v>80</v>
      </c>
      <c r="CF87" s="30">
        <v>126</v>
      </c>
      <c r="CG87" s="30">
        <v>69</v>
      </c>
      <c r="CH87" s="30">
        <v>84</v>
      </c>
      <c r="CI87" s="30">
        <v>132</v>
      </c>
      <c r="CJ87" s="30">
        <v>72</v>
      </c>
      <c r="CK87" s="30">
        <v>88</v>
      </c>
      <c r="CL87" s="30">
        <v>138</v>
      </c>
      <c r="CM87" s="30">
        <v>75</v>
      </c>
    </row>
    <row r="88" spans="1:91" x14ac:dyDescent="0.25">
      <c r="A88" s="29" t="s">
        <v>105</v>
      </c>
      <c r="B88" s="30">
        <v>168</v>
      </c>
      <c r="C88" s="30">
        <v>60</v>
      </c>
      <c r="D88" s="30">
        <v>60</v>
      </c>
      <c r="E88" s="30">
        <v>182</v>
      </c>
      <c r="F88" s="30">
        <v>65</v>
      </c>
      <c r="G88" s="30">
        <v>65</v>
      </c>
      <c r="H88" s="30">
        <v>206</v>
      </c>
      <c r="I88" s="30">
        <v>74</v>
      </c>
      <c r="J88" s="30">
        <v>74</v>
      </c>
      <c r="K88" s="30">
        <v>235</v>
      </c>
      <c r="L88" s="30">
        <v>84</v>
      </c>
      <c r="M88" s="30">
        <v>84</v>
      </c>
      <c r="N88" s="30">
        <v>268</v>
      </c>
      <c r="O88" s="30">
        <v>96</v>
      </c>
      <c r="P88" s="30">
        <v>96</v>
      </c>
      <c r="Q88" s="30">
        <v>305</v>
      </c>
      <c r="R88" s="30">
        <v>109</v>
      </c>
      <c r="S88" s="30">
        <v>109</v>
      </c>
      <c r="T88" s="30">
        <v>344</v>
      </c>
      <c r="U88" s="30">
        <v>123</v>
      </c>
      <c r="V88" s="30">
        <v>123</v>
      </c>
      <c r="W88" s="30">
        <v>387</v>
      </c>
      <c r="X88" s="30">
        <v>138</v>
      </c>
      <c r="Y88" s="30">
        <v>138</v>
      </c>
      <c r="Z88" s="30">
        <v>431</v>
      </c>
      <c r="AA88" s="30">
        <v>154</v>
      </c>
      <c r="AB88" s="30">
        <v>154</v>
      </c>
      <c r="AC88" s="30">
        <v>479</v>
      </c>
      <c r="AD88" s="30">
        <v>171</v>
      </c>
      <c r="AE88" s="30">
        <v>171</v>
      </c>
      <c r="AF88" s="30">
        <v>528</v>
      </c>
      <c r="AG88" s="30">
        <v>189</v>
      </c>
      <c r="AH88" s="30">
        <v>189</v>
      </c>
      <c r="AI88" s="30">
        <v>579</v>
      </c>
      <c r="AJ88" s="30">
        <v>207</v>
      </c>
      <c r="AK88" s="30">
        <v>207</v>
      </c>
      <c r="AL88" s="30">
        <v>633</v>
      </c>
      <c r="AM88" s="30">
        <v>226</v>
      </c>
      <c r="AN88" s="30">
        <v>226</v>
      </c>
      <c r="AO88" s="30">
        <v>688</v>
      </c>
      <c r="AP88" s="30">
        <v>246</v>
      </c>
      <c r="AQ88" s="30">
        <v>246</v>
      </c>
      <c r="AR88" s="30">
        <v>745</v>
      </c>
      <c r="AS88" s="30">
        <v>266</v>
      </c>
      <c r="AT88" s="30">
        <v>266</v>
      </c>
      <c r="AU88" s="30">
        <v>803</v>
      </c>
      <c r="AV88" s="30">
        <v>287</v>
      </c>
      <c r="AW88" s="30">
        <v>287</v>
      </c>
      <c r="AX88" s="30">
        <v>863</v>
      </c>
      <c r="AY88" s="30">
        <v>308</v>
      </c>
      <c r="AZ88" s="30">
        <v>308</v>
      </c>
      <c r="BA88" s="30">
        <v>925</v>
      </c>
      <c r="BB88" s="30">
        <v>330</v>
      </c>
      <c r="BC88" s="30">
        <v>330</v>
      </c>
      <c r="BD88" s="30">
        <v>988</v>
      </c>
      <c r="BE88" s="30">
        <v>353</v>
      </c>
      <c r="BF88" s="30">
        <v>353</v>
      </c>
      <c r="BG88" s="30">
        <v>1053</v>
      </c>
      <c r="BH88" s="30">
        <v>376</v>
      </c>
      <c r="BI88" s="30">
        <v>376</v>
      </c>
      <c r="BJ88" s="30">
        <v>1118</v>
      </c>
      <c r="BK88" s="30">
        <v>399</v>
      </c>
      <c r="BL88" s="30">
        <v>399</v>
      </c>
      <c r="BM88" s="30">
        <v>1186</v>
      </c>
      <c r="BN88" s="30">
        <v>423</v>
      </c>
      <c r="BO88" s="30">
        <v>423</v>
      </c>
      <c r="BP88" s="30">
        <v>1254</v>
      </c>
      <c r="BQ88" s="30">
        <v>448</v>
      </c>
      <c r="BR88" s="30">
        <v>448</v>
      </c>
      <c r="BS88" s="30">
        <v>1324</v>
      </c>
      <c r="BT88" s="30">
        <v>473</v>
      </c>
      <c r="BU88" s="30">
        <v>473</v>
      </c>
      <c r="BV88" s="30">
        <v>1395</v>
      </c>
      <c r="BW88" s="30">
        <v>498</v>
      </c>
      <c r="BX88" s="30">
        <v>498</v>
      </c>
      <c r="BY88" s="30">
        <v>1467</v>
      </c>
      <c r="BZ88" s="30">
        <v>524</v>
      </c>
      <c r="CA88" s="30">
        <v>524</v>
      </c>
      <c r="CB88" s="30">
        <v>1540</v>
      </c>
      <c r="CC88" s="30">
        <v>550</v>
      </c>
      <c r="CD88" s="30">
        <v>550</v>
      </c>
      <c r="CE88" s="30">
        <v>1615</v>
      </c>
      <c r="CF88" s="30">
        <v>577</v>
      </c>
      <c r="CG88" s="30">
        <v>577</v>
      </c>
      <c r="CH88" s="30">
        <v>1690</v>
      </c>
      <c r="CI88" s="30">
        <v>604</v>
      </c>
      <c r="CJ88" s="30">
        <v>604</v>
      </c>
      <c r="CK88" s="30">
        <v>1767</v>
      </c>
      <c r="CL88" s="30">
        <v>631</v>
      </c>
      <c r="CM88" s="30">
        <v>631</v>
      </c>
    </row>
    <row r="89" spans="1:91" x14ac:dyDescent="0.25">
      <c r="A89" s="29" t="s">
        <v>63</v>
      </c>
      <c r="B89" s="30">
        <v>10</v>
      </c>
      <c r="C89" s="30">
        <v>70</v>
      </c>
      <c r="D89" s="30">
        <v>40</v>
      </c>
      <c r="E89" s="30">
        <v>11</v>
      </c>
      <c r="F89" s="30">
        <v>77</v>
      </c>
      <c r="G89" s="30">
        <v>44</v>
      </c>
      <c r="H89" s="30">
        <v>13</v>
      </c>
      <c r="I89" s="30">
        <v>90</v>
      </c>
      <c r="J89" s="30">
        <v>52</v>
      </c>
      <c r="K89" s="30">
        <v>15</v>
      </c>
      <c r="L89" s="30">
        <v>106</v>
      </c>
      <c r="M89" s="30">
        <v>61</v>
      </c>
      <c r="N89" s="30">
        <v>18</v>
      </c>
      <c r="O89" s="30">
        <v>125</v>
      </c>
      <c r="P89" s="30">
        <v>71</v>
      </c>
      <c r="Q89" s="30">
        <v>21</v>
      </c>
      <c r="R89" s="30">
        <v>146</v>
      </c>
      <c r="S89" s="30">
        <v>83</v>
      </c>
      <c r="T89" s="30">
        <v>24</v>
      </c>
      <c r="U89" s="30">
        <v>169</v>
      </c>
      <c r="V89" s="30">
        <v>96</v>
      </c>
      <c r="W89" s="30">
        <v>28</v>
      </c>
      <c r="X89" s="30">
        <v>193</v>
      </c>
      <c r="Y89" s="30">
        <v>110</v>
      </c>
      <c r="Z89" s="30">
        <v>31</v>
      </c>
      <c r="AA89" s="30">
        <v>219</v>
      </c>
      <c r="AB89" s="30">
        <v>125</v>
      </c>
      <c r="AC89" s="30">
        <v>35</v>
      </c>
      <c r="AD89" s="30">
        <v>247</v>
      </c>
      <c r="AE89" s="30">
        <v>141</v>
      </c>
      <c r="AF89" s="30">
        <v>39</v>
      </c>
      <c r="AG89" s="30">
        <v>276</v>
      </c>
      <c r="AH89" s="30">
        <v>158</v>
      </c>
      <c r="AI89" s="30">
        <v>44</v>
      </c>
      <c r="AJ89" s="30">
        <v>306</v>
      </c>
      <c r="AK89" s="30">
        <v>175</v>
      </c>
      <c r="AL89" s="30">
        <v>48</v>
      </c>
      <c r="AM89" s="30">
        <v>338</v>
      </c>
      <c r="AN89" s="30">
        <v>193</v>
      </c>
      <c r="AO89" s="30">
        <v>53</v>
      </c>
      <c r="AP89" s="30">
        <v>370</v>
      </c>
      <c r="AQ89" s="30">
        <v>212</v>
      </c>
      <c r="AR89" s="30">
        <v>58</v>
      </c>
      <c r="AS89" s="30">
        <v>404</v>
      </c>
      <c r="AT89" s="30">
        <v>231</v>
      </c>
      <c r="AU89" s="30">
        <v>63</v>
      </c>
      <c r="AV89" s="30">
        <v>439</v>
      </c>
      <c r="AW89" s="30">
        <v>251</v>
      </c>
      <c r="AX89" s="30">
        <v>68</v>
      </c>
      <c r="AY89" s="30">
        <v>475</v>
      </c>
      <c r="AZ89" s="30">
        <v>271</v>
      </c>
      <c r="BA89" s="30">
        <v>73</v>
      </c>
      <c r="BB89" s="30">
        <v>512</v>
      </c>
      <c r="BC89" s="30">
        <v>293</v>
      </c>
      <c r="BD89" s="30">
        <v>79</v>
      </c>
      <c r="BE89" s="30">
        <v>550</v>
      </c>
      <c r="BF89" s="30">
        <v>314</v>
      </c>
      <c r="BG89" s="30">
        <v>84</v>
      </c>
      <c r="BH89" s="30">
        <v>589</v>
      </c>
      <c r="BI89" s="30">
        <v>336</v>
      </c>
      <c r="BJ89" s="30">
        <v>90</v>
      </c>
      <c r="BK89" s="30">
        <v>629</v>
      </c>
      <c r="BL89" s="30">
        <v>359</v>
      </c>
      <c r="BM89" s="30">
        <v>96</v>
      </c>
      <c r="BN89" s="30">
        <v>669</v>
      </c>
      <c r="BO89" s="30">
        <v>382</v>
      </c>
      <c r="BP89" s="30">
        <v>102</v>
      </c>
      <c r="BQ89" s="30">
        <v>711</v>
      </c>
      <c r="BR89" s="30">
        <v>406</v>
      </c>
      <c r="BS89" s="30">
        <v>108</v>
      </c>
      <c r="BT89" s="30">
        <v>753</v>
      </c>
      <c r="BU89" s="30">
        <v>430</v>
      </c>
      <c r="BV89" s="30">
        <v>114</v>
      </c>
      <c r="BW89" s="30">
        <v>796</v>
      </c>
      <c r="BX89" s="30">
        <v>455</v>
      </c>
      <c r="BY89" s="30">
        <v>120</v>
      </c>
      <c r="BZ89" s="30">
        <v>840</v>
      </c>
      <c r="CA89" s="30">
        <v>480</v>
      </c>
      <c r="CB89" s="30">
        <v>126</v>
      </c>
      <c r="CC89" s="30">
        <v>885</v>
      </c>
      <c r="CD89" s="30">
        <v>506</v>
      </c>
      <c r="CE89" s="30">
        <v>133</v>
      </c>
      <c r="CF89" s="30">
        <v>931</v>
      </c>
      <c r="CG89" s="30">
        <v>532</v>
      </c>
      <c r="CH89" s="30">
        <v>140</v>
      </c>
      <c r="CI89" s="30">
        <v>977</v>
      </c>
      <c r="CJ89" s="30">
        <v>558</v>
      </c>
      <c r="CK89" s="30">
        <v>146</v>
      </c>
      <c r="CL89" s="30">
        <v>1024</v>
      </c>
      <c r="CM89" s="30">
        <v>585</v>
      </c>
    </row>
    <row r="90" spans="1:91" x14ac:dyDescent="0.25">
      <c r="A90" s="29" t="s">
        <v>81</v>
      </c>
      <c r="B90" s="30">
        <v>60</v>
      </c>
      <c r="C90" s="30">
        <v>132</v>
      </c>
      <c r="D90" s="30">
        <v>96</v>
      </c>
      <c r="E90" s="30">
        <v>65</v>
      </c>
      <c r="F90" s="30">
        <v>143</v>
      </c>
      <c r="G90" s="30">
        <v>104</v>
      </c>
      <c r="H90" s="30">
        <v>74</v>
      </c>
      <c r="I90" s="30">
        <v>162</v>
      </c>
      <c r="J90" s="30">
        <v>118</v>
      </c>
      <c r="K90" s="30">
        <v>84</v>
      </c>
      <c r="L90" s="30">
        <v>184</v>
      </c>
      <c r="M90" s="30">
        <v>134</v>
      </c>
      <c r="N90" s="30">
        <v>96</v>
      </c>
      <c r="O90" s="30">
        <v>210</v>
      </c>
      <c r="P90" s="30">
        <v>153</v>
      </c>
      <c r="Q90" s="30">
        <v>109</v>
      </c>
      <c r="R90" s="30">
        <v>239</v>
      </c>
      <c r="S90" s="30">
        <v>174</v>
      </c>
      <c r="T90" s="30">
        <v>123</v>
      </c>
      <c r="U90" s="30">
        <v>270</v>
      </c>
      <c r="V90" s="30">
        <v>197</v>
      </c>
      <c r="W90" s="30">
        <v>138</v>
      </c>
      <c r="X90" s="30">
        <v>304</v>
      </c>
      <c r="Y90" s="30">
        <v>221</v>
      </c>
      <c r="Z90" s="30">
        <v>154</v>
      </c>
      <c r="AA90" s="30">
        <v>339</v>
      </c>
      <c r="AB90" s="30">
        <v>247</v>
      </c>
      <c r="AC90" s="30">
        <v>171</v>
      </c>
      <c r="AD90" s="30">
        <v>376</v>
      </c>
      <c r="AE90" s="30">
        <v>274</v>
      </c>
      <c r="AF90" s="30">
        <v>189</v>
      </c>
      <c r="AG90" s="30">
        <v>415</v>
      </c>
      <c r="AH90" s="30">
        <v>302</v>
      </c>
      <c r="AI90" s="30">
        <v>207</v>
      </c>
      <c r="AJ90" s="30">
        <v>455</v>
      </c>
      <c r="AK90" s="30">
        <v>331</v>
      </c>
      <c r="AL90" s="30">
        <v>226</v>
      </c>
      <c r="AM90" s="30">
        <v>497</v>
      </c>
      <c r="AN90" s="30">
        <v>362</v>
      </c>
      <c r="AO90" s="30">
        <v>246</v>
      </c>
      <c r="AP90" s="30">
        <v>541</v>
      </c>
      <c r="AQ90" s="30">
        <v>393</v>
      </c>
      <c r="AR90" s="30">
        <v>266</v>
      </c>
      <c r="AS90" s="30">
        <v>585</v>
      </c>
      <c r="AT90" s="30">
        <v>426</v>
      </c>
      <c r="AU90" s="30">
        <v>287</v>
      </c>
      <c r="AV90" s="30">
        <v>631</v>
      </c>
      <c r="AW90" s="30">
        <v>459</v>
      </c>
      <c r="AX90" s="30">
        <v>308</v>
      </c>
      <c r="AY90" s="30">
        <v>678</v>
      </c>
      <c r="AZ90" s="30">
        <v>493</v>
      </c>
      <c r="BA90" s="30">
        <v>330</v>
      </c>
      <c r="BB90" s="30">
        <v>727</v>
      </c>
      <c r="BC90" s="30">
        <v>529</v>
      </c>
      <c r="BD90" s="30">
        <v>353</v>
      </c>
      <c r="BE90" s="30">
        <v>776</v>
      </c>
      <c r="BF90" s="30">
        <v>565</v>
      </c>
      <c r="BG90" s="30">
        <v>376</v>
      </c>
      <c r="BH90" s="30">
        <v>827</v>
      </c>
      <c r="BI90" s="30">
        <v>601</v>
      </c>
      <c r="BJ90" s="30">
        <v>399</v>
      </c>
      <c r="BK90" s="30">
        <v>879</v>
      </c>
      <c r="BL90" s="30">
        <v>639</v>
      </c>
      <c r="BM90" s="30">
        <v>423</v>
      </c>
      <c r="BN90" s="30">
        <v>931</v>
      </c>
      <c r="BO90" s="30">
        <v>677</v>
      </c>
      <c r="BP90" s="30">
        <v>448</v>
      </c>
      <c r="BQ90" s="30">
        <v>985</v>
      </c>
      <c r="BR90" s="30">
        <v>717</v>
      </c>
      <c r="BS90" s="30">
        <v>473</v>
      </c>
      <c r="BT90" s="30">
        <v>1040</v>
      </c>
      <c r="BU90" s="30">
        <v>756</v>
      </c>
      <c r="BV90" s="30">
        <v>498</v>
      </c>
      <c r="BW90" s="30">
        <v>1096</v>
      </c>
      <c r="BX90" s="30">
        <v>797</v>
      </c>
      <c r="BY90" s="30">
        <v>524</v>
      </c>
      <c r="BZ90" s="30">
        <v>1152</v>
      </c>
      <c r="CA90" s="30">
        <v>838</v>
      </c>
      <c r="CB90" s="30">
        <v>550</v>
      </c>
      <c r="CC90" s="30">
        <v>1210</v>
      </c>
      <c r="CD90" s="30">
        <v>880</v>
      </c>
      <c r="CE90" s="30">
        <v>577</v>
      </c>
      <c r="CF90" s="30">
        <v>1269</v>
      </c>
      <c r="CG90" s="30">
        <v>923</v>
      </c>
      <c r="CH90" s="30">
        <v>604</v>
      </c>
      <c r="CI90" s="30">
        <v>1328</v>
      </c>
      <c r="CJ90" s="30">
        <v>966</v>
      </c>
      <c r="CK90" s="30">
        <v>631</v>
      </c>
      <c r="CL90" s="30">
        <v>1388</v>
      </c>
      <c r="CM90" s="30">
        <v>1010</v>
      </c>
    </row>
    <row r="91" spans="1:91" x14ac:dyDescent="0.25">
      <c r="A91" s="29" t="s">
        <v>64</v>
      </c>
      <c r="B91" s="30">
        <v>40</v>
      </c>
      <c r="C91" s="30">
        <v>40</v>
      </c>
      <c r="D91" s="30">
        <v>40</v>
      </c>
      <c r="E91" s="30">
        <v>44</v>
      </c>
      <c r="F91" s="30">
        <v>44</v>
      </c>
      <c r="G91" s="30">
        <v>44</v>
      </c>
      <c r="H91" s="30">
        <v>52</v>
      </c>
      <c r="I91" s="30">
        <v>52</v>
      </c>
      <c r="J91" s="30">
        <v>52</v>
      </c>
      <c r="K91" s="30">
        <v>61</v>
      </c>
      <c r="L91" s="30">
        <v>61</v>
      </c>
      <c r="M91" s="30">
        <v>61</v>
      </c>
      <c r="N91" s="30">
        <v>71</v>
      </c>
      <c r="O91" s="30">
        <v>71</v>
      </c>
      <c r="P91" s="30">
        <v>71</v>
      </c>
      <c r="Q91" s="30">
        <v>83</v>
      </c>
      <c r="R91" s="30">
        <v>83</v>
      </c>
      <c r="S91" s="30">
        <v>83</v>
      </c>
      <c r="T91" s="30">
        <v>96</v>
      </c>
      <c r="U91" s="30">
        <v>96</v>
      </c>
      <c r="V91" s="30">
        <v>96</v>
      </c>
      <c r="W91" s="30">
        <v>110</v>
      </c>
      <c r="X91" s="30">
        <v>110</v>
      </c>
      <c r="Y91" s="30">
        <v>110</v>
      </c>
      <c r="Z91" s="30">
        <v>125</v>
      </c>
      <c r="AA91" s="30">
        <v>125</v>
      </c>
      <c r="AB91" s="30">
        <v>125</v>
      </c>
      <c r="AC91" s="30">
        <v>141</v>
      </c>
      <c r="AD91" s="30">
        <v>141</v>
      </c>
      <c r="AE91" s="30">
        <v>141</v>
      </c>
      <c r="AF91" s="30">
        <v>158</v>
      </c>
      <c r="AG91" s="30">
        <v>158</v>
      </c>
      <c r="AH91" s="30">
        <v>158</v>
      </c>
      <c r="AI91" s="30">
        <v>175</v>
      </c>
      <c r="AJ91" s="30">
        <v>175</v>
      </c>
      <c r="AK91" s="30">
        <v>175</v>
      </c>
      <c r="AL91" s="30">
        <v>193</v>
      </c>
      <c r="AM91" s="30">
        <v>193</v>
      </c>
      <c r="AN91" s="30">
        <v>193</v>
      </c>
      <c r="AO91" s="30">
        <v>212</v>
      </c>
      <c r="AP91" s="30">
        <v>212</v>
      </c>
      <c r="AQ91" s="30">
        <v>212</v>
      </c>
      <c r="AR91" s="30">
        <v>231</v>
      </c>
      <c r="AS91" s="30">
        <v>231</v>
      </c>
      <c r="AT91" s="30">
        <v>231</v>
      </c>
      <c r="AU91" s="30">
        <v>251</v>
      </c>
      <c r="AV91" s="30">
        <v>251</v>
      </c>
      <c r="AW91" s="30">
        <v>251</v>
      </c>
      <c r="AX91" s="30">
        <v>271</v>
      </c>
      <c r="AY91" s="30">
        <v>271</v>
      </c>
      <c r="AZ91" s="30">
        <v>271</v>
      </c>
      <c r="BA91" s="30">
        <v>293</v>
      </c>
      <c r="BB91" s="30">
        <v>293</v>
      </c>
      <c r="BC91" s="30">
        <v>293</v>
      </c>
      <c r="BD91" s="30">
        <v>314</v>
      </c>
      <c r="BE91" s="30">
        <v>314</v>
      </c>
      <c r="BF91" s="30">
        <v>314</v>
      </c>
      <c r="BG91" s="30">
        <v>336</v>
      </c>
      <c r="BH91" s="30">
        <v>336</v>
      </c>
      <c r="BI91" s="30">
        <v>336</v>
      </c>
      <c r="BJ91" s="30">
        <v>359</v>
      </c>
      <c r="BK91" s="30">
        <v>359</v>
      </c>
      <c r="BL91" s="30">
        <v>359</v>
      </c>
      <c r="BM91" s="30">
        <v>382</v>
      </c>
      <c r="BN91" s="30">
        <v>382</v>
      </c>
      <c r="BO91" s="30">
        <v>382</v>
      </c>
      <c r="BP91" s="30">
        <v>406</v>
      </c>
      <c r="BQ91" s="30">
        <v>406</v>
      </c>
      <c r="BR91" s="30">
        <v>406</v>
      </c>
      <c r="BS91" s="30">
        <v>430</v>
      </c>
      <c r="BT91" s="30">
        <v>430</v>
      </c>
      <c r="BU91" s="30">
        <v>430</v>
      </c>
      <c r="BV91" s="30">
        <v>455</v>
      </c>
      <c r="BW91" s="30">
        <v>455</v>
      </c>
      <c r="BX91" s="30">
        <v>455</v>
      </c>
      <c r="BY91" s="30">
        <v>480</v>
      </c>
      <c r="BZ91" s="30">
        <v>480</v>
      </c>
      <c r="CA91" s="30">
        <v>480</v>
      </c>
      <c r="CB91" s="30">
        <v>506</v>
      </c>
      <c r="CC91" s="30">
        <v>506</v>
      </c>
      <c r="CD91" s="30">
        <v>506</v>
      </c>
      <c r="CE91" s="30">
        <v>532</v>
      </c>
      <c r="CF91" s="30">
        <v>532</v>
      </c>
      <c r="CG91" s="30">
        <v>532</v>
      </c>
      <c r="CH91" s="30">
        <v>558</v>
      </c>
      <c r="CI91" s="30">
        <v>558</v>
      </c>
      <c r="CJ91" s="30">
        <v>558</v>
      </c>
      <c r="CK91" s="30">
        <v>585</v>
      </c>
      <c r="CL91" s="30">
        <v>585</v>
      </c>
      <c r="CM91" s="30">
        <v>585</v>
      </c>
    </row>
    <row r="92" spans="1:91" x14ac:dyDescent="0.25">
      <c r="A92" s="29" t="s">
        <v>38</v>
      </c>
      <c r="B92" s="30">
        <v>38</v>
      </c>
      <c r="C92" s="30">
        <v>8</v>
      </c>
      <c r="D92" s="30">
        <v>15</v>
      </c>
      <c r="E92" s="30">
        <v>41</v>
      </c>
      <c r="F92" s="30">
        <v>8</v>
      </c>
      <c r="G92" s="30">
        <v>16</v>
      </c>
      <c r="H92" s="30">
        <v>47</v>
      </c>
      <c r="I92" s="30">
        <v>9</v>
      </c>
      <c r="J92" s="30">
        <v>19</v>
      </c>
      <c r="K92" s="30">
        <v>54</v>
      </c>
      <c r="L92" s="30">
        <v>11</v>
      </c>
      <c r="M92" s="30">
        <v>22</v>
      </c>
      <c r="N92" s="30">
        <v>62</v>
      </c>
      <c r="O92" s="30">
        <v>12</v>
      </c>
      <c r="P92" s="30">
        <v>25</v>
      </c>
      <c r="Q92" s="30">
        <v>71</v>
      </c>
      <c r="R92" s="30">
        <v>14</v>
      </c>
      <c r="S92" s="30">
        <v>29</v>
      </c>
      <c r="T92" s="30">
        <v>81</v>
      </c>
      <c r="U92" s="30">
        <v>16</v>
      </c>
      <c r="V92" s="30">
        <v>32</v>
      </c>
      <c r="W92" s="30">
        <v>92</v>
      </c>
      <c r="X92" s="30">
        <v>18</v>
      </c>
      <c r="Y92" s="30">
        <v>37</v>
      </c>
      <c r="Z92" s="30">
        <v>103</v>
      </c>
      <c r="AA92" s="30">
        <v>21</v>
      </c>
      <c r="AB92" s="30">
        <v>41</v>
      </c>
      <c r="AC92" s="30">
        <v>115</v>
      </c>
      <c r="AD92" s="30">
        <v>23</v>
      </c>
      <c r="AE92" s="30">
        <v>46</v>
      </c>
      <c r="AF92" s="30">
        <v>128</v>
      </c>
      <c r="AG92" s="30">
        <v>26</v>
      </c>
      <c r="AH92" s="30">
        <v>51</v>
      </c>
      <c r="AI92" s="30">
        <v>141</v>
      </c>
      <c r="AJ92" s="30">
        <v>28</v>
      </c>
      <c r="AK92" s="30">
        <v>56</v>
      </c>
      <c r="AL92" s="30">
        <v>155</v>
      </c>
      <c r="AM92" s="30">
        <v>31</v>
      </c>
      <c r="AN92" s="30">
        <v>62</v>
      </c>
      <c r="AO92" s="30">
        <v>169</v>
      </c>
      <c r="AP92" s="30">
        <v>34</v>
      </c>
      <c r="AQ92" s="30">
        <v>67</v>
      </c>
      <c r="AR92" s="30">
        <v>183</v>
      </c>
      <c r="AS92" s="30">
        <v>37</v>
      </c>
      <c r="AT92" s="30">
        <v>73</v>
      </c>
      <c r="AU92" s="30">
        <v>198</v>
      </c>
      <c r="AV92" s="30">
        <v>40</v>
      </c>
      <c r="AW92" s="30">
        <v>79</v>
      </c>
      <c r="AX92" s="30">
        <v>213</v>
      </c>
      <c r="AY92" s="30">
        <v>43</v>
      </c>
      <c r="AZ92" s="30">
        <v>85</v>
      </c>
      <c r="BA92" s="30">
        <v>229</v>
      </c>
      <c r="BB92" s="30">
        <v>46</v>
      </c>
      <c r="BC92" s="30">
        <v>92</v>
      </c>
      <c r="BD92" s="30">
        <v>246</v>
      </c>
      <c r="BE92" s="30">
        <v>49</v>
      </c>
      <c r="BF92" s="30">
        <v>98</v>
      </c>
      <c r="BG92" s="30">
        <v>262</v>
      </c>
      <c r="BH92" s="30">
        <v>52</v>
      </c>
      <c r="BI92" s="30">
        <v>105</v>
      </c>
      <c r="BJ92" s="30">
        <v>279</v>
      </c>
      <c r="BK92" s="30">
        <v>56</v>
      </c>
      <c r="BL92" s="30">
        <v>112</v>
      </c>
      <c r="BM92" s="30">
        <v>296</v>
      </c>
      <c r="BN92" s="30">
        <v>59</v>
      </c>
      <c r="BO92" s="30">
        <v>119</v>
      </c>
      <c r="BP92" s="30">
        <v>314</v>
      </c>
      <c r="BQ92" s="30">
        <v>63</v>
      </c>
      <c r="BR92" s="30">
        <v>126</v>
      </c>
      <c r="BS92" s="30">
        <v>332</v>
      </c>
      <c r="BT92" s="30">
        <v>66</v>
      </c>
      <c r="BU92" s="30">
        <v>133</v>
      </c>
      <c r="BV92" s="30">
        <v>351</v>
      </c>
      <c r="BW92" s="30">
        <v>70</v>
      </c>
      <c r="BX92" s="30">
        <v>140</v>
      </c>
      <c r="BY92" s="30">
        <v>369</v>
      </c>
      <c r="BZ92" s="30">
        <v>74</v>
      </c>
      <c r="CA92" s="30">
        <v>148</v>
      </c>
      <c r="CB92" s="30">
        <v>388</v>
      </c>
      <c r="CC92" s="30">
        <v>78</v>
      </c>
      <c r="CD92" s="30">
        <v>155</v>
      </c>
      <c r="CE92" s="30">
        <v>408</v>
      </c>
      <c r="CF92" s="30">
        <v>82</v>
      </c>
      <c r="CG92" s="30">
        <v>163</v>
      </c>
      <c r="CH92" s="30">
        <v>427</v>
      </c>
      <c r="CI92" s="30">
        <v>85</v>
      </c>
      <c r="CJ92" s="30">
        <v>171</v>
      </c>
      <c r="CK92" s="30">
        <v>447</v>
      </c>
      <c r="CL92" s="30">
        <v>89</v>
      </c>
      <c r="CM92" s="30">
        <v>179</v>
      </c>
    </row>
    <row r="93" spans="1:91" x14ac:dyDescent="0.25">
      <c r="A93" s="29" t="s">
        <v>106</v>
      </c>
      <c r="B93" s="30">
        <v>72</v>
      </c>
      <c r="C93" s="30">
        <v>180</v>
      </c>
      <c r="D93" s="30">
        <v>36</v>
      </c>
      <c r="E93" s="30">
        <v>78</v>
      </c>
      <c r="F93" s="30">
        <v>195</v>
      </c>
      <c r="G93" s="30">
        <v>39</v>
      </c>
      <c r="H93" s="30">
        <v>88</v>
      </c>
      <c r="I93" s="30">
        <v>221</v>
      </c>
      <c r="J93" s="30">
        <v>44</v>
      </c>
      <c r="K93" s="30">
        <v>101</v>
      </c>
      <c r="L93" s="30">
        <v>252</v>
      </c>
      <c r="M93" s="30">
        <v>50</v>
      </c>
      <c r="N93" s="30">
        <v>115</v>
      </c>
      <c r="O93" s="30">
        <v>287</v>
      </c>
      <c r="P93" s="30">
        <v>57</v>
      </c>
      <c r="Q93" s="30">
        <v>131</v>
      </c>
      <c r="R93" s="30">
        <v>326</v>
      </c>
      <c r="S93" s="30">
        <v>65</v>
      </c>
      <c r="T93" s="30">
        <v>147</v>
      </c>
      <c r="U93" s="30">
        <v>369</v>
      </c>
      <c r="V93" s="30">
        <v>74</v>
      </c>
      <c r="W93" s="30">
        <v>166</v>
      </c>
      <c r="X93" s="30">
        <v>414</v>
      </c>
      <c r="Y93" s="30">
        <v>83</v>
      </c>
      <c r="Z93" s="30">
        <v>185</v>
      </c>
      <c r="AA93" s="30">
        <v>462</v>
      </c>
      <c r="AB93" s="30">
        <v>92</v>
      </c>
      <c r="AC93" s="30">
        <v>205</v>
      </c>
      <c r="AD93" s="30">
        <v>513</v>
      </c>
      <c r="AE93" s="30">
        <v>103</v>
      </c>
      <c r="AF93" s="30">
        <v>226</v>
      </c>
      <c r="AG93" s="30">
        <v>566</v>
      </c>
      <c r="AH93" s="30">
        <v>113</v>
      </c>
      <c r="AI93" s="30">
        <v>248</v>
      </c>
      <c r="AJ93" s="30">
        <v>621</v>
      </c>
      <c r="AK93" s="30">
        <v>124</v>
      </c>
      <c r="AL93" s="30">
        <v>271</v>
      </c>
      <c r="AM93" s="30">
        <v>678</v>
      </c>
      <c r="AN93" s="30">
        <v>136</v>
      </c>
      <c r="AO93" s="30">
        <v>295</v>
      </c>
      <c r="AP93" s="30">
        <v>737</v>
      </c>
      <c r="AQ93" s="30">
        <v>147</v>
      </c>
      <c r="AR93" s="30">
        <v>319</v>
      </c>
      <c r="AS93" s="30">
        <v>798</v>
      </c>
      <c r="AT93" s="30">
        <v>160</v>
      </c>
      <c r="AU93" s="30">
        <v>344</v>
      </c>
      <c r="AV93" s="30">
        <v>861</v>
      </c>
      <c r="AW93" s="30">
        <v>172</v>
      </c>
      <c r="AX93" s="30">
        <v>370</v>
      </c>
      <c r="AY93" s="30">
        <v>925</v>
      </c>
      <c r="AZ93" s="30">
        <v>185</v>
      </c>
      <c r="BA93" s="30">
        <v>396</v>
      </c>
      <c r="BB93" s="30">
        <v>991</v>
      </c>
      <c r="BC93" s="30">
        <v>198</v>
      </c>
      <c r="BD93" s="30">
        <v>423</v>
      </c>
      <c r="BE93" s="30">
        <v>1059</v>
      </c>
      <c r="BF93" s="30">
        <v>212</v>
      </c>
      <c r="BG93" s="30">
        <v>451</v>
      </c>
      <c r="BH93" s="30">
        <v>1128</v>
      </c>
      <c r="BI93" s="30">
        <v>226</v>
      </c>
      <c r="BJ93" s="30">
        <v>479</v>
      </c>
      <c r="BK93" s="30">
        <v>1198</v>
      </c>
      <c r="BL93" s="30">
        <v>240</v>
      </c>
      <c r="BM93" s="30">
        <v>508</v>
      </c>
      <c r="BN93" s="30">
        <v>1270</v>
      </c>
      <c r="BO93" s="30">
        <v>254</v>
      </c>
      <c r="BP93" s="30">
        <v>537</v>
      </c>
      <c r="BQ93" s="30">
        <v>1344</v>
      </c>
      <c r="BR93" s="30">
        <v>269</v>
      </c>
      <c r="BS93" s="30">
        <v>567</v>
      </c>
      <c r="BT93" s="30">
        <v>1418</v>
      </c>
      <c r="BU93" s="30">
        <v>284</v>
      </c>
      <c r="BV93" s="30">
        <v>598</v>
      </c>
      <c r="BW93" s="30">
        <v>1494</v>
      </c>
      <c r="BX93" s="30">
        <v>299</v>
      </c>
      <c r="BY93" s="30">
        <v>629</v>
      </c>
      <c r="BZ93" s="30">
        <v>1572</v>
      </c>
      <c r="CA93" s="30">
        <v>314</v>
      </c>
      <c r="CB93" s="30">
        <v>660</v>
      </c>
      <c r="CC93" s="30">
        <v>1650</v>
      </c>
      <c r="CD93" s="30">
        <v>330</v>
      </c>
      <c r="CE93" s="30">
        <v>692</v>
      </c>
      <c r="CF93" s="30">
        <v>1730</v>
      </c>
      <c r="CG93" s="30">
        <v>346</v>
      </c>
      <c r="CH93" s="30">
        <v>724</v>
      </c>
      <c r="CI93" s="30">
        <v>1811</v>
      </c>
      <c r="CJ93" s="30">
        <v>362</v>
      </c>
      <c r="CK93" s="30">
        <v>757</v>
      </c>
      <c r="CL93" s="30">
        <v>1893</v>
      </c>
      <c r="CM93" s="30">
        <v>379</v>
      </c>
    </row>
    <row r="94" spans="1:91" x14ac:dyDescent="0.25">
      <c r="A94" s="29" t="s">
        <v>77</v>
      </c>
      <c r="B94" s="30">
        <v>10</v>
      </c>
      <c r="C94" s="30">
        <v>100</v>
      </c>
      <c r="D94" s="30">
        <v>50</v>
      </c>
      <c r="E94" s="30">
        <v>11</v>
      </c>
      <c r="F94" s="30">
        <v>111</v>
      </c>
      <c r="G94" s="30">
        <v>55</v>
      </c>
      <c r="H94" s="30">
        <v>13</v>
      </c>
      <c r="I94" s="30">
        <v>129</v>
      </c>
      <c r="J94" s="30">
        <v>65</v>
      </c>
      <c r="K94" s="30">
        <v>15</v>
      </c>
      <c r="L94" s="30">
        <v>152</v>
      </c>
      <c r="M94" s="30">
        <v>76</v>
      </c>
      <c r="N94" s="30">
        <v>18</v>
      </c>
      <c r="O94" s="30">
        <v>179</v>
      </c>
      <c r="P94" s="30">
        <v>89</v>
      </c>
      <c r="Q94" s="30">
        <v>21</v>
      </c>
      <c r="R94" s="30">
        <v>208</v>
      </c>
      <c r="S94" s="30">
        <v>104</v>
      </c>
      <c r="T94" s="30">
        <v>24</v>
      </c>
      <c r="U94" s="30">
        <v>241</v>
      </c>
      <c r="V94" s="30">
        <v>121</v>
      </c>
      <c r="W94" s="30">
        <v>28</v>
      </c>
      <c r="X94" s="30">
        <v>276</v>
      </c>
      <c r="Y94" s="30">
        <v>138</v>
      </c>
      <c r="Z94" s="30">
        <v>31</v>
      </c>
      <c r="AA94" s="30">
        <v>313</v>
      </c>
      <c r="AB94" s="30">
        <v>157</v>
      </c>
      <c r="AC94" s="30">
        <v>35</v>
      </c>
      <c r="AD94" s="30">
        <v>353</v>
      </c>
      <c r="AE94" s="30">
        <v>176</v>
      </c>
      <c r="AF94" s="30">
        <v>39</v>
      </c>
      <c r="AG94" s="30">
        <v>394</v>
      </c>
      <c r="AH94" s="30">
        <v>197</v>
      </c>
      <c r="AI94" s="30">
        <v>44</v>
      </c>
      <c r="AJ94" s="30">
        <v>437</v>
      </c>
      <c r="AK94" s="30">
        <v>219</v>
      </c>
      <c r="AL94" s="30">
        <v>48</v>
      </c>
      <c r="AM94" s="30">
        <v>482</v>
      </c>
      <c r="AN94" s="30">
        <v>241</v>
      </c>
      <c r="AO94" s="30">
        <v>53</v>
      </c>
      <c r="AP94" s="30">
        <v>529</v>
      </c>
      <c r="AQ94" s="30">
        <v>265</v>
      </c>
      <c r="AR94" s="30">
        <v>58</v>
      </c>
      <c r="AS94" s="30">
        <v>577</v>
      </c>
      <c r="AT94" s="30">
        <v>289</v>
      </c>
      <c r="AU94" s="30">
        <v>63</v>
      </c>
      <c r="AV94" s="30">
        <v>627</v>
      </c>
      <c r="AW94" s="30">
        <v>314</v>
      </c>
      <c r="AX94" s="30">
        <v>68</v>
      </c>
      <c r="AY94" s="30">
        <v>679</v>
      </c>
      <c r="AZ94" s="30">
        <v>339</v>
      </c>
      <c r="BA94" s="30">
        <v>73</v>
      </c>
      <c r="BB94" s="30">
        <v>731</v>
      </c>
      <c r="BC94" s="30">
        <v>366</v>
      </c>
      <c r="BD94" s="30">
        <v>79</v>
      </c>
      <c r="BE94" s="30">
        <v>786</v>
      </c>
      <c r="BF94" s="30">
        <v>393</v>
      </c>
      <c r="BG94" s="30">
        <v>84</v>
      </c>
      <c r="BH94" s="30">
        <v>841</v>
      </c>
      <c r="BI94" s="30">
        <v>421</v>
      </c>
      <c r="BJ94" s="30">
        <v>90</v>
      </c>
      <c r="BK94" s="30">
        <v>898</v>
      </c>
      <c r="BL94" s="30">
        <v>449</v>
      </c>
      <c r="BM94" s="30">
        <v>96</v>
      </c>
      <c r="BN94" s="30">
        <v>956</v>
      </c>
      <c r="BO94" s="30">
        <v>478</v>
      </c>
      <c r="BP94" s="30">
        <v>102</v>
      </c>
      <c r="BQ94" s="30">
        <v>1015</v>
      </c>
      <c r="BR94" s="30">
        <v>508</v>
      </c>
      <c r="BS94" s="30">
        <v>108</v>
      </c>
      <c r="BT94" s="30">
        <v>1076</v>
      </c>
      <c r="BU94" s="30">
        <v>538</v>
      </c>
      <c r="BV94" s="30">
        <v>114</v>
      </c>
      <c r="BW94" s="30">
        <v>1138</v>
      </c>
      <c r="BX94" s="30">
        <v>569</v>
      </c>
      <c r="BY94" s="30">
        <v>120</v>
      </c>
      <c r="BZ94" s="30">
        <v>1200</v>
      </c>
      <c r="CA94" s="30">
        <v>600</v>
      </c>
      <c r="CB94" s="30">
        <v>126</v>
      </c>
      <c r="CC94" s="30">
        <v>1264</v>
      </c>
      <c r="CD94" s="30">
        <v>632</v>
      </c>
      <c r="CE94" s="30">
        <v>133</v>
      </c>
      <c r="CF94" s="30">
        <v>1329</v>
      </c>
      <c r="CG94" s="30">
        <v>665</v>
      </c>
      <c r="CH94" s="30">
        <v>140</v>
      </c>
      <c r="CI94" s="30">
        <v>1395</v>
      </c>
      <c r="CJ94" s="30">
        <v>698</v>
      </c>
      <c r="CK94" s="30">
        <v>146</v>
      </c>
      <c r="CL94" s="30">
        <v>1463</v>
      </c>
      <c r="CM94" s="30">
        <v>731</v>
      </c>
    </row>
    <row r="95" spans="1:91" x14ac:dyDescent="0.25">
      <c r="A95" s="29" t="s">
        <v>50</v>
      </c>
      <c r="B95" s="30">
        <v>48</v>
      </c>
      <c r="C95" s="30">
        <v>48</v>
      </c>
      <c r="D95" s="30">
        <v>192</v>
      </c>
      <c r="E95" s="30">
        <v>52</v>
      </c>
      <c r="F95" s="30">
        <v>52</v>
      </c>
      <c r="G95" s="30">
        <v>208</v>
      </c>
      <c r="H95" s="30">
        <v>59</v>
      </c>
      <c r="I95" s="30">
        <v>59</v>
      </c>
      <c r="J95" s="30">
        <v>235</v>
      </c>
      <c r="K95" s="30">
        <v>67</v>
      </c>
      <c r="L95" s="30">
        <v>67</v>
      </c>
      <c r="M95" s="30">
        <v>268</v>
      </c>
      <c r="N95" s="30">
        <v>77</v>
      </c>
      <c r="O95" s="30">
        <v>77</v>
      </c>
      <c r="P95" s="30">
        <v>306</v>
      </c>
      <c r="Q95" s="30">
        <v>87</v>
      </c>
      <c r="R95" s="30">
        <v>87</v>
      </c>
      <c r="S95" s="30">
        <v>348</v>
      </c>
      <c r="T95" s="30">
        <v>98</v>
      </c>
      <c r="U95" s="30">
        <v>98</v>
      </c>
      <c r="V95" s="30">
        <v>393</v>
      </c>
      <c r="W95" s="30">
        <v>110</v>
      </c>
      <c r="X95" s="30">
        <v>110</v>
      </c>
      <c r="Y95" s="30">
        <v>442</v>
      </c>
      <c r="Z95" s="30">
        <v>123</v>
      </c>
      <c r="AA95" s="30">
        <v>123</v>
      </c>
      <c r="AB95" s="30">
        <v>493</v>
      </c>
      <c r="AC95" s="30">
        <v>137</v>
      </c>
      <c r="AD95" s="30">
        <v>137</v>
      </c>
      <c r="AE95" s="30">
        <v>547</v>
      </c>
      <c r="AF95" s="30">
        <v>151</v>
      </c>
      <c r="AG95" s="30">
        <v>151</v>
      </c>
      <c r="AH95" s="30">
        <v>604</v>
      </c>
      <c r="AI95" s="30">
        <v>166</v>
      </c>
      <c r="AJ95" s="30">
        <v>166</v>
      </c>
      <c r="AK95" s="30">
        <v>662</v>
      </c>
      <c r="AL95" s="30">
        <v>181</v>
      </c>
      <c r="AM95" s="30">
        <v>181</v>
      </c>
      <c r="AN95" s="30">
        <v>723</v>
      </c>
      <c r="AO95" s="30">
        <v>197</v>
      </c>
      <c r="AP95" s="30">
        <v>197</v>
      </c>
      <c r="AQ95" s="30">
        <v>786</v>
      </c>
      <c r="AR95" s="30">
        <v>213</v>
      </c>
      <c r="AS95" s="30">
        <v>213</v>
      </c>
      <c r="AT95" s="30">
        <v>851</v>
      </c>
      <c r="AU95" s="30">
        <v>230</v>
      </c>
      <c r="AV95" s="30">
        <v>230</v>
      </c>
      <c r="AW95" s="30">
        <v>918</v>
      </c>
      <c r="AX95" s="30">
        <v>247</v>
      </c>
      <c r="AY95" s="30">
        <v>247</v>
      </c>
      <c r="AZ95" s="30">
        <v>987</v>
      </c>
      <c r="BA95" s="30">
        <v>264</v>
      </c>
      <c r="BB95" s="30">
        <v>264</v>
      </c>
      <c r="BC95" s="30">
        <v>1057</v>
      </c>
      <c r="BD95" s="30">
        <v>282</v>
      </c>
      <c r="BE95" s="30">
        <v>282</v>
      </c>
      <c r="BF95" s="30">
        <v>1129</v>
      </c>
      <c r="BG95" s="30">
        <v>301</v>
      </c>
      <c r="BH95" s="30">
        <v>301</v>
      </c>
      <c r="BI95" s="30">
        <v>1203</v>
      </c>
      <c r="BJ95" s="30">
        <v>320</v>
      </c>
      <c r="BK95" s="30">
        <v>320</v>
      </c>
      <c r="BL95" s="30">
        <v>1278</v>
      </c>
      <c r="BM95" s="30">
        <v>339</v>
      </c>
      <c r="BN95" s="30">
        <v>339</v>
      </c>
      <c r="BO95" s="30">
        <v>1355</v>
      </c>
      <c r="BP95" s="30">
        <v>358</v>
      </c>
      <c r="BQ95" s="30">
        <v>358</v>
      </c>
      <c r="BR95" s="30">
        <v>1433</v>
      </c>
      <c r="BS95" s="30">
        <v>378</v>
      </c>
      <c r="BT95" s="30">
        <v>378</v>
      </c>
      <c r="BU95" s="30">
        <v>1513</v>
      </c>
      <c r="BV95" s="30">
        <v>398</v>
      </c>
      <c r="BW95" s="30">
        <v>398</v>
      </c>
      <c r="BX95" s="30">
        <v>1594</v>
      </c>
      <c r="BY95" s="30">
        <v>419</v>
      </c>
      <c r="BZ95" s="30">
        <v>419</v>
      </c>
      <c r="CA95" s="30">
        <v>1676</v>
      </c>
      <c r="CB95" s="30">
        <v>440</v>
      </c>
      <c r="CC95" s="30">
        <v>440</v>
      </c>
      <c r="CD95" s="30">
        <v>1760</v>
      </c>
      <c r="CE95" s="30">
        <v>461</v>
      </c>
      <c r="CF95" s="30">
        <v>461</v>
      </c>
      <c r="CG95" s="30">
        <v>1845</v>
      </c>
      <c r="CH95" s="30">
        <v>483</v>
      </c>
      <c r="CI95" s="30">
        <v>483</v>
      </c>
      <c r="CJ95" s="30">
        <v>1932</v>
      </c>
      <c r="CK95" s="30">
        <v>505</v>
      </c>
      <c r="CL95" s="30">
        <v>505</v>
      </c>
      <c r="CM95" s="30">
        <v>2019</v>
      </c>
    </row>
    <row r="96" spans="1:91" x14ac:dyDescent="0.25">
      <c r="A96" s="29" t="s">
        <v>734</v>
      </c>
      <c r="B96" s="30">
        <v>6</v>
      </c>
      <c r="C96" s="30">
        <v>6</v>
      </c>
      <c r="D96" s="30">
        <v>12</v>
      </c>
      <c r="E96" s="30">
        <v>7</v>
      </c>
      <c r="F96" s="30">
        <v>7</v>
      </c>
      <c r="G96" s="30">
        <v>13</v>
      </c>
      <c r="H96" s="30">
        <v>8</v>
      </c>
      <c r="I96" s="30">
        <v>8</v>
      </c>
      <c r="J96" s="30">
        <v>15</v>
      </c>
      <c r="K96" s="30">
        <v>9</v>
      </c>
      <c r="L96" s="30">
        <v>9</v>
      </c>
      <c r="M96" s="30">
        <v>18</v>
      </c>
      <c r="N96" s="30">
        <v>10</v>
      </c>
      <c r="O96" s="30">
        <v>10</v>
      </c>
      <c r="P96" s="30">
        <v>21</v>
      </c>
      <c r="Q96" s="30">
        <v>12</v>
      </c>
      <c r="R96" s="30">
        <v>12</v>
      </c>
      <c r="S96" s="30">
        <v>24</v>
      </c>
      <c r="T96" s="30">
        <v>14</v>
      </c>
      <c r="U96" s="30">
        <v>14</v>
      </c>
      <c r="V96" s="30">
        <v>27</v>
      </c>
      <c r="W96" s="30">
        <v>15</v>
      </c>
      <c r="X96" s="30">
        <v>15</v>
      </c>
      <c r="Y96" s="30">
        <v>31</v>
      </c>
      <c r="Z96" s="30">
        <v>17</v>
      </c>
      <c r="AA96" s="30">
        <v>17</v>
      </c>
      <c r="AB96" s="30">
        <v>35</v>
      </c>
      <c r="AC96" s="30">
        <v>19</v>
      </c>
      <c r="AD96" s="30">
        <v>19</v>
      </c>
      <c r="AE96" s="30">
        <v>39</v>
      </c>
      <c r="AF96" s="30">
        <v>22</v>
      </c>
      <c r="AG96" s="30">
        <v>22</v>
      </c>
      <c r="AH96" s="30">
        <v>43</v>
      </c>
      <c r="AI96" s="30">
        <v>24</v>
      </c>
      <c r="AJ96" s="30">
        <v>24</v>
      </c>
      <c r="AK96" s="30">
        <v>48</v>
      </c>
      <c r="AL96" s="30">
        <v>26</v>
      </c>
      <c r="AM96" s="30">
        <v>26</v>
      </c>
      <c r="AN96" s="30">
        <v>52</v>
      </c>
      <c r="AO96" s="30">
        <v>29</v>
      </c>
      <c r="AP96" s="30">
        <v>29</v>
      </c>
      <c r="AQ96" s="30">
        <v>57</v>
      </c>
      <c r="AR96" s="30">
        <v>31</v>
      </c>
      <c r="AS96" s="30">
        <v>31</v>
      </c>
      <c r="AT96" s="30">
        <v>62</v>
      </c>
      <c r="AU96" s="30">
        <v>33</v>
      </c>
      <c r="AV96" s="30">
        <v>33</v>
      </c>
      <c r="AW96" s="30">
        <v>67</v>
      </c>
      <c r="AX96" s="30">
        <v>36</v>
      </c>
      <c r="AY96" s="30">
        <v>36</v>
      </c>
      <c r="AZ96" s="30">
        <v>72</v>
      </c>
      <c r="BA96" s="30">
        <v>39</v>
      </c>
      <c r="BB96" s="30">
        <v>39</v>
      </c>
      <c r="BC96" s="30">
        <v>77</v>
      </c>
      <c r="BD96" s="30">
        <v>41</v>
      </c>
      <c r="BE96" s="30">
        <v>41</v>
      </c>
      <c r="BF96" s="30">
        <v>83</v>
      </c>
      <c r="BG96" s="30">
        <v>44</v>
      </c>
      <c r="BH96" s="30">
        <v>44</v>
      </c>
      <c r="BI96" s="30">
        <v>88</v>
      </c>
      <c r="BJ96" s="30">
        <v>47</v>
      </c>
      <c r="BK96" s="30">
        <v>47</v>
      </c>
      <c r="BL96" s="30">
        <v>94</v>
      </c>
      <c r="BM96" s="30">
        <v>50</v>
      </c>
      <c r="BN96" s="30">
        <v>50</v>
      </c>
      <c r="BO96" s="30">
        <v>100</v>
      </c>
      <c r="BP96" s="30">
        <v>53</v>
      </c>
      <c r="BQ96" s="30">
        <v>53</v>
      </c>
      <c r="BR96" s="30">
        <v>106</v>
      </c>
      <c r="BS96" s="30">
        <v>56</v>
      </c>
      <c r="BT96" s="30">
        <v>56</v>
      </c>
      <c r="BU96" s="30">
        <v>112</v>
      </c>
      <c r="BV96" s="30">
        <v>59</v>
      </c>
      <c r="BW96" s="30">
        <v>59</v>
      </c>
      <c r="BX96" s="30">
        <v>118</v>
      </c>
      <c r="BY96" s="30">
        <v>62</v>
      </c>
      <c r="BZ96" s="30">
        <v>62</v>
      </c>
      <c r="CA96" s="30">
        <v>124</v>
      </c>
      <c r="CB96" s="30">
        <v>65</v>
      </c>
      <c r="CC96" s="30">
        <v>65</v>
      </c>
      <c r="CD96" s="30">
        <v>131</v>
      </c>
      <c r="CE96" s="30">
        <v>69</v>
      </c>
      <c r="CF96" s="30">
        <v>69</v>
      </c>
      <c r="CG96" s="30">
        <v>137</v>
      </c>
      <c r="CH96" s="30">
        <v>72</v>
      </c>
      <c r="CI96" s="30">
        <v>72</v>
      </c>
      <c r="CJ96" s="30">
        <v>144</v>
      </c>
      <c r="CK96" s="30">
        <v>75</v>
      </c>
      <c r="CL96" s="30">
        <v>75</v>
      </c>
      <c r="CM96" s="30">
        <v>150</v>
      </c>
    </row>
    <row r="97" spans="1:91" x14ac:dyDescent="0.25">
      <c r="A97" s="29" t="s">
        <v>736</v>
      </c>
      <c r="B97" s="30">
        <v>10</v>
      </c>
      <c r="C97" s="30">
        <v>10</v>
      </c>
      <c r="D97" s="30">
        <v>4</v>
      </c>
      <c r="E97" s="30">
        <v>11</v>
      </c>
      <c r="F97" s="30">
        <v>11</v>
      </c>
      <c r="G97" s="30">
        <v>4</v>
      </c>
      <c r="H97" s="30">
        <v>13</v>
      </c>
      <c r="I97" s="30">
        <v>13</v>
      </c>
      <c r="J97" s="30">
        <v>5</v>
      </c>
      <c r="K97" s="30">
        <v>15</v>
      </c>
      <c r="L97" s="30">
        <v>15</v>
      </c>
      <c r="M97" s="30">
        <v>6</v>
      </c>
      <c r="N97" s="30">
        <v>17</v>
      </c>
      <c r="O97" s="30">
        <v>17</v>
      </c>
      <c r="P97" s="30">
        <v>7</v>
      </c>
      <c r="Q97" s="30">
        <v>20</v>
      </c>
      <c r="R97" s="30">
        <v>20</v>
      </c>
      <c r="S97" s="30">
        <v>8</v>
      </c>
      <c r="T97" s="30">
        <v>23</v>
      </c>
      <c r="U97" s="30">
        <v>23</v>
      </c>
      <c r="V97" s="30">
        <v>9</v>
      </c>
      <c r="W97" s="30">
        <v>26</v>
      </c>
      <c r="X97" s="30">
        <v>26</v>
      </c>
      <c r="Y97" s="30">
        <v>10</v>
      </c>
      <c r="Z97" s="30">
        <v>29</v>
      </c>
      <c r="AA97" s="30">
        <v>29</v>
      </c>
      <c r="AB97" s="30">
        <v>12</v>
      </c>
      <c r="AC97" s="30">
        <v>32</v>
      </c>
      <c r="AD97" s="30">
        <v>32</v>
      </c>
      <c r="AE97" s="30">
        <v>13</v>
      </c>
      <c r="AF97" s="30">
        <v>36</v>
      </c>
      <c r="AG97" s="30">
        <v>36</v>
      </c>
      <c r="AH97" s="30">
        <v>14</v>
      </c>
      <c r="AI97" s="30">
        <v>40</v>
      </c>
      <c r="AJ97" s="30">
        <v>40</v>
      </c>
      <c r="AK97" s="30">
        <v>16</v>
      </c>
      <c r="AL97" s="30">
        <v>44</v>
      </c>
      <c r="AM97" s="30">
        <v>44</v>
      </c>
      <c r="AN97" s="30">
        <v>17</v>
      </c>
      <c r="AO97" s="30">
        <v>48</v>
      </c>
      <c r="AP97" s="30">
        <v>48</v>
      </c>
      <c r="AQ97" s="30">
        <v>19</v>
      </c>
      <c r="AR97" s="30">
        <v>52</v>
      </c>
      <c r="AS97" s="30">
        <v>52</v>
      </c>
      <c r="AT97" s="30">
        <v>21</v>
      </c>
      <c r="AU97" s="30">
        <v>56</v>
      </c>
      <c r="AV97" s="30">
        <v>56</v>
      </c>
      <c r="AW97" s="30">
        <v>22</v>
      </c>
      <c r="AX97" s="30">
        <v>60</v>
      </c>
      <c r="AY97" s="30">
        <v>60</v>
      </c>
      <c r="AZ97" s="30">
        <v>24</v>
      </c>
      <c r="BA97" s="30">
        <v>65</v>
      </c>
      <c r="BB97" s="30">
        <v>65</v>
      </c>
      <c r="BC97" s="30">
        <v>26</v>
      </c>
      <c r="BD97" s="30">
        <v>69</v>
      </c>
      <c r="BE97" s="30">
        <v>69</v>
      </c>
      <c r="BF97" s="30">
        <v>28</v>
      </c>
      <c r="BG97" s="30">
        <v>74</v>
      </c>
      <c r="BH97" s="30">
        <v>74</v>
      </c>
      <c r="BI97" s="30">
        <v>29</v>
      </c>
      <c r="BJ97" s="30">
        <v>79</v>
      </c>
      <c r="BK97" s="30">
        <v>79</v>
      </c>
      <c r="BL97" s="30">
        <v>31</v>
      </c>
      <c r="BM97" s="30">
        <v>83</v>
      </c>
      <c r="BN97" s="30">
        <v>83</v>
      </c>
      <c r="BO97" s="30">
        <v>33</v>
      </c>
      <c r="BP97" s="30">
        <v>88</v>
      </c>
      <c r="BQ97" s="30">
        <v>88</v>
      </c>
      <c r="BR97" s="30">
        <v>35</v>
      </c>
      <c r="BS97" s="30">
        <v>93</v>
      </c>
      <c r="BT97" s="30">
        <v>93</v>
      </c>
      <c r="BU97" s="30">
        <v>37</v>
      </c>
      <c r="BV97" s="30">
        <v>98</v>
      </c>
      <c r="BW97" s="30">
        <v>98</v>
      </c>
      <c r="BX97" s="30">
        <v>39</v>
      </c>
      <c r="BY97" s="30">
        <v>104</v>
      </c>
      <c r="BZ97" s="30">
        <v>104</v>
      </c>
      <c r="CA97" s="30">
        <v>41</v>
      </c>
      <c r="CB97" s="30">
        <v>109</v>
      </c>
      <c r="CC97" s="30">
        <v>109</v>
      </c>
      <c r="CD97" s="30">
        <v>44</v>
      </c>
      <c r="CE97" s="30">
        <v>114</v>
      </c>
      <c r="CF97" s="30">
        <v>114</v>
      </c>
      <c r="CG97" s="30">
        <v>46</v>
      </c>
      <c r="CH97" s="30">
        <v>120</v>
      </c>
      <c r="CI97" s="30">
        <v>120</v>
      </c>
      <c r="CJ97" s="30">
        <v>48</v>
      </c>
      <c r="CK97" s="30">
        <v>125</v>
      </c>
      <c r="CL97" s="30">
        <v>125</v>
      </c>
      <c r="CM97" s="30">
        <v>50</v>
      </c>
    </row>
    <row r="98" spans="1:91" x14ac:dyDescent="0.25">
      <c r="A98" s="29" t="s">
        <v>738</v>
      </c>
      <c r="B98" s="30">
        <v>10</v>
      </c>
      <c r="C98" s="30">
        <v>4</v>
      </c>
      <c r="D98" s="30">
        <v>10</v>
      </c>
      <c r="E98" s="30">
        <v>11</v>
      </c>
      <c r="F98" s="30">
        <v>4</v>
      </c>
      <c r="G98" s="30">
        <v>11</v>
      </c>
      <c r="H98" s="30">
        <v>13</v>
      </c>
      <c r="I98" s="30">
        <v>5</v>
      </c>
      <c r="J98" s="30">
        <v>13</v>
      </c>
      <c r="K98" s="30">
        <v>15</v>
      </c>
      <c r="L98" s="30">
        <v>6</v>
      </c>
      <c r="M98" s="30">
        <v>15</v>
      </c>
      <c r="N98" s="30">
        <v>17</v>
      </c>
      <c r="O98" s="30">
        <v>7</v>
      </c>
      <c r="P98" s="30">
        <v>17</v>
      </c>
      <c r="Q98" s="30">
        <v>20</v>
      </c>
      <c r="R98" s="30">
        <v>8</v>
      </c>
      <c r="S98" s="30">
        <v>20</v>
      </c>
      <c r="T98" s="30">
        <v>23</v>
      </c>
      <c r="U98" s="30">
        <v>9</v>
      </c>
      <c r="V98" s="30">
        <v>23</v>
      </c>
      <c r="W98" s="30">
        <v>26</v>
      </c>
      <c r="X98" s="30">
        <v>10</v>
      </c>
      <c r="Y98" s="30">
        <v>26</v>
      </c>
      <c r="Z98" s="30">
        <v>29</v>
      </c>
      <c r="AA98" s="30">
        <v>12</v>
      </c>
      <c r="AB98" s="30">
        <v>29</v>
      </c>
      <c r="AC98" s="30">
        <v>32</v>
      </c>
      <c r="AD98" s="30">
        <v>13</v>
      </c>
      <c r="AE98" s="30">
        <v>32</v>
      </c>
      <c r="AF98" s="30">
        <v>36</v>
      </c>
      <c r="AG98" s="30">
        <v>14</v>
      </c>
      <c r="AH98" s="30">
        <v>36</v>
      </c>
      <c r="AI98" s="30">
        <v>40</v>
      </c>
      <c r="AJ98" s="30">
        <v>16</v>
      </c>
      <c r="AK98" s="30">
        <v>40</v>
      </c>
      <c r="AL98" s="30">
        <v>44</v>
      </c>
      <c r="AM98" s="30">
        <v>17</v>
      </c>
      <c r="AN98" s="30">
        <v>44</v>
      </c>
      <c r="AO98" s="30">
        <v>48</v>
      </c>
      <c r="AP98" s="30">
        <v>19</v>
      </c>
      <c r="AQ98" s="30">
        <v>48</v>
      </c>
      <c r="AR98" s="30">
        <v>52</v>
      </c>
      <c r="AS98" s="30">
        <v>21</v>
      </c>
      <c r="AT98" s="30">
        <v>52</v>
      </c>
      <c r="AU98" s="30">
        <v>56</v>
      </c>
      <c r="AV98" s="30">
        <v>22</v>
      </c>
      <c r="AW98" s="30">
        <v>56</v>
      </c>
      <c r="AX98" s="30">
        <v>60</v>
      </c>
      <c r="AY98" s="30">
        <v>24</v>
      </c>
      <c r="AZ98" s="30">
        <v>60</v>
      </c>
      <c r="BA98" s="30">
        <v>65</v>
      </c>
      <c r="BB98" s="30">
        <v>26</v>
      </c>
      <c r="BC98" s="30">
        <v>65</v>
      </c>
      <c r="BD98" s="30">
        <v>69</v>
      </c>
      <c r="BE98" s="30">
        <v>28</v>
      </c>
      <c r="BF98" s="30">
        <v>69</v>
      </c>
      <c r="BG98" s="30">
        <v>74</v>
      </c>
      <c r="BH98" s="30">
        <v>29</v>
      </c>
      <c r="BI98" s="30">
        <v>74</v>
      </c>
      <c r="BJ98" s="30">
        <v>79</v>
      </c>
      <c r="BK98" s="30">
        <v>31</v>
      </c>
      <c r="BL98" s="30">
        <v>79</v>
      </c>
      <c r="BM98" s="30">
        <v>83</v>
      </c>
      <c r="BN98" s="30">
        <v>33</v>
      </c>
      <c r="BO98" s="30">
        <v>83</v>
      </c>
      <c r="BP98" s="30">
        <v>88</v>
      </c>
      <c r="BQ98" s="30">
        <v>35</v>
      </c>
      <c r="BR98" s="30">
        <v>88</v>
      </c>
      <c r="BS98" s="30">
        <v>93</v>
      </c>
      <c r="BT98" s="30">
        <v>37</v>
      </c>
      <c r="BU98" s="30">
        <v>93</v>
      </c>
      <c r="BV98" s="30">
        <v>98</v>
      </c>
      <c r="BW98" s="30">
        <v>39</v>
      </c>
      <c r="BX98" s="30">
        <v>98</v>
      </c>
      <c r="BY98" s="30">
        <v>104</v>
      </c>
      <c r="BZ98" s="30">
        <v>41</v>
      </c>
      <c r="CA98" s="30">
        <v>104</v>
      </c>
      <c r="CB98" s="30">
        <v>109</v>
      </c>
      <c r="CC98" s="30">
        <v>44</v>
      </c>
      <c r="CD98" s="30">
        <v>109</v>
      </c>
      <c r="CE98" s="30">
        <v>114</v>
      </c>
      <c r="CF98" s="30">
        <v>46</v>
      </c>
      <c r="CG98" s="30">
        <v>114</v>
      </c>
      <c r="CH98" s="30">
        <v>120</v>
      </c>
      <c r="CI98" s="30">
        <v>48</v>
      </c>
      <c r="CJ98" s="30">
        <v>120</v>
      </c>
      <c r="CK98" s="30">
        <v>125</v>
      </c>
      <c r="CL98" s="30">
        <v>50</v>
      </c>
      <c r="CM98" s="30">
        <v>125</v>
      </c>
    </row>
    <row r="99" spans="1:91" x14ac:dyDescent="0.25">
      <c r="A99" s="29" t="s">
        <v>740</v>
      </c>
      <c r="B99" s="30">
        <v>12</v>
      </c>
      <c r="C99" s="30">
        <v>6</v>
      </c>
      <c r="D99" s="30">
        <v>6</v>
      </c>
      <c r="E99" s="30">
        <v>13</v>
      </c>
      <c r="F99" s="30">
        <v>7</v>
      </c>
      <c r="G99" s="30">
        <v>7</v>
      </c>
      <c r="H99" s="30">
        <v>15</v>
      </c>
      <c r="I99" s="30">
        <v>8</v>
      </c>
      <c r="J99" s="30">
        <v>8</v>
      </c>
      <c r="K99" s="30">
        <v>18</v>
      </c>
      <c r="L99" s="30">
        <v>9</v>
      </c>
      <c r="M99" s="30">
        <v>9</v>
      </c>
      <c r="N99" s="30">
        <v>21</v>
      </c>
      <c r="O99" s="30">
        <v>10</v>
      </c>
      <c r="P99" s="30">
        <v>10</v>
      </c>
      <c r="Q99" s="30">
        <v>24</v>
      </c>
      <c r="R99" s="30">
        <v>12</v>
      </c>
      <c r="S99" s="30">
        <v>12</v>
      </c>
      <c r="T99" s="30">
        <v>27</v>
      </c>
      <c r="U99" s="30">
        <v>14</v>
      </c>
      <c r="V99" s="30">
        <v>14</v>
      </c>
      <c r="W99" s="30">
        <v>31</v>
      </c>
      <c r="X99" s="30">
        <v>15</v>
      </c>
      <c r="Y99" s="30">
        <v>15</v>
      </c>
      <c r="Z99" s="30">
        <v>35</v>
      </c>
      <c r="AA99" s="30">
        <v>17</v>
      </c>
      <c r="AB99" s="30">
        <v>17</v>
      </c>
      <c r="AC99" s="30">
        <v>39</v>
      </c>
      <c r="AD99" s="30">
        <v>19</v>
      </c>
      <c r="AE99" s="30">
        <v>19</v>
      </c>
      <c r="AF99" s="30">
        <v>43</v>
      </c>
      <c r="AG99" s="30">
        <v>22</v>
      </c>
      <c r="AH99" s="30">
        <v>22</v>
      </c>
      <c r="AI99" s="30">
        <v>48</v>
      </c>
      <c r="AJ99" s="30">
        <v>24</v>
      </c>
      <c r="AK99" s="30">
        <v>24</v>
      </c>
      <c r="AL99" s="30">
        <v>52</v>
      </c>
      <c r="AM99" s="30">
        <v>26</v>
      </c>
      <c r="AN99" s="30">
        <v>26</v>
      </c>
      <c r="AO99" s="30">
        <v>57</v>
      </c>
      <c r="AP99" s="30">
        <v>29</v>
      </c>
      <c r="AQ99" s="30">
        <v>29</v>
      </c>
      <c r="AR99" s="30">
        <v>62</v>
      </c>
      <c r="AS99" s="30">
        <v>31</v>
      </c>
      <c r="AT99" s="30">
        <v>31</v>
      </c>
      <c r="AU99" s="30">
        <v>67</v>
      </c>
      <c r="AV99" s="30">
        <v>33</v>
      </c>
      <c r="AW99" s="30">
        <v>33</v>
      </c>
      <c r="AX99" s="30">
        <v>72</v>
      </c>
      <c r="AY99" s="30">
        <v>36</v>
      </c>
      <c r="AZ99" s="30">
        <v>36</v>
      </c>
      <c r="BA99" s="30">
        <v>77</v>
      </c>
      <c r="BB99" s="30">
        <v>39</v>
      </c>
      <c r="BC99" s="30">
        <v>39</v>
      </c>
      <c r="BD99" s="30">
        <v>83</v>
      </c>
      <c r="BE99" s="30">
        <v>41</v>
      </c>
      <c r="BF99" s="30">
        <v>41</v>
      </c>
      <c r="BG99" s="30">
        <v>88</v>
      </c>
      <c r="BH99" s="30">
        <v>44</v>
      </c>
      <c r="BI99" s="30">
        <v>44</v>
      </c>
      <c r="BJ99" s="30">
        <v>94</v>
      </c>
      <c r="BK99" s="30">
        <v>47</v>
      </c>
      <c r="BL99" s="30">
        <v>47</v>
      </c>
      <c r="BM99" s="30">
        <v>100</v>
      </c>
      <c r="BN99" s="30">
        <v>50</v>
      </c>
      <c r="BO99" s="30">
        <v>50</v>
      </c>
      <c r="BP99" s="30">
        <v>106</v>
      </c>
      <c r="BQ99" s="30">
        <v>53</v>
      </c>
      <c r="BR99" s="30">
        <v>53</v>
      </c>
      <c r="BS99" s="30">
        <v>112</v>
      </c>
      <c r="BT99" s="30">
        <v>56</v>
      </c>
      <c r="BU99" s="30">
        <v>56</v>
      </c>
      <c r="BV99" s="30">
        <v>118</v>
      </c>
      <c r="BW99" s="30">
        <v>59</v>
      </c>
      <c r="BX99" s="30">
        <v>59</v>
      </c>
      <c r="BY99" s="30">
        <v>124</v>
      </c>
      <c r="BZ99" s="30">
        <v>62</v>
      </c>
      <c r="CA99" s="30">
        <v>62</v>
      </c>
      <c r="CB99" s="30">
        <v>131</v>
      </c>
      <c r="CC99" s="30">
        <v>65</v>
      </c>
      <c r="CD99" s="30">
        <v>65</v>
      </c>
      <c r="CE99" s="30">
        <v>137</v>
      </c>
      <c r="CF99" s="30">
        <v>69</v>
      </c>
      <c r="CG99" s="30">
        <v>69</v>
      </c>
      <c r="CH99" s="30">
        <v>144</v>
      </c>
      <c r="CI99" s="30">
        <v>72</v>
      </c>
      <c r="CJ99" s="30">
        <v>72</v>
      </c>
      <c r="CK99" s="30">
        <v>150</v>
      </c>
      <c r="CL99" s="30">
        <v>75</v>
      </c>
      <c r="CM99" s="30">
        <v>75</v>
      </c>
    </row>
    <row r="100" spans="1:91" x14ac:dyDescent="0.25">
      <c r="A100" s="29" t="s">
        <v>742</v>
      </c>
      <c r="B100" s="30">
        <v>6</v>
      </c>
      <c r="C100" s="30">
        <v>12</v>
      </c>
      <c r="D100" s="30">
        <v>6</v>
      </c>
      <c r="E100" s="30">
        <v>7</v>
      </c>
      <c r="F100" s="30">
        <v>13</v>
      </c>
      <c r="G100" s="30">
        <v>7</v>
      </c>
      <c r="H100" s="30">
        <v>8</v>
      </c>
      <c r="I100" s="30">
        <v>15</v>
      </c>
      <c r="J100" s="30">
        <v>8</v>
      </c>
      <c r="K100" s="30">
        <v>9</v>
      </c>
      <c r="L100" s="30">
        <v>18</v>
      </c>
      <c r="M100" s="30">
        <v>9</v>
      </c>
      <c r="N100" s="30">
        <v>10</v>
      </c>
      <c r="O100" s="30">
        <v>21</v>
      </c>
      <c r="P100" s="30">
        <v>10</v>
      </c>
      <c r="Q100" s="30">
        <v>12</v>
      </c>
      <c r="R100" s="30">
        <v>24</v>
      </c>
      <c r="S100" s="30">
        <v>12</v>
      </c>
      <c r="T100" s="30">
        <v>14</v>
      </c>
      <c r="U100" s="30">
        <v>27</v>
      </c>
      <c r="V100" s="30">
        <v>14</v>
      </c>
      <c r="W100" s="30">
        <v>15</v>
      </c>
      <c r="X100" s="30">
        <v>31</v>
      </c>
      <c r="Y100" s="30">
        <v>15</v>
      </c>
      <c r="Z100" s="30">
        <v>17</v>
      </c>
      <c r="AA100" s="30">
        <v>35</v>
      </c>
      <c r="AB100" s="30">
        <v>17</v>
      </c>
      <c r="AC100" s="30">
        <v>19</v>
      </c>
      <c r="AD100" s="30">
        <v>39</v>
      </c>
      <c r="AE100" s="30">
        <v>19</v>
      </c>
      <c r="AF100" s="30">
        <v>22</v>
      </c>
      <c r="AG100" s="30">
        <v>43</v>
      </c>
      <c r="AH100" s="30">
        <v>22</v>
      </c>
      <c r="AI100" s="30">
        <v>24</v>
      </c>
      <c r="AJ100" s="30">
        <v>48</v>
      </c>
      <c r="AK100" s="30">
        <v>24</v>
      </c>
      <c r="AL100" s="30">
        <v>26</v>
      </c>
      <c r="AM100" s="30">
        <v>52</v>
      </c>
      <c r="AN100" s="30">
        <v>26</v>
      </c>
      <c r="AO100" s="30">
        <v>29</v>
      </c>
      <c r="AP100" s="30">
        <v>57</v>
      </c>
      <c r="AQ100" s="30">
        <v>29</v>
      </c>
      <c r="AR100" s="30">
        <v>31</v>
      </c>
      <c r="AS100" s="30">
        <v>62</v>
      </c>
      <c r="AT100" s="30">
        <v>31</v>
      </c>
      <c r="AU100" s="30">
        <v>33</v>
      </c>
      <c r="AV100" s="30">
        <v>67</v>
      </c>
      <c r="AW100" s="30">
        <v>33</v>
      </c>
      <c r="AX100" s="30">
        <v>36</v>
      </c>
      <c r="AY100" s="30">
        <v>72</v>
      </c>
      <c r="AZ100" s="30">
        <v>36</v>
      </c>
      <c r="BA100" s="30">
        <v>39</v>
      </c>
      <c r="BB100" s="30">
        <v>77</v>
      </c>
      <c r="BC100" s="30">
        <v>39</v>
      </c>
      <c r="BD100" s="30">
        <v>41</v>
      </c>
      <c r="BE100" s="30">
        <v>83</v>
      </c>
      <c r="BF100" s="30">
        <v>41</v>
      </c>
      <c r="BG100" s="30">
        <v>44</v>
      </c>
      <c r="BH100" s="30">
        <v>88</v>
      </c>
      <c r="BI100" s="30">
        <v>44</v>
      </c>
      <c r="BJ100" s="30">
        <v>47</v>
      </c>
      <c r="BK100" s="30">
        <v>94</v>
      </c>
      <c r="BL100" s="30">
        <v>47</v>
      </c>
      <c r="BM100" s="30">
        <v>50</v>
      </c>
      <c r="BN100" s="30">
        <v>100</v>
      </c>
      <c r="BO100" s="30">
        <v>50</v>
      </c>
      <c r="BP100" s="30">
        <v>53</v>
      </c>
      <c r="BQ100" s="30">
        <v>106</v>
      </c>
      <c r="BR100" s="30">
        <v>53</v>
      </c>
      <c r="BS100" s="30">
        <v>56</v>
      </c>
      <c r="BT100" s="30">
        <v>112</v>
      </c>
      <c r="BU100" s="30">
        <v>56</v>
      </c>
      <c r="BV100" s="30">
        <v>59</v>
      </c>
      <c r="BW100" s="30">
        <v>118</v>
      </c>
      <c r="BX100" s="30">
        <v>59</v>
      </c>
      <c r="BY100" s="30">
        <v>62</v>
      </c>
      <c r="BZ100" s="30">
        <v>124</v>
      </c>
      <c r="CA100" s="30">
        <v>62</v>
      </c>
      <c r="CB100" s="30">
        <v>65</v>
      </c>
      <c r="CC100" s="30">
        <v>131</v>
      </c>
      <c r="CD100" s="30">
        <v>65</v>
      </c>
      <c r="CE100" s="30">
        <v>69</v>
      </c>
      <c r="CF100" s="30">
        <v>137</v>
      </c>
      <c r="CG100" s="30">
        <v>69</v>
      </c>
      <c r="CH100" s="30">
        <v>72</v>
      </c>
      <c r="CI100" s="30">
        <v>144</v>
      </c>
      <c r="CJ100" s="30">
        <v>72</v>
      </c>
      <c r="CK100" s="30">
        <v>75</v>
      </c>
      <c r="CL100" s="30">
        <v>150</v>
      </c>
      <c r="CM100" s="30">
        <v>75</v>
      </c>
    </row>
    <row r="101" spans="1:91" x14ac:dyDescent="0.25">
      <c r="A101" s="29" t="s">
        <v>1645</v>
      </c>
      <c r="B101" s="30">
        <v>33</v>
      </c>
      <c r="C101" s="30">
        <v>38</v>
      </c>
      <c r="D101" s="30">
        <v>25</v>
      </c>
      <c r="E101" s="30">
        <v>35</v>
      </c>
      <c r="F101" s="30">
        <v>41</v>
      </c>
      <c r="G101" s="30">
        <v>27</v>
      </c>
      <c r="H101" s="30">
        <v>40</v>
      </c>
      <c r="I101" s="30">
        <v>47</v>
      </c>
      <c r="J101" s="30">
        <v>31</v>
      </c>
      <c r="K101" s="30">
        <v>47</v>
      </c>
      <c r="L101" s="30">
        <v>54</v>
      </c>
      <c r="M101" s="30">
        <v>36</v>
      </c>
      <c r="N101" s="30">
        <v>54</v>
      </c>
      <c r="O101" s="30">
        <v>62</v>
      </c>
      <c r="P101" s="30">
        <v>41</v>
      </c>
      <c r="Q101" s="30">
        <v>62</v>
      </c>
      <c r="R101" s="30">
        <v>71</v>
      </c>
      <c r="S101" s="30">
        <v>48</v>
      </c>
      <c r="T101" s="30">
        <v>70</v>
      </c>
      <c r="U101" s="30">
        <v>81</v>
      </c>
      <c r="V101" s="30">
        <v>54</v>
      </c>
      <c r="W101" s="30">
        <v>80</v>
      </c>
      <c r="X101" s="30">
        <v>92</v>
      </c>
      <c r="Y101" s="30">
        <v>61</v>
      </c>
      <c r="Z101" s="30">
        <v>90</v>
      </c>
      <c r="AA101" s="30">
        <v>103</v>
      </c>
      <c r="AB101" s="30">
        <v>69</v>
      </c>
      <c r="AC101" s="30">
        <v>100</v>
      </c>
      <c r="AD101" s="30">
        <v>115</v>
      </c>
      <c r="AE101" s="30">
        <v>77</v>
      </c>
      <c r="AF101" s="30">
        <v>111</v>
      </c>
      <c r="AG101" s="30">
        <v>128</v>
      </c>
      <c r="AH101" s="30">
        <v>85</v>
      </c>
      <c r="AI101" s="30">
        <v>122</v>
      </c>
      <c r="AJ101" s="30">
        <v>141</v>
      </c>
      <c r="AK101" s="30">
        <v>94</v>
      </c>
      <c r="AL101" s="30">
        <v>134</v>
      </c>
      <c r="AM101" s="30">
        <v>155</v>
      </c>
      <c r="AN101" s="30">
        <v>103</v>
      </c>
      <c r="AO101" s="30">
        <v>146</v>
      </c>
      <c r="AP101" s="30">
        <v>169</v>
      </c>
      <c r="AQ101" s="30">
        <v>112</v>
      </c>
      <c r="AR101" s="30">
        <v>159</v>
      </c>
      <c r="AS101" s="30">
        <v>183</v>
      </c>
      <c r="AT101" s="30">
        <v>122</v>
      </c>
      <c r="AU101" s="30">
        <v>172</v>
      </c>
      <c r="AV101" s="30">
        <v>198</v>
      </c>
      <c r="AW101" s="30">
        <v>132</v>
      </c>
      <c r="AX101" s="30">
        <v>185</v>
      </c>
      <c r="AY101" s="30">
        <v>213</v>
      </c>
      <c r="AZ101" s="30">
        <v>142</v>
      </c>
      <c r="BA101" s="30">
        <v>199</v>
      </c>
      <c r="BB101" s="30">
        <v>229</v>
      </c>
      <c r="BC101" s="30">
        <v>153</v>
      </c>
      <c r="BD101" s="30">
        <v>213</v>
      </c>
      <c r="BE101" s="30">
        <v>246</v>
      </c>
      <c r="BF101" s="30">
        <v>164</v>
      </c>
      <c r="BG101" s="30">
        <v>227</v>
      </c>
      <c r="BH101" s="30">
        <v>262</v>
      </c>
      <c r="BI101" s="30">
        <v>175</v>
      </c>
      <c r="BJ101" s="30">
        <v>242</v>
      </c>
      <c r="BK101" s="30">
        <v>279</v>
      </c>
      <c r="BL101" s="30">
        <v>186</v>
      </c>
      <c r="BM101" s="30">
        <v>257</v>
      </c>
      <c r="BN101" s="30">
        <v>296</v>
      </c>
      <c r="BO101" s="30">
        <v>198</v>
      </c>
      <c r="BP101" s="30">
        <v>272</v>
      </c>
      <c r="BQ101" s="30">
        <v>314</v>
      </c>
      <c r="BR101" s="30">
        <v>209</v>
      </c>
      <c r="BS101" s="30">
        <v>288</v>
      </c>
      <c r="BT101" s="30">
        <v>332</v>
      </c>
      <c r="BU101" s="30">
        <v>221</v>
      </c>
      <c r="BV101" s="30">
        <v>304</v>
      </c>
      <c r="BW101" s="30">
        <v>351</v>
      </c>
      <c r="BX101" s="30">
        <v>234</v>
      </c>
      <c r="BY101" s="30">
        <v>320</v>
      </c>
      <c r="BZ101" s="30">
        <v>369</v>
      </c>
      <c r="CA101" s="30">
        <v>246</v>
      </c>
      <c r="CB101" s="30">
        <v>336</v>
      </c>
      <c r="CC101" s="30">
        <v>388</v>
      </c>
      <c r="CD101" s="30">
        <v>259</v>
      </c>
      <c r="CE101" s="30">
        <v>353</v>
      </c>
      <c r="CF101" s="30">
        <v>408</v>
      </c>
      <c r="CG101" s="30">
        <v>272</v>
      </c>
      <c r="CH101" s="30">
        <v>370</v>
      </c>
      <c r="CI101" s="30">
        <v>427</v>
      </c>
      <c r="CJ101" s="30">
        <v>285</v>
      </c>
      <c r="CK101" s="30">
        <v>387</v>
      </c>
      <c r="CL101" s="30">
        <v>447</v>
      </c>
      <c r="CM101" s="30">
        <v>298</v>
      </c>
    </row>
    <row r="102" spans="1:91" x14ac:dyDescent="0.25">
      <c r="A102" s="29" t="s">
        <v>1630</v>
      </c>
      <c r="B102" s="30">
        <v>90</v>
      </c>
      <c r="C102" s="30">
        <v>50</v>
      </c>
      <c r="D102" s="30">
        <v>50</v>
      </c>
      <c r="E102" s="30">
        <v>100</v>
      </c>
      <c r="F102" s="30">
        <v>55</v>
      </c>
      <c r="G102" s="30">
        <v>55</v>
      </c>
      <c r="H102" s="30">
        <v>116</v>
      </c>
      <c r="I102" s="30">
        <v>65</v>
      </c>
      <c r="J102" s="30">
        <v>65</v>
      </c>
      <c r="K102" s="30">
        <v>137</v>
      </c>
      <c r="L102" s="30">
        <v>76</v>
      </c>
      <c r="M102" s="30">
        <v>76</v>
      </c>
      <c r="N102" s="30">
        <v>161</v>
      </c>
      <c r="O102" s="30">
        <v>89</v>
      </c>
      <c r="P102" s="30">
        <v>89</v>
      </c>
      <c r="Q102" s="30">
        <v>188</v>
      </c>
      <c r="R102" s="30">
        <v>104</v>
      </c>
      <c r="S102" s="30">
        <v>104</v>
      </c>
      <c r="T102" s="30">
        <v>217</v>
      </c>
      <c r="U102" s="30">
        <v>121</v>
      </c>
      <c r="V102" s="30">
        <v>121</v>
      </c>
      <c r="W102" s="30">
        <v>248</v>
      </c>
      <c r="X102" s="30">
        <v>138</v>
      </c>
      <c r="Y102" s="30">
        <v>138</v>
      </c>
      <c r="Z102" s="30">
        <v>282</v>
      </c>
      <c r="AA102" s="30">
        <v>157</v>
      </c>
      <c r="AB102" s="30">
        <v>157</v>
      </c>
      <c r="AC102" s="30">
        <v>318</v>
      </c>
      <c r="AD102" s="30">
        <v>176</v>
      </c>
      <c r="AE102" s="30">
        <v>176</v>
      </c>
      <c r="AF102" s="30">
        <v>355</v>
      </c>
      <c r="AG102" s="30">
        <v>197</v>
      </c>
      <c r="AH102" s="30">
        <v>197</v>
      </c>
      <c r="AI102" s="30">
        <v>394</v>
      </c>
      <c r="AJ102" s="30">
        <v>219</v>
      </c>
      <c r="AK102" s="30">
        <v>219</v>
      </c>
      <c r="AL102" s="30">
        <v>434</v>
      </c>
      <c r="AM102" s="30">
        <v>241</v>
      </c>
      <c r="AN102" s="30">
        <v>241</v>
      </c>
      <c r="AO102" s="30">
        <v>476</v>
      </c>
      <c r="AP102" s="30">
        <v>265</v>
      </c>
      <c r="AQ102" s="30">
        <v>265</v>
      </c>
      <c r="AR102" s="30">
        <v>520</v>
      </c>
      <c r="AS102" s="30">
        <v>289</v>
      </c>
      <c r="AT102" s="30">
        <v>289</v>
      </c>
      <c r="AU102" s="30">
        <v>565</v>
      </c>
      <c r="AV102" s="30">
        <v>314</v>
      </c>
      <c r="AW102" s="30">
        <v>314</v>
      </c>
      <c r="AX102" s="30">
        <v>611</v>
      </c>
      <c r="AY102" s="30">
        <v>339</v>
      </c>
      <c r="AZ102" s="30">
        <v>339</v>
      </c>
      <c r="BA102" s="30">
        <v>658</v>
      </c>
      <c r="BB102" s="30">
        <v>366</v>
      </c>
      <c r="BC102" s="30">
        <v>366</v>
      </c>
      <c r="BD102" s="30">
        <v>707</v>
      </c>
      <c r="BE102" s="30">
        <v>393</v>
      </c>
      <c r="BF102" s="30">
        <v>393</v>
      </c>
      <c r="BG102" s="30">
        <v>757</v>
      </c>
      <c r="BH102" s="30">
        <v>421</v>
      </c>
      <c r="BI102" s="30">
        <v>421</v>
      </c>
      <c r="BJ102" s="30">
        <v>808</v>
      </c>
      <c r="BK102" s="30">
        <v>449</v>
      </c>
      <c r="BL102" s="30">
        <v>449</v>
      </c>
      <c r="BM102" s="30">
        <v>860</v>
      </c>
      <c r="BN102" s="30">
        <v>478</v>
      </c>
      <c r="BO102" s="30">
        <v>478</v>
      </c>
      <c r="BP102" s="30">
        <v>914</v>
      </c>
      <c r="BQ102" s="30">
        <v>508</v>
      </c>
      <c r="BR102" s="30">
        <v>508</v>
      </c>
      <c r="BS102" s="30">
        <v>968</v>
      </c>
      <c r="BT102" s="30">
        <v>538</v>
      </c>
      <c r="BU102" s="30">
        <v>538</v>
      </c>
      <c r="BV102" s="30">
        <v>1024</v>
      </c>
      <c r="BW102" s="30">
        <v>569</v>
      </c>
      <c r="BX102" s="30">
        <v>569</v>
      </c>
      <c r="BY102" s="30">
        <v>1080</v>
      </c>
      <c r="BZ102" s="30">
        <v>600</v>
      </c>
      <c r="CA102" s="30">
        <v>600</v>
      </c>
      <c r="CB102" s="30">
        <v>1138</v>
      </c>
      <c r="CC102" s="30">
        <v>632</v>
      </c>
      <c r="CD102" s="30">
        <v>632</v>
      </c>
      <c r="CE102" s="30">
        <v>1196</v>
      </c>
      <c r="CF102" s="30">
        <v>665</v>
      </c>
      <c r="CG102" s="30">
        <v>665</v>
      </c>
      <c r="CH102" s="30">
        <v>1256</v>
      </c>
      <c r="CI102" s="30">
        <v>698</v>
      </c>
      <c r="CJ102" s="30">
        <v>698</v>
      </c>
      <c r="CK102" s="30">
        <v>1316</v>
      </c>
      <c r="CL102" s="30">
        <v>731</v>
      </c>
      <c r="CM102" s="30">
        <v>731</v>
      </c>
    </row>
    <row r="103" spans="1:91" x14ac:dyDescent="0.25">
      <c r="A103" s="29" t="s">
        <v>57</v>
      </c>
      <c r="B103" s="30">
        <v>25</v>
      </c>
      <c r="C103" s="30">
        <v>18</v>
      </c>
      <c r="D103" s="30">
        <v>18</v>
      </c>
      <c r="E103" s="30">
        <v>27</v>
      </c>
      <c r="F103" s="30">
        <v>19</v>
      </c>
      <c r="G103" s="30">
        <v>19</v>
      </c>
      <c r="H103" s="30">
        <v>31</v>
      </c>
      <c r="I103" s="30">
        <v>22</v>
      </c>
      <c r="J103" s="30">
        <v>22</v>
      </c>
      <c r="K103" s="30">
        <v>36</v>
      </c>
      <c r="L103" s="30">
        <v>25</v>
      </c>
      <c r="M103" s="30">
        <v>25</v>
      </c>
      <c r="N103" s="30">
        <v>41</v>
      </c>
      <c r="O103" s="30">
        <v>29</v>
      </c>
      <c r="P103" s="30">
        <v>29</v>
      </c>
      <c r="Q103" s="30">
        <v>48</v>
      </c>
      <c r="R103" s="30">
        <v>33</v>
      </c>
      <c r="S103" s="30">
        <v>33</v>
      </c>
      <c r="T103" s="30">
        <v>54</v>
      </c>
      <c r="U103" s="30">
        <v>38</v>
      </c>
      <c r="V103" s="30">
        <v>38</v>
      </c>
      <c r="W103" s="30">
        <v>61</v>
      </c>
      <c r="X103" s="30">
        <v>43</v>
      </c>
      <c r="Y103" s="30">
        <v>43</v>
      </c>
      <c r="Z103" s="30">
        <v>69</v>
      </c>
      <c r="AA103" s="30">
        <v>48</v>
      </c>
      <c r="AB103" s="30">
        <v>48</v>
      </c>
      <c r="AC103" s="30">
        <v>77</v>
      </c>
      <c r="AD103" s="30">
        <v>54</v>
      </c>
      <c r="AE103" s="30">
        <v>54</v>
      </c>
      <c r="AF103" s="30">
        <v>85</v>
      </c>
      <c r="AG103" s="30">
        <v>60</v>
      </c>
      <c r="AH103" s="30">
        <v>60</v>
      </c>
      <c r="AI103" s="30">
        <v>94</v>
      </c>
      <c r="AJ103" s="30">
        <v>66</v>
      </c>
      <c r="AK103" s="30">
        <v>66</v>
      </c>
      <c r="AL103" s="30">
        <v>103</v>
      </c>
      <c r="AM103" s="30">
        <v>72</v>
      </c>
      <c r="AN103" s="30">
        <v>72</v>
      </c>
      <c r="AO103" s="30">
        <v>112</v>
      </c>
      <c r="AP103" s="30">
        <v>79</v>
      </c>
      <c r="AQ103" s="30">
        <v>79</v>
      </c>
      <c r="AR103" s="30">
        <v>122</v>
      </c>
      <c r="AS103" s="30">
        <v>85</v>
      </c>
      <c r="AT103" s="30">
        <v>85</v>
      </c>
      <c r="AU103" s="30">
        <v>132</v>
      </c>
      <c r="AV103" s="30">
        <v>92</v>
      </c>
      <c r="AW103" s="30">
        <v>92</v>
      </c>
      <c r="AX103" s="30">
        <v>142</v>
      </c>
      <c r="AY103" s="30">
        <v>100</v>
      </c>
      <c r="AZ103" s="30">
        <v>100</v>
      </c>
      <c r="BA103" s="30">
        <v>153</v>
      </c>
      <c r="BB103" s="30">
        <v>107</v>
      </c>
      <c r="BC103" s="30">
        <v>107</v>
      </c>
      <c r="BD103" s="30">
        <v>164</v>
      </c>
      <c r="BE103" s="30">
        <v>115</v>
      </c>
      <c r="BF103" s="30">
        <v>115</v>
      </c>
      <c r="BG103" s="30">
        <v>175</v>
      </c>
      <c r="BH103" s="30">
        <v>122</v>
      </c>
      <c r="BI103" s="30">
        <v>122</v>
      </c>
      <c r="BJ103" s="30">
        <v>186</v>
      </c>
      <c r="BK103" s="30">
        <v>130</v>
      </c>
      <c r="BL103" s="30">
        <v>130</v>
      </c>
      <c r="BM103" s="30">
        <v>198</v>
      </c>
      <c r="BN103" s="30">
        <v>138</v>
      </c>
      <c r="BO103" s="30">
        <v>138</v>
      </c>
      <c r="BP103" s="30">
        <v>209</v>
      </c>
      <c r="BQ103" s="30">
        <v>147</v>
      </c>
      <c r="BR103" s="30">
        <v>147</v>
      </c>
      <c r="BS103" s="30">
        <v>221</v>
      </c>
      <c r="BT103" s="30">
        <v>155</v>
      </c>
      <c r="BU103" s="30">
        <v>155</v>
      </c>
      <c r="BV103" s="30">
        <v>234</v>
      </c>
      <c r="BW103" s="30">
        <v>164</v>
      </c>
      <c r="BX103" s="30">
        <v>164</v>
      </c>
      <c r="BY103" s="30">
        <v>246</v>
      </c>
      <c r="BZ103" s="30">
        <v>172</v>
      </c>
      <c r="CA103" s="30">
        <v>172</v>
      </c>
      <c r="CB103" s="30">
        <v>259</v>
      </c>
      <c r="CC103" s="30">
        <v>181</v>
      </c>
      <c r="CD103" s="30">
        <v>181</v>
      </c>
      <c r="CE103" s="30">
        <v>272</v>
      </c>
      <c r="CF103" s="30">
        <v>190</v>
      </c>
      <c r="CG103" s="30">
        <v>190</v>
      </c>
      <c r="CH103" s="30">
        <v>285</v>
      </c>
      <c r="CI103" s="30">
        <v>199</v>
      </c>
      <c r="CJ103" s="30">
        <v>199</v>
      </c>
      <c r="CK103" s="30">
        <v>298</v>
      </c>
      <c r="CL103" s="30">
        <v>209</v>
      </c>
      <c r="CM103" s="30">
        <v>209</v>
      </c>
    </row>
    <row r="104" spans="1:91" x14ac:dyDescent="0.25">
      <c r="A104" s="29" t="s">
        <v>26</v>
      </c>
      <c r="B104" s="30">
        <v>7</v>
      </c>
      <c r="C104" s="30">
        <v>10</v>
      </c>
      <c r="D104" s="30">
        <v>7</v>
      </c>
      <c r="E104" s="30">
        <v>8</v>
      </c>
      <c r="F104" s="30">
        <v>11</v>
      </c>
      <c r="G104" s="30">
        <v>8</v>
      </c>
      <c r="H104" s="30">
        <v>9</v>
      </c>
      <c r="I104" s="30">
        <v>13</v>
      </c>
      <c r="J104" s="30">
        <v>9</v>
      </c>
      <c r="K104" s="30">
        <v>10</v>
      </c>
      <c r="L104" s="30">
        <v>15</v>
      </c>
      <c r="M104" s="30">
        <v>10</v>
      </c>
      <c r="N104" s="30">
        <v>12</v>
      </c>
      <c r="O104" s="30">
        <v>17</v>
      </c>
      <c r="P104" s="30">
        <v>12</v>
      </c>
      <c r="Q104" s="30">
        <v>14</v>
      </c>
      <c r="R104" s="30">
        <v>20</v>
      </c>
      <c r="S104" s="30">
        <v>14</v>
      </c>
      <c r="T104" s="30">
        <v>16</v>
      </c>
      <c r="U104" s="30">
        <v>23</v>
      </c>
      <c r="V104" s="30">
        <v>16</v>
      </c>
      <c r="W104" s="30">
        <v>18</v>
      </c>
      <c r="X104" s="30">
        <v>26</v>
      </c>
      <c r="Y104" s="30">
        <v>18</v>
      </c>
      <c r="Z104" s="30">
        <v>20</v>
      </c>
      <c r="AA104" s="30">
        <v>29</v>
      </c>
      <c r="AB104" s="30">
        <v>20</v>
      </c>
      <c r="AC104" s="30">
        <v>23</v>
      </c>
      <c r="AD104" s="30">
        <v>32</v>
      </c>
      <c r="AE104" s="30">
        <v>23</v>
      </c>
      <c r="AF104" s="30">
        <v>25</v>
      </c>
      <c r="AG104" s="30">
        <v>36</v>
      </c>
      <c r="AH104" s="30">
        <v>25</v>
      </c>
      <c r="AI104" s="30">
        <v>28</v>
      </c>
      <c r="AJ104" s="30">
        <v>40</v>
      </c>
      <c r="AK104" s="30">
        <v>28</v>
      </c>
      <c r="AL104" s="30">
        <v>30</v>
      </c>
      <c r="AM104" s="30">
        <v>44</v>
      </c>
      <c r="AN104" s="30">
        <v>30</v>
      </c>
      <c r="AO104" s="30">
        <v>33</v>
      </c>
      <c r="AP104" s="30">
        <v>48</v>
      </c>
      <c r="AQ104" s="30">
        <v>33</v>
      </c>
      <c r="AR104" s="30">
        <v>36</v>
      </c>
      <c r="AS104" s="30">
        <v>52</v>
      </c>
      <c r="AT104" s="30">
        <v>36</v>
      </c>
      <c r="AU104" s="30">
        <v>39</v>
      </c>
      <c r="AV104" s="30">
        <v>56</v>
      </c>
      <c r="AW104" s="30">
        <v>39</v>
      </c>
      <c r="AX104" s="30">
        <v>42</v>
      </c>
      <c r="AY104" s="30">
        <v>60</v>
      </c>
      <c r="AZ104" s="30">
        <v>42</v>
      </c>
      <c r="BA104" s="30">
        <v>45</v>
      </c>
      <c r="BB104" s="30">
        <v>65</v>
      </c>
      <c r="BC104" s="30">
        <v>45</v>
      </c>
      <c r="BD104" s="30">
        <v>48</v>
      </c>
      <c r="BE104" s="30">
        <v>69</v>
      </c>
      <c r="BF104" s="30">
        <v>48</v>
      </c>
      <c r="BG104" s="30">
        <v>52</v>
      </c>
      <c r="BH104" s="30">
        <v>74</v>
      </c>
      <c r="BI104" s="30">
        <v>52</v>
      </c>
      <c r="BJ104" s="30">
        <v>55</v>
      </c>
      <c r="BK104" s="30">
        <v>79</v>
      </c>
      <c r="BL104" s="30">
        <v>55</v>
      </c>
      <c r="BM104" s="30">
        <v>58</v>
      </c>
      <c r="BN104" s="30">
        <v>83</v>
      </c>
      <c r="BO104" s="30">
        <v>58</v>
      </c>
      <c r="BP104" s="30">
        <v>62</v>
      </c>
      <c r="BQ104" s="30">
        <v>88</v>
      </c>
      <c r="BR104" s="30">
        <v>62</v>
      </c>
      <c r="BS104" s="30">
        <v>65</v>
      </c>
      <c r="BT104" s="30">
        <v>93</v>
      </c>
      <c r="BU104" s="30">
        <v>65</v>
      </c>
      <c r="BV104" s="30">
        <v>69</v>
      </c>
      <c r="BW104" s="30">
        <v>98</v>
      </c>
      <c r="BX104" s="30">
        <v>69</v>
      </c>
      <c r="BY104" s="30">
        <v>73</v>
      </c>
      <c r="BZ104" s="30">
        <v>104</v>
      </c>
      <c r="CA104" s="30">
        <v>73</v>
      </c>
      <c r="CB104" s="30">
        <v>76</v>
      </c>
      <c r="CC104" s="30">
        <v>109</v>
      </c>
      <c r="CD104" s="30">
        <v>76</v>
      </c>
      <c r="CE104" s="30">
        <v>80</v>
      </c>
      <c r="CF104" s="30">
        <v>114</v>
      </c>
      <c r="CG104" s="30">
        <v>80</v>
      </c>
      <c r="CH104" s="30">
        <v>84</v>
      </c>
      <c r="CI104" s="30">
        <v>120</v>
      </c>
      <c r="CJ104" s="30">
        <v>84</v>
      </c>
      <c r="CK104" s="30">
        <v>88</v>
      </c>
      <c r="CL104" s="30">
        <v>125</v>
      </c>
      <c r="CM104" s="30">
        <v>88</v>
      </c>
    </row>
    <row r="105" spans="1:91" x14ac:dyDescent="0.25">
      <c r="A105" s="29" t="s">
        <v>27</v>
      </c>
      <c r="B105" s="30">
        <v>7</v>
      </c>
      <c r="C105" s="30">
        <v>7</v>
      </c>
      <c r="D105" s="30">
        <v>10</v>
      </c>
      <c r="E105" s="30">
        <v>8</v>
      </c>
      <c r="F105" s="30">
        <v>8</v>
      </c>
      <c r="G105" s="30">
        <v>11</v>
      </c>
      <c r="H105" s="30">
        <v>9</v>
      </c>
      <c r="I105" s="30">
        <v>9</v>
      </c>
      <c r="J105" s="30">
        <v>13</v>
      </c>
      <c r="K105" s="30">
        <v>10</v>
      </c>
      <c r="L105" s="30">
        <v>10</v>
      </c>
      <c r="M105" s="30">
        <v>15</v>
      </c>
      <c r="N105" s="30">
        <v>12</v>
      </c>
      <c r="O105" s="30">
        <v>12</v>
      </c>
      <c r="P105" s="30">
        <v>17</v>
      </c>
      <c r="Q105" s="30">
        <v>14</v>
      </c>
      <c r="R105" s="30">
        <v>14</v>
      </c>
      <c r="S105" s="30">
        <v>20</v>
      </c>
      <c r="T105" s="30">
        <v>16</v>
      </c>
      <c r="U105" s="30">
        <v>16</v>
      </c>
      <c r="V105" s="30">
        <v>23</v>
      </c>
      <c r="W105" s="30">
        <v>18</v>
      </c>
      <c r="X105" s="30">
        <v>18</v>
      </c>
      <c r="Y105" s="30">
        <v>26</v>
      </c>
      <c r="Z105" s="30">
        <v>20</v>
      </c>
      <c r="AA105" s="30">
        <v>20</v>
      </c>
      <c r="AB105" s="30">
        <v>29</v>
      </c>
      <c r="AC105" s="30">
        <v>23</v>
      </c>
      <c r="AD105" s="30">
        <v>23</v>
      </c>
      <c r="AE105" s="30">
        <v>32</v>
      </c>
      <c r="AF105" s="30">
        <v>25</v>
      </c>
      <c r="AG105" s="30">
        <v>25</v>
      </c>
      <c r="AH105" s="30">
        <v>36</v>
      </c>
      <c r="AI105" s="30">
        <v>28</v>
      </c>
      <c r="AJ105" s="30">
        <v>28</v>
      </c>
      <c r="AK105" s="30">
        <v>40</v>
      </c>
      <c r="AL105" s="30">
        <v>30</v>
      </c>
      <c r="AM105" s="30">
        <v>30</v>
      </c>
      <c r="AN105" s="30">
        <v>44</v>
      </c>
      <c r="AO105" s="30">
        <v>33</v>
      </c>
      <c r="AP105" s="30">
        <v>33</v>
      </c>
      <c r="AQ105" s="30">
        <v>48</v>
      </c>
      <c r="AR105" s="30">
        <v>36</v>
      </c>
      <c r="AS105" s="30">
        <v>36</v>
      </c>
      <c r="AT105" s="30">
        <v>52</v>
      </c>
      <c r="AU105" s="30">
        <v>39</v>
      </c>
      <c r="AV105" s="30">
        <v>39</v>
      </c>
      <c r="AW105" s="30">
        <v>56</v>
      </c>
      <c r="AX105" s="30">
        <v>42</v>
      </c>
      <c r="AY105" s="30">
        <v>42</v>
      </c>
      <c r="AZ105" s="30">
        <v>60</v>
      </c>
      <c r="BA105" s="30">
        <v>45</v>
      </c>
      <c r="BB105" s="30">
        <v>45</v>
      </c>
      <c r="BC105" s="30">
        <v>65</v>
      </c>
      <c r="BD105" s="30">
        <v>48</v>
      </c>
      <c r="BE105" s="30">
        <v>48</v>
      </c>
      <c r="BF105" s="30">
        <v>69</v>
      </c>
      <c r="BG105" s="30">
        <v>52</v>
      </c>
      <c r="BH105" s="30">
        <v>52</v>
      </c>
      <c r="BI105" s="30">
        <v>74</v>
      </c>
      <c r="BJ105" s="30">
        <v>55</v>
      </c>
      <c r="BK105" s="30">
        <v>55</v>
      </c>
      <c r="BL105" s="30">
        <v>79</v>
      </c>
      <c r="BM105" s="30">
        <v>58</v>
      </c>
      <c r="BN105" s="30">
        <v>58</v>
      </c>
      <c r="BO105" s="30">
        <v>83</v>
      </c>
      <c r="BP105" s="30">
        <v>62</v>
      </c>
      <c r="BQ105" s="30">
        <v>62</v>
      </c>
      <c r="BR105" s="30">
        <v>88</v>
      </c>
      <c r="BS105" s="30">
        <v>65</v>
      </c>
      <c r="BT105" s="30">
        <v>65</v>
      </c>
      <c r="BU105" s="30">
        <v>93</v>
      </c>
      <c r="BV105" s="30">
        <v>69</v>
      </c>
      <c r="BW105" s="30">
        <v>69</v>
      </c>
      <c r="BX105" s="30">
        <v>98</v>
      </c>
      <c r="BY105" s="30">
        <v>73</v>
      </c>
      <c r="BZ105" s="30">
        <v>73</v>
      </c>
      <c r="CA105" s="30">
        <v>104</v>
      </c>
      <c r="CB105" s="30">
        <v>76</v>
      </c>
      <c r="CC105" s="30">
        <v>76</v>
      </c>
      <c r="CD105" s="30">
        <v>109</v>
      </c>
      <c r="CE105" s="30">
        <v>80</v>
      </c>
      <c r="CF105" s="30">
        <v>80</v>
      </c>
      <c r="CG105" s="30">
        <v>114</v>
      </c>
      <c r="CH105" s="30">
        <v>84</v>
      </c>
      <c r="CI105" s="30">
        <v>84</v>
      </c>
      <c r="CJ105" s="30">
        <v>120</v>
      </c>
      <c r="CK105" s="30">
        <v>88</v>
      </c>
      <c r="CL105" s="30">
        <v>88</v>
      </c>
      <c r="CM105" s="30">
        <v>125</v>
      </c>
    </row>
    <row r="106" spans="1:91" x14ac:dyDescent="0.25">
      <c r="A106" s="29" t="s">
        <v>55</v>
      </c>
      <c r="B106" s="30">
        <v>65</v>
      </c>
      <c r="C106" s="30">
        <v>8</v>
      </c>
      <c r="D106" s="30">
        <v>8</v>
      </c>
      <c r="E106" s="30">
        <v>71</v>
      </c>
      <c r="F106" s="30">
        <v>8</v>
      </c>
      <c r="G106" s="30">
        <v>8</v>
      </c>
      <c r="H106" s="30">
        <v>81</v>
      </c>
      <c r="I106" s="30">
        <v>9</v>
      </c>
      <c r="J106" s="30">
        <v>9</v>
      </c>
      <c r="K106" s="30">
        <v>93</v>
      </c>
      <c r="L106" s="30">
        <v>11</v>
      </c>
      <c r="M106" s="30">
        <v>11</v>
      </c>
      <c r="N106" s="30">
        <v>108</v>
      </c>
      <c r="O106" s="30">
        <v>12</v>
      </c>
      <c r="P106" s="30">
        <v>12</v>
      </c>
      <c r="Q106" s="30">
        <v>124</v>
      </c>
      <c r="R106" s="30">
        <v>14</v>
      </c>
      <c r="S106" s="30">
        <v>14</v>
      </c>
      <c r="T106" s="30">
        <v>141</v>
      </c>
      <c r="U106" s="30">
        <v>16</v>
      </c>
      <c r="V106" s="30">
        <v>16</v>
      </c>
      <c r="W106" s="30">
        <v>159</v>
      </c>
      <c r="X106" s="30">
        <v>18</v>
      </c>
      <c r="Y106" s="30">
        <v>18</v>
      </c>
      <c r="Z106" s="30">
        <v>179</v>
      </c>
      <c r="AA106" s="30">
        <v>21</v>
      </c>
      <c r="AB106" s="30">
        <v>21</v>
      </c>
      <c r="AC106" s="30">
        <v>200</v>
      </c>
      <c r="AD106" s="30">
        <v>23</v>
      </c>
      <c r="AE106" s="30">
        <v>23</v>
      </c>
      <c r="AF106" s="30">
        <v>222</v>
      </c>
      <c r="AG106" s="30">
        <v>26</v>
      </c>
      <c r="AH106" s="30">
        <v>26</v>
      </c>
      <c r="AI106" s="30">
        <v>244</v>
      </c>
      <c r="AJ106" s="30">
        <v>28</v>
      </c>
      <c r="AK106" s="30">
        <v>28</v>
      </c>
      <c r="AL106" s="30">
        <v>268</v>
      </c>
      <c r="AM106" s="30">
        <v>31</v>
      </c>
      <c r="AN106" s="30">
        <v>31</v>
      </c>
      <c r="AO106" s="30">
        <v>292</v>
      </c>
      <c r="AP106" s="30">
        <v>34</v>
      </c>
      <c r="AQ106" s="30">
        <v>34</v>
      </c>
      <c r="AR106" s="30">
        <v>317</v>
      </c>
      <c r="AS106" s="30">
        <v>37</v>
      </c>
      <c r="AT106" s="30">
        <v>37</v>
      </c>
      <c r="AU106" s="30">
        <v>343</v>
      </c>
      <c r="AV106" s="30">
        <v>40</v>
      </c>
      <c r="AW106" s="30">
        <v>40</v>
      </c>
      <c r="AX106" s="30">
        <v>370</v>
      </c>
      <c r="AY106" s="30">
        <v>43</v>
      </c>
      <c r="AZ106" s="30">
        <v>43</v>
      </c>
      <c r="BA106" s="30">
        <v>398</v>
      </c>
      <c r="BB106" s="30">
        <v>46</v>
      </c>
      <c r="BC106" s="30">
        <v>46</v>
      </c>
      <c r="BD106" s="30">
        <v>426</v>
      </c>
      <c r="BE106" s="30">
        <v>49</v>
      </c>
      <c r="BF106" s="30">
        <v>49</v>
      </c>
      <c r="BG106" s="30">
        <v>454</v>
      </c>
      <c r="BH106" s="30">
        <v>52</v>
      </c>
      <c r="BI106" s="30">
        <v>52</v>
      </c>
      <c r="BJ106" s="30">
        <v>484</v>
      </c>
      <c r="BK106" s="30">
        <v>56</v>
      </c>
      <c r="BL106" s="30">
        <v>56</v>
      </c>
      <c r="BM106" s="30">
        <v>514</v>
      </c>
      <c r="BN106" s="30">
        <v>59</v>
      </c>
      <c r="BO106" s="30">
        <v>59</v>
      </c>
      <c r="BP106" s="30">
        <v>544</v>
      </c>
      <c r="BQ106" s="30">
        <v>63</v>
      </c>
      <c r="BR106" s="30">
        <v>63</v>
      </c>
      <c r="BS106" s="30">
        <v>576</v>
      </c>
      <c r="BT106" s="30">
        <v>66</v>
      </c>
      <c r="BU106" s="30">
        <v>66</v>
      </c>
      <c r="BV106" s="30">
        <v>608</v>
      </c>
      <c r="BW106" s="30">
        <v>70</v>
      </c>
      <c r="BX106" s="30">
        <v>70</v>
      </c>
      <c r="BY106" s="30">
        <v>640</v>
      </c>
      <c r="BZ106" s="30">
        <v>74</v>
      </c>
      <c r="CA106" s="30">
        <v>74</v>
      </c>
      <c r="CB106" s="30">
        <v>673</v>
      </c>
      <c r="CC106" s="30">
        <v>78</v>
      </c>
      <c r="CD106" s="30">
        <v>78</v>
      </c>
      <c r="CE106" s="30">
        <v>706</v>
      </c>
      <c r="CF106" s="30">
        <v>82</v>
      </c>
      <c r="CG106" s="30">
        <v>82</v>
      </c>
      <c r="CH106" s="30">
        <v>740</v>
      </c>
      <c r="CI106" s="30">
        <v>85</v>
      </c>
      <c r="CJ106" s="30">
        <v>85</v>
      </c>
      <c r="CK106" s="30">
        <v>775</v>
      </c>
      <c r="CL106" s="30">
        <v>89</v>
      </c>
      <c r="CM106" s="30">
        <v>89</v>
      </c>
    </row>
    <row r="107" spans="1:91" x14ac:dyDescent="0.25">
      <c r="A107" s="29" t="s">
        <v>78</v>
      </c>
      <c r="B107" s="30">
        <v>100</v>
      </c>
      <c r="C107" s="30">
        <v>50</v>
      </c>
      <c r="D107" s="30">
        <v>10</v>
      </c>
      <c r="E107" s="30">
        <v>111</v>
      </c>
      <c r="F107" s="30">
        <v>55</v>
      </c>
      <c r="G107" s="30">
        <v>11</v>
      </c>
      <c r="H107" s="30">
        <v>129</v>
      </c>
      <c r="I107" s="30">
        <v>65</v>
      </c>
      <c r="J107" s="30">
        <v>13</v>
      </c>
      <c r="K107" s="30">
        <v>152</v>
      </c>
      <c r="L107" s="30">
        <v>76</v>
      </c>
      <c r="M107" s="30">
        <v>15</v>
      </c>
      <c r="N107" s="30">
        <v>179</v>
      </c>
      <c r="O107" s="30">
        <v>89</v>
      </c>
      <c r="P107" s="30">
        <v>18</v>
      </c>
      <c r="Q107" s="30">
        <v>208</v>
      </c>
      <c r="R107" s="30">
        <v>104</v>
      </c>
      <c r="S107" s="30">
        <v>21</v>
      </c>
      <c r="T107" s="30">
        <v>241</v>
      </c>
      <c r="U107" s="30">
        <v>121</v>
      </c>
      <c r="V107" s="30">
        <v>24</v>
      </c>
      <c r="W107" s="30">
        <v>276</v>
      </c>
      <c r="X107" s="30">
        <v>138</v>
      </c>
      <c r="Y107" s="30">
        <v>28</v>
      </c>
      <c r="Z107" s="30">
        <v>313</v>
      </c>
      <c r="AA107" s="30">
        <v>157</v>
      </c>
      <c r="AB107" s="30">
        <v>31</v>
      </c>
      <c r="AC107" s="30">
        <v>353</v>
      </c>
      <c r="AD107" s="30">
        <v>176</v>
      </c>
      <c r="AE107" s="30">
        <v>35</v>
      </c>
      <c r="AF107" s="30">
        <v>394</v>
      </c>
      <c r="AG107" s="30">
        <v>197</v>
      </c>
      <c r="AH107" s="30">
        <v>39</v>
      </c>
      <c r="AI107" s="30">
        <v>437</v>
      </c>
      <c r="AJ107" s="30">
        <v>219</v>
      </c>
      <c r="AK107" s="30">
        <v>44</v>
      </c>
      <c r="AL107" s="30">
        <v>482</v>
      </c>
      <c r="AM107" s="30">
        <v>241</v>
      </c>
      <c r="AN107" s="30">
        <v>48</v>
      </c>
      <c r="AO107" s="30">
        <v>529</v>
      </c>
      <c r="AP107" s="30">
        <v>265</v>
      </c>
      <c r="AQ107" s="30">
        <v>53</v>
      </c>
      <c r="AR107" s="30">
        <v>577</v>
      </c>
      <c r="AS107" s="30">
        <v>289</v>
      </c>
      <c r="AT107" s="30">
        <v>58</v>
      </c>
      <c r="AU107" s="30">
        <v>627</v>
      </c>
      <c r="AV107" s="30">
        <v>314</v>
      </c>
      <c r="AW107" s="30">
        <v>63</v>
      </c>
      <c r="AX107" s="30">
        <v>679</v>
      </c>
      <c r="AY107" s="30">
        <v>339</v>
      </c>
      <c r="AZ107" s="30">
        <v>68</v>
      </c>
      <c r="BA107" s="30">
        <v>731</v>
      </c>
      <c r="BB107" s="30">
        <v>366</v>
      </c>
      <c r="BC107" s="30">
        <v>73</v>
      </c>
      <c r="BD107" s="30">
        <v>786</v>
      </c>
      <c r="BE107" s="30">
        <v>393</v>
      </c>
      <c r="BF107" s="30">
        <v>79</v>
      </c>
      <c r="BG107" s="30">
        <v>841</v>
      </c>
      <c r="BH107" s="30">
        <v>421</v>
      </c>
      <c r="BI107" s="30">
        <v>84</v>
      </c>
      <c r="BJ107" s="30">
        <v>898</v>
      </c>
      <c r="BK107" s="30">
        <v>449</v>
      </c>
      <c r="BL107" s="30">
        <v>90</v>
      </c>
      <c r="BM107" s="30">
        <v>956</v>
      </c>
      <c r="BN107" s="30">
        <v>478</v>
      </c>
      <c r="BO107" s="30">
        <v>96</v>
      </c>
      <c r="BP107" s="30">
        <v>1015</v>
      </c>
      <c r="BQ107" s="30">
        <v>508</v>
      </c>
      <c r="BR107" s="30">
        <v>102</v>
      </c>
      <c r="BS107" s="30">
        <v>1076</v>
      </c>
      <c r="BT107" s="30">
        <v>538</v>
      </c>
      <c r="BU107" s="30">
        <v>108</v>
      </c>
      <c r="BV107" s="30">
        <v>1138</v>
      </c>
      <c r="BW107" s="30">
        <v>569</v>
      </c>
      <c r="BX107" s="30">
        <v>114</v>
      </c>
      <c r="BY107" s="30">
        <v>1200</v>
      </c>
      <c r="BZ107" s="30">
        <v>600</v>
      </c>
      <c r="CA107" s="30">
        <v>120</v>
      </c>
      <c r="CB107" s="30">
        <v>1264</v>
      </c>
      <c r="CC107" s="30">
        <v>632</v>
      </c>
      <c r="CD107" s="30">
        <v>126</v>
      </c>
      <c r="CE107" s="30">
        <v>1329</v>
      </c>
      <c r="CF107" s="30">
        <v>665</v>
      </c>
      <c r="CG107" s="30">
        <v>133</v>
      </c>
      <c r="CH107" s="30">
        <v>1395</v>
      </c>
      <c r="CI107" s="30">
        <v>698</v>
      </c>
      <c r="CJ107" s="30">
        <v>140</v>
      </c>
      <c r="CK107" s="30">
        <v>1463</v>
      </c>
      <c r="CL107" s="30">
        <v>731</v>
      </c>
      <c r="CM107" s="30">
        <v>146</v>
      </c>
    </row>
    <row r="108" spans="1:91" x14ac:dyDescent="0.25">
      <c r="A108" s="29" t="s">
        <v>90</v>
      </c>
      <c r="B108" s="30">
        <v>20</v>
      </c>
      <c r="C108" s="30">
        <v>40</v>
      </c>
      <c r="D108" s="30">
        <v>60</v>
      </c>
      <c r="E108" s="30">
        <v>22</v>
      </c>
      <c r="F108" s="30">
        <v>44</v>
      </c>
      <c r="G108" s="30">
        <v>66</v>
      </c>
      <c r="H108" s="30">
        <v>26</v>
      </c>
      <c r="I108" s="30">
        <v>52</v>
      </c>
      <c r="J108" s="30">
        <v>77</v>
      </c>
      <c r="K108" s="30">
        <v>30</v>
      </c>
      <c r="L108" s="30">
        <v>61</v>
      </c>
      <c r="M108" s="30">
        <v>91</v>
      </c>
      <c r="N108" s="30">
        <v>36</v>
      </c>
      <c r="O108" s="30">
        <v>71</v>
      </c>
      <c r="P108" s="30">
        <v>107</v>
      </c>
      <c r="Q108" s="30">
        <v>42</v>
      </c>
      <c r="R108" s="30">
        <v>83</v>
      </c>
      <c r="S108" s="30">
        <v>125</v>
      </c>
      <c r="T108" s="30">
        <v>48</v>
      </c>
      <c r="U108" s="30">
        <v>96</v>
      </c>
      <c r="V108" s="30">
        <v>145</v>
      </c>
      <c r="W108" s="30">
        <v>55</v>
      </c>
      <c r="X108" s="30">
        <v>110</v>
      </c>
      <c r="Y108" s="30">
        <v>166</v>
      </c>
      <c r="Z108" s="30">
        <v>63</v>
      </c>
      <c r="AA108" s="30">
        <v>125</v>
      </c>
      <c r="AB108" s="30">
        <v>188</v>
      </c>
      <c r="AC108" s="30">
        <v>71</v>
      </c>
      <c r="AD108" s="30">
        <v>141</v>
      </c>
      <c r="AE108" s="30">
        <v>212</v>
      </c>
      <c r="AF108" s="30">
        <v>79</v>
      </c>
      <c r="AG108" s="30">
        <v>158</v>
      </c>
      <c r="AH108" s="30">
        <v>237</v>
      </c>
      <c r="AI108" s="30">
        <v>87</v>
      </c>
      <c r="AJ108" s="30">
        <v>175</v>
      </c>
      <c r="AK108" s="30">
        <v>262</v>
      </c>
      <c r="AL108" s="30">
        <v>96</v>
      </c>
      <c r="AM108" s="30">
        <v>193</v>
      </c>
      <c r="AN108" s="30">
        <v>289</v>
      </c>
      <c r="AO108" s="30">
        <v>106</v>
      </c>
      <c r="AP108" s="30">
        <v>212</v>
      </c>
      <c r="AQ108" s="30">
        <v>318</v>
      </c>
      <c r="AR108" s="30">
        <v>115</v>
      </c>
      <c r="AS108" s="30">
        <v>231</v>
      </c>
      <c r="AT108" s="30">
        <v>346</v>
      </c>
      <c r="AU108" s="30">
        <v>125</v>
      </c>
      <c r="AV108" s="30">
        <v>251</v>
      </c>
      <c r="AW108" s="30">
        <v>376</v>
      </c>
      <c r="AX108" s="30">
        <v>136</v>
      </c>
      <c r="AY108" s="30">
        <v>271</v>
      </c>
      <c r="AZ108" s="30">
        <v>407</v>
      </c>
      <c r="BA108" s="30">
        <v>146</v>
      </c>
      <c r="BB108" s="30">
        <v>293</v>
      </c>
      <c r="BC108" s="30">
        <v>439</v>
      </c>
      <c r="BD108" s="30">
        <v>157</v>
      </c>
      <c r="BE108" s="30">
        <v>314</v>
      </c>
      <c r="BF108" s="30">
        <v>471</v>
      </c>
      <c r="BG108" s="30">
        <v>168</v>
      </c>
      <c r="BH108" s="30">
        <v>336</v>
      </c>
      <c r="BI108" s="30">
        <v>505</v>
      </c>
      <c r="BJ108" s="30">
        <v>180</v>
      </c>
      <c r="BK108" s="30">
        <v>359</v>
      </c>
      <c r="BL108" s="30">
        <v>539</v>
      </c>
      <c r="BM108" s="30">
        <v>191</v>
      </c>
      <c r="BN108" s="30">
        <v>382</v>
      </c>
      <c r="BO108" s="30">
        <v>574</v>
      </c>
      <c r="BP108" s="30">
        <v>203</v>
      </c>
      <c r="BQ108" s="30">
        <v>406</v>
      </c>
      <c r="BR108" s="30">
        <v>609</v>
      </c>
      <c r="BS108" s="30">
        <v>215</v>
      </c>
      <c r="BT108" s="30">
        <v>430</v>
      </c>
      <c r="BU108" s="30">
        <v>645</v>
      </c>
      <c r="BV108" s="30">
        <v>228</v>
      </c>
      <c r="BW108" s="30">
        <v>455</v>
      </c>
      <c r="BX108" s="30">
        <v>683</v>
      </c>
      <c r="BY108" s="30">
        <v>240</v>
      </c>
      <c r="BZ108" s="30">
        <v>480</v>
      </c>
      <c r="CA108" s="30">
        <v>720</v>
      </c>
      <c r="CB108" s="30">
        <v>253</v>
      </c>
      <c r="CC108" s="30">
        <v>506</v>
      </c>
      <c r="CD108" s="30">
        <v>759</v>
      </c>
      <c r="CE108" s="30">
        <v>266</v>
      </c>
      <c r="CF108" s="30">
        <v>532</v>
      </c>
      <c r="CG108" s="30">
        <v>798</v>
      </c>
      <c r="CH108" s="30">
        <v>279</v>
      </c>
      <c r="CI108" s="30">
        <v>558</v>
      </c>
      <c r="CJ108" s="30">
        <v>837</v>
      </c>
      <c r="CK108" s="30">
        <v>293</v>
      </c>
      <c r="CL108" s="30">
        <v>585</v>
      </c>
      <c r="CM108" s="30">
        <v>878</v>
      </c>
    </row>
    <row r="109" spans="1:91" x14ac:dyDescent="0.25">
      <c r="A109" s="29" t="s">
        <v>82</v>
      </c>
      <c r="B109" s="30">
        <v>72</v>
      </c>
      <c r="C109" s="30">
        <v>108</v>
      </c>
      <c r="D109" s="30">
        <v>108</v>
      </c>
      <c r="E109" s="30">
        <v>78</v>
      </c>
      <c r="F109" s="30">
        <v>117</v>
      </c>
      <c r="G109" s="30">
        <v>117</v>
      </c>
      <c r="H109" s="30">
        <v>88</v>
      </c>
      <c r="I109" s="30">
        <v>132</v>
      </c>
      <c r="J109" s="30">
        <v>132</v>
      </c>
      <c r="K109" s="30">
        <v>101</v>
      </c>
      <c r="L109" s="30">
        <v>151</v>
      </c>
      <c r="M109" s="30">
        <v>151</v>
      </c>
      <c r="N109" s="30">
        <v>115</v>
      </c>
      <c r="O109" s="30">
        <v>172</v>
      </c>
      <c r="P109" s="30">
        <v>172</v>
      </c>
      <c r="Q109" s="30">
        <v>131</v>
      </c>
      <c r="R109" s="30">
        <v>196</v>
      </c>
      <c r="S109" s="30">
        <v>196</v>
      </c>
      <c r="T109" s="30">
        <v>147</v>
      </c>
      <c r="U109" s="30">
        <v>221</v>
      </c>
      <c r="V109" s="30">
        <v>221</v>
      </c>
      <c r="W109" s="30">
        <v>166</v>
      </c>
      <c r="X109" s="30">
        <v>248</v>
      </c>
      <c r="Y109" s="30">
        <v>248</v>
      </c>
      <c r="Z109" s="30">
        <v>185</v>
      </c>
      <c r="AA109" s="30">
        <v>277</v>
      </c>
      <c r="AB109" s="30">
        <v>277</v>
      </c>
      <c r="AC109" s="30">
        <v>205</v>
      </c>
      <c r="AD109" s="30">
        <v>308</v>
      </c>
      <c r="AE109" s="30">
        <v>308</v>
      </c>
      <c r="AF109" s="30">
        <v>226</v>
      </c>
      <c r="AG109" s="30">
        <v>339</v>
      </c>
      <c r="AH109" s="30">
        <v>339</v>
      </c>
      <c r="AI109" s="30">
        <v>248</v>
      </c>
      <c r="AJ109" s="30">
        <v>373</v>
      </c>
      <c r="AK109" s="30">
        <v>373</v>
      </c>
      <c r="AL109" s="30">
        <v>271</v>
      </c>
      <c r="AM109" s="30">
        <v>407</v>
      </c>
      <c r="AN109" s="30">
        <v>407</v>
      </c>
      <c r="AO109" s="30">
        <v>295</v>
      </c>
      <c r="AP109" s="30">
        <v>442</v>
      </c>
      <c r="AQ109" s="30">
        <v>442</v>
      </c>
      <c r="AR109" s="30">
        <v>319</v>
      </c>
      <c r="AS109" s="30">
        <v>479</v>
      </c>
      <c r="AT109" s="30">
        <v>479</v>
      </c>
      <c r="AU109" s="30">
        <v>344</v>
      </c>
      <c r="AV109" s="30">
        <v>516</v>
      </c>
      <c r="AW109" s="30">
        <v>516</v>
      </c>
      <c r="AX109" s="30">
        <v>370</v>
      </c>
      <c r="AY109" s="30">
        <v>555</v>
      </c>
      <c r="AZ109" s="30">
        <v>555</v>
      </c>
      <c r="BA109" s="30">
        <v>396</v>
      </c>
      <c r="BB109" s="30">
        <v>595</v>
      </c>
      <c r="BC109" s="30">
        <v>595</v>
      </c>
      <c r="BD109" s="30">
        <v>423</v>
      </c>
      <c r="BE109" s="30">
        <v>635</v>
      </c>
      <c r="BF109" s="30">
        <v>635</v>
      </c>
      <c r="BG109" s="30">
        <v>451</v>
      </c>
      <c r="BH109" s="30">
        <v>677</v>
      </c>
      <c r="BI109" s="30">
        <v>677</v>
      </c>
      <c r="BJ109" s="30">
        <v>479</v>
      </c>
      <c r="BK109" s="30">
        <v>719</v>
      </c>
      <c r="BL109" s="30">
        <v>719</v>
      </c>
      <c r="BM109" s="30">
        <v>508</v>
      </c>
      <c r="BN109" s="30">
        <v>762</v>
      </c>
      <c r="BO109" s="30">
        <v>762</v>
      </c>
      <c r="BP109" s="30">
        <v>537</v>
      </c>
      <c r="BQ109" s="30">
        <v>806</v>
      </c>
      <c r="BR109" s="30">
        <v>806</v>
      </c>
      <c r="BS109" s="30">
        <v>567</v>
      </c>
      <c r="BT109" s="30">
        <v>851</v>
      </c>
      <c r="BU109" s="30">
        <v>851</v>
      </c>
      <c r="BV109" s="30">
        <v>598</v>
      </c>
      <c r="BW109" s="30">
        <v>897</v>
      </c>
      <c r="BX109" s="30">
        <v>897</v>
      </c>
      <c r="BY109" s="30">
        <v>629</v>
      </c>
      <c r="BZ109" s="30">
        <v>943</v>
      </c>
      <c r="CA109" s="30">
        <v>943</v>
      </c>
      <c r="CB109" s="30">
        <v>660</v>
      </c>
      <c r="CC109" s="30">
        <v>990</v>
      </c>
      <c r="CD109" s="30">
        <v>990</v>
      </c>
      <c r="CE109" s="30">
        <v>692</v>
      </c>
      <c r="CF109" s="30">
        <v>1038</v>
      </c>
      <c r="CG109" s="30">
        <v>1038</v>
      </c>
      <c r="CH109" s="30">
        <v>724</v>
      </c>
      <c r="CI109" s="30">
        <v>1086</v>
      </c>
      <c r="CJ109" s="30">
        <v>1086</v>
      </c>
      <c r="CK109" s="30">
        <v>757</v>
      </c>
      <c r="CL109" s="30">
        <v>1136</v>
      </c>
      <c r="CM109" s="30">
        <v>1136</v>
      </c>
    </row>
    <row r="110" spans="1:91" x14ac:dyDescent="0.25">
      <c r="A110" s="29" t="s">
        <v>76</v>
      </c>
      <c r="B110" s="30">
        <v>20</v>
      </c>
      <c r="C110" s="30">
        <v>20</v>
      </c>
      <c r="D110" s="30">
        <v>20</v>
      </c>
      <c r="E110" s="30">
        <v>22</v>
      </c>
      <c r="F110" s="30">
        <v>22</v>
      </c>
      <c r="G110" s="30">
        <v>22</v>
      </c>
      <c r="H110" s="30">
        <v>25</v>
      </c>
      <c r="I110" s="30">
        <v>25</v>
      </c>
      <c r="J110" s="30">
        <v>25</v>
      </c>
      <c r="K110" s="30">
        <v>29</v>
      </c>
      <c r="L110" s="30">
        <v>29</v>
      </c>
      <c r="M110" s="30">
        <v>29</v>
      </c>
      <c r="N110" s="30">
        <v>33</v>
      </c>
      <c r="O110" s="30">
        <v>33</v>
      </c>
      <c r="P110" s="30">
        <v>33</v>
      </c>
      <c r="Q110" s="30">
        <v>38</v>
      </c>
      <c r="R110" s="30">
        <v>38</v>
      </c>
      <c r="S110" s="30">
        <v>38</v>
      </c>
      <c r="T110" s="30">
        <v>43</v>
      </c>
      <c r="U110" s="30">
        <v>43</v>
      </c>
      <c r="V110" s="30">
        <v>43</v>
      </c>
      <c r="W110" s="30">
        <v>49</v>
      </c>
      <c r="X110" s="30">
        <v>49</v>
      </c>
      <c r="Y110" s="30">
        <v>49</v>
      </c>
      <c r="Z110" s="30">
        <v>55</v>
      </c>
      <c r="AA110" s="30">
        <v>55</v>
      </c>
      <c r="AB110" s="30">
        <v>55</v>
      </c>
      <c r="AC110" s="30">
        <v>61</v>
      </c>
      <c r="AD110" s="30">
        <v>61</v>
      </c>
      <c r="AE110" s="30">
        <v>61</v>
      </c>
      <c r="AF110" s="30">
        <v>68</v>
      </c>
      <c r="AG110" s="30">
        <v>68</v>
      </c>
      <c r="AH110" s="30">
        <v>68</v>
      </c>
      <c r="AI110" s="30">
        <v>75</v>
      </c>
      <c r="AJ110" s="30">
        <v>75</v>
      </c>
      <c r="AK110" s="30">
        <v>75</v>
      </c>
      <c r="AL110" s="30">
        <v>82</v>
      </c>
      <c r="AM110" s="30">
        <v>82</v>
      </c>
      <c r="AN110" s="30">
        <v>82</v>
      </c>
      <c r="AO110" s="30">
        <v>90</v>
      </c>
      <c r="AP110" s="30">
        <v>90</v>
      </c>
      <c r="AQ110" s="30">
        <v>90</v>
      </c>
      <c r="AR110" s="30">
        <v>98</v>
      </c>
      <c r="AS110" s="30">
        <v>98</v>
      </c>
      <c r="AT110" s="30">
        <v>98</v>
      </c>
      <c r="AU110" s="30">
        <v>106</v>
      </c>
      <c r="AV110" s="30">
        <v>106</v>
      </c>
      <c r="AW110" s="30">
        <v>106</v>
      </c>
      <c r="AX110" s="30">
        <v>114</v>
      </c>
      <c r="AY110" s="30">
        <v>114</v>
      </c>
      <c r="AZ110" s="30">
        <v>114</v>
      </c>
      <c r="BA110" s="30">
        <v>122</v>
      </c>
      <c r="BB110" s="30">
        <v>122</v>
      </c>
      <c r="BC110" s="30">
        <v>122</v>
      </c>
      <c r="BD110" s="30">
        <v>131</v>
      </c>
      <c r="BE110" s="30">
        <v>131</v>
      </c>
      <c r="BF110" s="30">
        <v>131</v>
      </c>
      <c r="BG110" s="30">
        <v>140</v>
      </c>
      <c r="BH110" s="30">
        <v>140</v>
      </c>
      <c r="BI110" s="30">
        <v>140</v>
      </c>
      <c r="BJ110" s="30">
        <v>149</v>
      </c>
      <c r="BK110" s="30">
        <v>149</v>
      </c>
      <c r="BL110" s="30">
        <v>149</v>
      </c>
      <c r="BM110" s="30">
        <v>158</v>
      </c>
      <c r="BN110" s="30">
        <v>158</v>
      </c>
      <c r="BO110" s="30">
        <v>158</v>
      </c>
      <c r="BP110" s="30">
        <v>168</v>
      </c>
      <c r="BQ110" s="30">
        <v>168</v>
      </c>
      <c r="BR110" s="30">
        <v>168</v>
      </c>
      <c r="BS110" s="30">
        <v>177</v>
      </c>
      <c r="BT110" s="30">
        <v>177</v>
      </c>
      <c r="BU110" s="30">
        <v>177</v>
      </c>
      <c r="BV110" s="30">
        <v>187</v>
      </c>
      <c r="BW110" s="30">
        <v>187</v>
      </c>
      <c r="BX110" s="30">
        <v>187</v>
      </c>
      <c r="BY110" s="30">
        <v>197</v>
      </c>
      <c r="BZ110" s="30">
        <v>197</v>
      </c>
      <c r="CA110" s="30">
        <v>197</v>
      </c>
      <c r="CB110" s="30">
        <v>207</v>
      </c>
      <c r="CC110" s="30">
        <v>207</v>
      </c>
      <c r="CD110" s="30">
        <v>207</v>
      </c>
      <c r="CE110" s="30">
        <v>217</v>
      </c>
      <c r="CF110" s="30">
        <v>217</v>
      </c>
      <c r="CG110" s="30">
        <v>217</v>
      </c>
      <c r="CH110" s="30">
        <v>228</v>
      </c>
      <c r="CI110" s="30">
        <v>228</v>
      </c>
      <c r="CJ110" s="30">
        <v>228</v>
      </c>
      <c r="CK110" s="30">
        <v>238</v>
      </c>
      <c r="CL110" s="30">
        <v>238</v>
      </c>
      <c r="CM110" s="30">
        <v>238</v>
      </c>
    </row>
    <row r="111" spans="1:91" x14ac:dyDescent="0.25">
      <c r="A111" s="29" t="s">
        <v>1978</v>
      </c>
      <c r="B111" s="340">
        <v>84</v>
      </c>
      <c r="C111" s="340">
        <v>144</v>
      </c>
      <c r="D111" s="340">
        <v>108.00000000000001</v>
      </c>
      <c r="E111" s="340">
        <v>91</v>
      </c>
      <c r="F111" s="340">
        <v>156</v>
      </c>
      <c r="G111" s="340">
        <v>117.00000000000001</v>
      </c>
      <c r="H111" s="340">
        <v>102.95833333333334</v>
      </c>
      <c r="I111" s="340">
        <v>176.5</v>
      </c>
      <c r="J111" s="340">
        <v>132.37500000000003</v>
      </c>
      <c r="K111" s="340">
        <v>117.25000000000001</v>
      </c>
      <c r="L111" s="340">
        <v>201</v>
      </c>
      <c r="M111" s="340">
        <v>150.75000000000003</v>
      </c>
      <c r="N111" s="340">
        <v>134.16666666666669</v>
      </c>
      <c r="O111" s="340">
        <v>230.00000000000003</v>
      </c>
      <c r="P111" s="340">
        <v>172.50000000000003</v>
      </c>
      <c r="Q111" s="340">
        <v>152.25</v>
      </c>
      <c r="R111" s="340">
        <v>261</v>
      </c>
      <c r="S111" s="340">
        <v>195.75000000000003</v>
      </c>
      <c r="T111" s="340">
        <v>172.08333333333334</v>
      </c>
      <c r="U111" s="340">
        <v>295</v>
      </c>
      <c r="V111" s="340">
        <v>221.25000000000003</v>
      </c>
      <c r="W111" s="340">
        <v>193.08333333333334</v>
      </c>
      <c r="X111" s="340">
        <v>331</v>
      </c>
      <c r="Y111" s="340">
        <v>248.25000000000003</v>
      </c>
      <c r="Z111" s="340">
        <v>215.83333333333334</v>
      </c>
      <c r="AA111" s="340">
        <v>370</v>
      </c>
      <c r="AB111" s="340">
        <v>277.50000000000006</v>
      </c>
      <c r="AC111" s="340">
        <v>239.45833333333334</v>
      </c>
      <c r="AD111" s="340">
        <v>410.5</v>
      </c>
      <c r="AE111" s="340">
        <v>307.87500000000006</v>
      </c>
      <c r="AF111" s="340">
        <v>264.25</v>
      </c>
      <c r="AG111" s="340">
        <v>453</v>
      </c>
      <c r="AH111" s="340">
        <v>339.75</v>
      </c>
      <c r="AI111" s="340">
        <v>289.91666666666669</v>
      </c>
      <c r="AJ111" s="340">
        <v>497</v>
      </c>
      <c r="AK111" s="340">
        <v>372.75000000000006</v>
      </c>
      <c r="AL111" s="340">
        <v>316.45833333333337</v>
      </c>
      <c r="AM111" s="340">
        <v>542.5</v>
      </c>
      <c r="AN111" s="340">
        <v>406.87500000000006</v>
      </c>
      <c r="AO111" s="340">
        <v>344.16666666666669</v>
      </c>
      <c r="AP111" s="340">
        <v>590</v>
      </c>
      <c r="AQ111" s="340">
        <v>442.50000000000006</v>
      </c>
      <c r="AR111" s="340">
        <v>372.45833333333337</v>
      </c>
      <c r="AS111" s="340">
        <v>638.5</v>
      </c>
      <c r="AT111" s="340">
        <v>478.87500000000006</v>
      </c>
      <c r="AU111" s="340">
        <v>401.91666666666669</v>
      </c>
      <c r="AV111" s="340">
        <v>689</v>
      </c>
      <c r="AW111" s="340">
        <v>516.75000000000011</v>
      </c>
      <c r="AX111" s="340">
        <v>431.66666666666669</v>
      </c>
      <c r="AY111" s="340">
        <v>740</v>
      </c>
      <c r="AZ111" s="340">
        <v>555.00000000000011</v>
      </c>
      <c r="BA111" s="340">
        <v>462.58333333333337</v>
      </c>
      <c r="BB111" s="340">
        <v>793</v>
      </c>
      <c r="BC111" s="340">
        <v>594.75000000000011</v>
      </c>
      <c r="BD111" s="340">
        <v>494.08333333333337</v>
      </c>
      <c r="BE111" s="340">
        <v>847</v>
      </c>
      <c r="BF111" s="340">
        <v>635.25000000000011</v>
      </c>
      <c r="BG111" s="340">
        <v>526.16666666666674</v>
      </c>
      <c r="BH111" s="340">
        <v>902.00000000000011</v>
      </c>
      <c r="BI111" s="340">
        <v>676.50000000000011</v>
      </c>
      <c r="BJ111" s="340">
        <v>559.41666666666674</v>
      </c>
      <c r="BK111" s="340">
        <v>959.00000000000011</v>
      </c>
      <c r="BL111" s="340">
        <v>719.25000000000011</v>
      </c>
      <c r="BM111" s="340">
        <v>592.66666666666674</v>
      </c>
      <c r="BN111" s="340">
        <v>1016.0000000000001</v>
      </c>
      <c r="BO111" s="340">
        <v>762.00000000000011</v>
      </c>
      <c r="BP111" s="340">
        <v>627.08333333333337</v>
      </c>
      <c r="BQ111" s="340">
        <v>1075</v>
      </c>
      <c r="BR111" s="340">
        <v>806.25000000000011</v>
      </c>
      <c r="BS111" s="340">
        <v>661.79166666666674</v>
      </c>
      <c r="BT111" s="340">
        <v>1134.5</v>
      </c>
      <c r="BU111" s="340">
        <v>850.87500000000011</v>
      </c>
      <c r="BV111" s="340">
        <v>697.08333333333337</v>
      </c>
      <c r="BW111" s="340">
        <v>1195</v>
      </c>
      <c r="BX111" s="340">
        <v>896.25000000000011</v>
      </c>
      <c r="BY111" s="340">
        <v>733.25</v>
      </c>
      <c r="BZ111" s="340">
        <v>1257</v>
      </c>
      <c r="CA111" s="340">
        <v>942.75000000000011</v>
      </c>
      <c r="CB111" s="340">
        <v>770</v>
      </c>
      <c r="CC111" s="340">
        <v>1320</v>
      </c>
      <c r="CD111" s="340">
        <v>990.00000000000011</v>
      </c>
      <c r="CE111" s="340">
        <v>807.33333333333337</v>
      </c>
      <c r="CF111" s="340">
        <v>1384</v>
      </c>
      <c r="CG111" s="340">
        <v>1038.0000000000002</v>
      </c>
      <c r="CH111" s="340">
        <v>845.25</v>
      </c>
      <c r="CI111" s="340">
        <v>1449</v>
      </c>
      <c r="CJ111" s="340">
        <v>1086.75</v>
      </c>
      <c r="CK111" s="340">
        <v>883.45833333333337</v>
      </c>
      <c r="CL111" s="340">
        <v>1514.5</v>
      </c>
      <c r="CM111" s="340">
        <v>1135.8750000000002</v>
      </c>
    </row>
    <row r="112" spans="1:91" x14ac:dyDescent="0.25">
      <c r="A112" s="29" t="s">
        <v>79</v>
      </c>
      <c r="B112" s="30">
        <v>50</v>
      </c>
      <c r="C112" s="30">
        <v>10</v>
      </c>
      <c r="D112" s="30">
        <v>100</v>
      </c>
      <c r="E112" s="30">
        <v>55</v>
      </c>
      <c r="F112" s="30">
        <v>11</v>
      </c>
      <c r="G112" s="30">
        <v>111</v>
      </c>
      <c r="H112" s="30">
        <v>65</v>
      </c>
      <c r="I112" s="30">
        <v>13</v>
      </c>
      <c r="J112" s="30">
        <v>129</v>
      </c>
      <c r="K112" s="30">
        <v>76</v>
      </c>
      <c r="L112" s="30">
        <v>15</v>
      </c>
      <c r="M112" s="30">
        <v>152</v>
      </c>
      <c r="N112" s="30">
        <v>89</v>
      </c>
      <c r="O112" s="30">
        <v>18</v>
      </c>
      <c r="P112" s="30">
        <v>179</v>
      </c>
      <c r="Q112" s="30">
        <v>104</v>
      </c>
      <c r="R112" s="30">
        <v>21</v>
      </c>
      <c r="S112" s="30">
        <v>208</v>
      </c>
      <c r="T112" s="30">
        <v>121</v>
      </c>
      <c r="U112" s="30">
        <v>24</v>
      </c>
      <c r="V112" s="30">
        <v>241</v>
      </c>
      <c r="W112" s="30">
        <v>138</v>
      </c>
      <c r="X112" s="30">
        <v>28</v>
      </c>
      <c r="Y112" s="30">
        <v>276</v>
      </c>
      <c r="Z112" s="30">
        <v>157</v>
      </c>
      <c r="AA112" s="30">
        <v>31</v>
      </c>
      <c r="AB112" s="30">
        <v>313</v>
      </c>
      <c r="AC112" s="30">
        <v>176</v>
      </c>
      <c r="AD112" s="30">
        <v>35</v>
      </c>
      <c r="AE112" s="30">
        <v>353</v>
      </c>
      <c r="AF112" s="30">
        <v>197</v>
      </c>
      <c r="AG112" s="30">
        <v>39</v>
      </c>
      <c r="AH112" s="30">
        <v>394</v>
      </c>
      <c r="AI112" s="30">
        <v>219</v>
      </c>
      <c r="AJ112" s="30">
        <v>44</v>
      </c>
      <c r="AK112" s="30">
        <v>437</v>
      </c>
      <c r="AL112" s="30">
        <v>241</v>
      </c>
      <c r="AM112" s="30">
        <v>48</v>
      </c>
      <c r="AN112" s="30">
        <v>482</v>
      </c>
      <c r="AO112" s="30">
        <v>265</v>
      </c>
      <c r="AP112" s="30">
        <v>53</v>
      </c>
      <c r="AQ112" s="30">
        <v>529</v>
      </c>
      <c r="AR112" s="30">
        <v>289</v>
      </c>
      <c r="AS112" s="30">
        <v>58</v>
      </c>
      <c r="AT112" s="30">
        <v>577</v>
      </c>
      <c r="AU112" s="30">
        <v>314</v>
      </c>
      <c r="AV112" s="30">
        <v>63</v>
      </c>
      <c r="AW112" s="30">
        <v>627</v>
      </c>
      <c r="AX112" s="30">
        <v>339</v>
      </c>
      <c r="AY112" s="30">
        <v>68</v>
      </c>
      <c r="AZ112" s="30">
        <v>679</v>
      </c>
      <c r="BA112" s="30">
        <v>366</v>
      </c>
      <c r="BB112" s="30">
        <v>73</v>
      </c>
      <c r="BC112" s="30">
        <v>731</v>
      </c>
      <c r="BD112" s="30">
        <v>393</v>
      </c>
      <c r="BE112" s="30">
        <v>79</v>
      </c>
      <c r="BF112" s="30">
        <v>786</v>
      </c>
      <c r="BG112" s="30">
        <v>421</v>
      </c>
      <c r="BH112" s="30">
        <v>84</v>
      </c>
      <c r="BI112" s="30">
        <v>841</v>
      </c>
      <c r="BJ112" s="30">
        <v>449</v>
      </c>
      <c r="BK112" s="30">
        <v>90</v>
      </c>
      <c r="BL112" s="30">
        <v>898</v>
      </c>
      <c r="BM112" s="30">
        <v>478</v>
      </c>
      <c r="BN112" s="30">
        <v>96</v>
      </c>
      <c r="BO112" s="30">
        <v>956</v>
      </c>
      <c r="BP112" s="30">
        <v>508</v>
      </c>
      <c r="BQ112" s="30">
        <v>102</v>
      </c>
      <c r="BR112" s="30">
        <v>1015</v>
      </c>
      <c r="BS112" s="30">
        <v>538</v>
      </c>
      <c r="BT112" s="30">
        <v>108</v>
      </c>
      <c r="BU112" s="30">
        <v>1076</v>
      </c>
      <c r="BV112" s="30">
        <v>569</v>
      </c>
      <c r="BW112" s="30">
        <v>114</v>
      </c>
      <c r="BX112" s="30">
        <v>1138</v>
      </c>
      <c r="BY112" s="30">
        <v>600</v>
      </c>
      <c r="BZ112" s="30">
        <v>120</v>
      </c>
      <c r="CA112" s="30">
        <v>1200</v>
      </c>
      <c r="CB112" s="30">
        <v>632</v>
      </c>
      <c r="CC112" s="30">
        <v>126</v>
      </c>
      <c r="CD112" s="30">
        <v>1264</v>
      </c>
      <c r="CE112" s="30">
        <v>665</v>
      </c>
      <c r="CF112" s="30">
        <v>133</v>
      </c>
      <c r="CG112" s="30">
        <v>1329</v>
      </c>
      <c r="CH112" s="30">
        <v>698</v>
      </c>
      <c r="CI112" s="30">
        <v>140</v>
      </c>
      <c r="CJ112" s="30">
        <v>1395</v>
      </c>
      <c r="CK112" s="30">
        <v>731</v>
      </c>
      <c r="CL112" s="30">
        <v>146</v>
      </c>
      <c r="CM112" s="30">
        <v>1463</v>
      </c>
    </row>
    <row r="113" spans="1:91" x14ac:dyDescent="0.25">
      <c r="A113" s="29" t="s">
        <v>88</v>
      </c>
      <c r="B113" s="30">
        <v>75</v>
      </c>
      <c r="C113" s="30">
        <v>25</v>
      </c>
      <c r="D113" s="30">
        <v>20</v>
      </c>
      <c r="E113" s="30">
        <v>83</v>
      </c>
      <c r="F113" s="30">
        <v>28</v>
      </c>
      <c r="G113" s="30">
        <v>22</v>
      </c>
      <c r="H113" s="30">
        <v>97</v>
      </c>
      <c r="I113" s="30">
        <v>32</v>
      </c>
      <c r="J113" s="30">
        <v>26</v>
      </c>
      <c r="K113" s="30">
        <v>114</v>
      </c>
      <c r="L113" s="30">
        <v>38</v>
      </c>
      <c r="M113" s="30">
        <v>30</v>
      </c>
      <c r="N113" s="30">
        <v>134</v>
      </c>
      <c r="O113" s="30">
        <v>45</v>
      </c>
      <c r="P113" s="30">
        <v>36</v>
      </c>
      <c r="Q113" s="30">
        <v>156</v>
      </c>
      <c r="R113" s="30">
        <v>52</v>
      </c>
      <c r="S113" s="30">
        <v>42</v>
      </c>
      <c r="T113" s="30">
        <v>181</v>
      </c>
      <c r="U113" s="30">
        <v>60</v>
      </c>
      <c r="V113" s="30">
        <v>48</v>
      </c>
      <c r="W113" s="30">
        <v>207</v>
      </c>
      <c r="X113" s="30">
        <v>69</v>
      </c>
      <c r="Y113" s="30">
        <v>55</v>
      </c>
      <c r="Z113" s="30">
        <v>235</v>
      </c>
      <c r="AA113" s="30">
        <v>78</v>
      </c>
      <c r="AB113" s="30">
        <v>63</v>
      </c>
      <c r="AC113" s="30">
        <v>265</v>
      </c>
      <c r="AD113" s="30">
        <v>88</v>
      </c>
      <c r="AE113" s="30">
        <v>71</v>
      </c>
      <c r="AF113" s="30">
        <v>296</v>
      </c>
      <c r="AG113" s="30">
        <v>99</v>
      </c>
      <c r="AH113" s="30">
        <v>79</v>
      </c>
      <c r="AI113" s="30">
        <v>328</v>
      </c>
      <c r="AJ113" s="30">
        <v>109</v>
      </c>
      <c r="AK113" s="30">
        <v>87</v>
      </c>
      <c r="AL113" s="30">
        <v>362</v>
      </c>
      <c r="AM113" s="30">
        <v>121</v>
      </c>
      <c r="AN113" s="30">
        <v>96</v>
      </c>
      <c r="AO113" s="30">
        <v>397</v>
      </c>
      <c r="AP113" s="30">
        <v>132</v>
      </c>
      <c r="AQ113" s="30">
        <v>106</v>
      </c>
      <c r="AR113" s="30">
        <v>433</v>
      </c>
      <c r="AS113" s="30">
        <v>144</v>
      </c>
      <c r="AT113" s="30">
        <v>115</v>
      </c>
      <c r="AU113" s="30">
        <v>471</v>
      </c>
      <c r="AV113" s="30">
        <v>157</v>
      </c>
      <c r="AW113" s="30">
        <v>125</v>
      </c>
      <c r="AX113" s="30">
        <v>509</v>
      </c>
      <c r="AY113" s="30">
        <v>170</v>
      </c>
      <c r="AZ113" s="30">
        <v>136</v>
      </c>
      <c r="BA113" s="30">
        <v>549</v>
      </c>
      <c r="BB113" s="30">
        <v>183</v>
      </c>
      <c r="BC113" s="30">
        <v>146</v>
      </c>
      <c r="BD113" s="30">
        <v>589</v>
      </c>
      <c r="BE113" s="30">
        <v>196</v>
      </c>
      <c r="BF113" s="30">
        <v>157</v>
      </c>
      <c r="BG113" s="30">
        <v>631</v>
      </c>
      <c r="BH113" s="30">
        <v>210</v>
      </c>
      <c r="BI113" s="30">
        <v>168</v>
      </c>
      <c r="BJ113" s="30">
        <v>674</v>
      </c>
      <c r="BK113" s="30">
        <v>225</v>
      </c>
      <c r="BL113" s="30">
        <v>180</v>
      </c>
      <c r="BM113" s="30">
        <v>717</v>
      </c>
      <c r="BN113" s="30">
        <v>239</v>
      </c>
      <c r="BO113" s="30">
        <v>191</v>
      </c>
      <c r="BP113" s="30">
        <v>762</v>
      </c>
      <c r="BQ113" s="30">
        <v>254</v>
      </c>
      <c r="BR113" s="30">
        <v>203</v>
      </c>
      <c r="BS113" s="30">
        <v>807</v>
      </c>
      <c r="BT113" s="30">
        <v>269</v>
      </c>
      <c r="BU113" s="30">
        <v>215</v>
      </c>
      <c r="BV113" s="30">
        <v>853</v>
      </c>
      <c r="BW113" s="30">
        <v>284</v>
      </c>
      <c r="BX113" s="30">
        <v>228</v>
      </c>
      <c r="BY113" s="30">
        <v>900</v>
      </c>
      <c r="BZ113" s="30">
        <v>300</v>
      </c>
      <c r="CA113" s="30">
        <v>240</v>
      </c>
      <c r="CB113" s="30">
        <v>948</v>
      </c>
      <c r="CC113" s="30">
        <v>316</v>
      </c>
      <c r="CD113" s="30">
        <v>253</v>
      </c>
      <c r="CE113" s="30">
        <v>997</v>
      </c>
      <c r="CF113" s="30">
        <v>332</v>
      </c>
      <c r="CG113" s="30">
        <v>266</v>
      </c>
      <c r="CH113" s="30">
        <v>1047</v>
      </c>
      <c r="CI113" s="30">
        <v>349</v>
      </c>
      <c r="CJ113" s="30">
        <v>279</v>
      </c>
      <c r="CK113" s="30">
        <v>1097</v>
      </c>
      <c r="CL113" s="30">
        <v>366</v>
      </c>
      <c r="CM113" s="30">
        <v>293</v>
      </c>
    </row>
    <row r="114" spans="1:91" x14ac:dyDescent="0.25">
      <c r="A114" s="29" t="s">
        <v>2180</v>
      </c>
      <c r="B114" s="340">
        <v>144</v>
      </c>
      <c r="C114" s="340">
        <v>36</v>
      </c>
      <c r="D114" s="340">
        <v>156</v>
      </c>
      <c r="E114" s="340">
        <v>156</v>
      </c>
      <c r="F114" s="340">
        <v>39</v>
      </c>
      <c r="G114" s="340">
        <v>169</v>
      </c>
      <c r="H114" s="340">
        <v>176.5</v>
      </c>
      <c r="I114" s="340">
        <v>44.125</v>
      </c>
      <c r="J114" s="340">
        <v>191.20833333333337</v>
      </c>
      <c r="K114" s="340">
        <v>201</v>
      </c>
      <c r="L114" s="340">
        <v>50.25</v>
      </c>
      <c r="M114" s="340">
        <v>217.75000000000003</v>
      </c>
      <c r="N114" s="340">
        <v>230.00000000000003</v>
      </c>
      <c r="O114" s="340">
        <v>57.500000000000007</v>
      </c>
      <c r="P114" s="340">
        <v>249.16666666666671</v>
      </c>
      <c r="Q114" s="340">
        <v>261</v>
      </c>
      <c r="R114" s="340">
        <v>65.25</v>
      </c>
      <c r="S114" s="340">
        <v>282.75</v>
      </c>
      <c r="T114" s="340">
        <v>295</v>
      </c>
      <c r="U114" s="340">
        <v>73.75</v>
      </c>
      <c r="V114" s="340">
        <v>319.58333333333337</v>
      </c>
      <c r="W114" s="340">
        <v>331</v>
      </c>
      <c r="X114" s="340">
        <v>82.75</v>
      </c>
      <c r="Y114" s="340">
        <v>358.58333333333337</v>
      </c>
      <c r="Z114" s="340">
        <v>370</v>
      </c>
      <c r="AA114" s="340">
        <v>92.5</v>
      </c>
      <c r="AB114" s="340">
        <v>400.83333333333337</v>
      </c>
      <c r="AC114" s="340">
        <v>410.5</v>
      </c>
      <c r="AD114" s="340">
        <v>102.625</v>
      </c>
      <c r="AE114" s="340">
        <v>444.70833333333337</v>
      </c>
      <c r="AF114" s="340">
        <v>453</v>
      </c>
      <c r="AG114" s="340">
        <v>113.25</v>
      </c>
      <c r="AH114" s="340">
        <v>490.75</v>
      </c>
      <c r="AI114" s="340">
        <v>497</v>
      </c>
      <c r="AJ114" s="340">
        <v>124.25</v>
      </c>
      <c r="AK114" s="340">
        <v>538.41666666666674</v>
      </c>
      <c r="AL114" s="340">
        <v>542.5</v>
      </c>
      <c r="AM114" s="340">
        <v>135.625</v>
      </c>
      <c r="AN114" s="340">
        <v>587.70833333333337</v>
      </c>
      <c r="AO114" s="340">
        <v>590</v>
      </c>
      <c r="AP114" s="340">
        <v>147.5</v>
      </c>
      <c r="AQ114" s="340">
        <v>639.16666666666674</v>
      </c>
      <c r="AR114" s="340">
        <v>638.5</v>
      </c>
      <c r="AS114" s="340">
        <v>159.625</v>
      </c>
      <c r="AT114" s="340">
        <v>691.70833333333337</v>
      </c>
      <c r="AU114" s="340">
        <v>689</v>
      </c>
      <c r="AV114" s="340">
        <v>172.25</v>
      </c>
      <c r="AW114" s="340">
        <v>746.41666666666674</v>
      </c>
      <c r="AX114" s="340">
        <v>740</v>
      </c>
      <c r="AY114" s="340">
        <v>185</v>
      </c>
      <c r="AZ114" s="340">
        <v>801.66666666666674</v>
      </c>
      <c r="BA114" s="340">
        <v>793</v>
      </c>
      <c r="BB114" s="340">
        <v>198.25</v>
      </c>
      <c r="BC114" s="340">
        <v>859.08333333333348</v>
      </c>
      <c r="BD114" s="340">
        <v>847</v>
      </c>
      <c r="BE114" s="340">
        <v>211.75</v>
      </c>
      <c r="BF114" s="340">
        <v>917.58333333333348</v>
      </c>
      <c r="BG114" s="340">
        <v>902.00000000000011</v>
      </c>
      <c r="BH114" s="340">
        <v>225.50000000000003</v>
      </c>
      <c r="BI114" s="340">
        <v>977.16666666666686</v>
      </c>
      <c r="BJ114" s="340">
        <v>959.00000000000011</v>
      </c>
      <c r="BK114" s="340">
        <v>239.75000000000003</v>
      </c>
      <c r="BL114" s="340">
        <v>1038.9166666666667</v>
      </c>
      <c r="BM114" s="340">
        <v>1016.0000000000001</v>
      </c>
      <c r="BN114" s="340">
        <v>254.00000000000003</v>
      </c>
      <c r="BO114" s="340">
        <v>1100.6666666666667</v>
      </c>
      <c r="BP114" s="340">
        <v>1075</v>
      </c>
      <c r="BQ114" s="340">
        <v>268.75</v>
      </c>
      <c r="BR114" s="340">
        <v>1164.5833333333335</v>
      </c>
      <c r="BS114" s="340">
        <v>1134.5</v>
      </c>
      <c r="BT114" s="340">
        <v>283.625</v>
      </c>
      <c r="BU114" s="340">
        <v>1229.0416666666667</v>
      </c>
      <c r="BV114" s="340">
        <v>1195</v>
      </c>
      <c r="BW114" s="340">
        <v>298.75</v>
      </c>
      <c r="BX114" s="340">
        <v>1294.5833333333335</v>
      </c>
      <c r="BY114" s="340">
        <v>1257</v>
      </c>
      <c r="BZ114" s="340">
        <v>314.25</v>
      </c>
      <c r="CA114" s="340">
        <v>1361.75</v>
      </c>
      <c r="CB114" s="340">
        <v>1320</v>
      </c>
      <c r="CC114" s="340">
        <v>330</v>
      </c>
      <c r="CD114" s="340">
        <v>1430</v>
      </c>
      <c r="CE114" s="340">
        <v>1384</v>
      </c>
      <c r="CF114" s="340">
        <v>346</v>
      </c>
      <c r="CG114" s="340">
        <v>1499.3333333333335</v>
      </c>
      <c r="CH114" s="340">
        <v>1449</v>
      </c>
      <c r="CI114" s="340">
        <v>362.25</v>
      </c>
      <c r="CJ114" s="340">
        <v>1569.75</v>
      </c>
      <c r="CK114" s="340">
        <v>1514.5</v>
      </c>
      <c r="CL114" s="340">
        <v>378.625</v>
      </c>
      <c r="CM114" s="340">
        <v>1640.7083333333335</v>
      </c>
    </row>
    <row r="115" spans="1:91" x14ac:dyDescent="0.25">
      <c r="A115" s="29" t="s">
        <v>7</v>
      </c>
      <c r="B115" s="30">
        <v>15</v>
      </c>
      <c r="C115" s="30">
        <v>8</v>
      </c>
      <c r="D115" s="30">
        <v>1</v>
      </c>
      <c r="E115" s="30">
        <v>17</v>
      </c>
      <c r="F115" s="30">
        <v>9</v>
      </c>
      <c r="G115" s="30">
        <v>1</v>
      </c>
      <c r="H115" s="30">
        <v>19</v>
      </c>
      <c r="I115" s="30">
        <v>10</v>
      </c>
      <c r="J115" s="30">
        <v>1</v>
      </c>
      <c r="K115" s="30">
        <v>22</v>
      </c>
      <c r="L115" s="30">
        <v>12</v>
      </c>
      <c r="M115" s="30">
        <v>1</v>
      </c>
      <c r="N115" s="30">
        <v>26</v>
      </c>
      <c r="O115" s="30">
        <v>14</v>
      </c>
      <c r="P115" s="30">
        <v>2</v>
      </c>
      <c r="Q115" s="30">
        <v>30</v>
      </c>
      <c r="R115" s="30">
        <v>16</v>
      </c>
      <c r="S115" s="30">
        <v>2</v>
      </c>
      <c r="T115" s="30">
        <v>34</v>
      </c>
      <c r="U115" s="30">
        <v>18</v>
      </c>
      <c r="V115" s="30">
        <v>2</v>
      </c>
      <c r="W115" s="30">
        <v>39</v>
      </c>
      <c r="X115" s="30">
        <v>21</v>
      </c>
      <c r="Y115" s="30">
        <v>3</v>
      </c>
      <c r="Z115" s="30">
        <v>44</v>
      </c>
      <c r="AA115" s="30">
        <v>23</v>
      </c>
      <c r="AB115" s="30">
        <v>3</v>
      </c>
      <c r="AC115" s="30">
        <v>49</v>
      </c>
      <c r="AD115" s="30">
        <v>26</v>
      </c>
      <c r="AE115" s="30">
        <v>3</v>
      </c>
      <c r="AF115" s="30">
        <v>54</v>
      </c>
      <c r="AG115" s="30">
        <v>29</v>
      </c>
      <c r="AH115" s="30">
        <v>4</v>
      </c>
      <c r="AI115" s="30">
        <v>59</v>
      </c>
      <c r="AJ115" s="30">
        <v>32</v>
      </c>
      <c r="AK115" s="30">
        <v>4</v>
      </c>
      <c r="AL115" s="30">
        <v>65</v>
      </c>
      <c r="AM115" s="30">
        <v>35</v>
      </c>
      <c r="AN115" s="30">
        <v>4</v>
      </c>
      <c r="AO115" s="30">
        <v>71</v>
      </c>
      <c r="AP115" s="30">
        <v>38</v>
      </c>
      <c r="AQ115" s="30">
        <v>5</v>
      </c>
      <c r="AR115" s="30">
        <v>77</v>
      </c>
      <c r="AS115" s="30">
        <v>41</v>
      </c>
      <c r="AT115" s="30">
        <v>5</v>
      </c>
      <c r="AU115" s="30">
        <v>84</v>
      </c>
      <c r="AV115" s="30">
        <v>45</v>
      </c>
      <c r="AW115" s="30">
        <v>6</v>
      </c>
      <c r="AX115" s="30">
        <v>90</v>
      </c>
      <c r="AY115" s="30">
        <v>48</v>
      </c>
      <c r="AZ115" s="30">
        <v>6</v>
      </c>
      <c r="BA115" s="30">
        <v>97</v>
      </c>
      <c r="BB115" s="30">
        <v>52</v>
      </c>
      <c r="BC115" s="30">
        <v>6</v>
      </c>
      <c r="BD115" s="30">
        <v>104</v>
      </c>
      <c r="BE115" s="30">
        <v>55</v>
      </c>
      <c r="BF115" s="30">
        <v>7</v>
      </c>
      <c r="BG115" s="30">
        <v>111</v>
      </c>
      <c r="BH115" s="30">
        <v>59</v>
      </c>
      <c r="BI115" s="30">
        <v>7</v>
      </c>
      <c r="BJ115" s="30">
        <v>118</v>
      </c>
      <c r="BK115" s="30">
        <v>63</v>
      </c>
      <c r="BL115" s="30">
        <v>8</v>
      </c>
      <c r="BM115" s="30">
        <v>125</v>
      </c>
      <c r="BN115" s="30">
        <v>67</v>
      </c>
      <c r="BO115" s="30">
        <v>8</v>
      </c>
      <c r="BP115" s="30">
        <v>132</v>
      </c>
      <c r="BQ115" s="30">
        <v>71</v>
      </c>
      <c r="BR115" s="30">
        <v>9</v>
      </c>
      <c r="BS115" s="30">
        <v>140</v>
      </c>
      <c r="BT115" s="30">
        <v>75</v>
      </c>
      <c r="BU115" s="30">
        <v>9</v>
      </c>
      <c r="BV115" s="30">
        <v>148</v>
      </c>
      <c r="BW115" s="30">
        <v>79</v>
      </c>
      <c r="BX115" s="30">
        <v>10</v>
      </c>
      <c r="BY115" s="30">
        <v>155</v>
      </c>
      <c r="BZ115" s="30">
        <v>83</v>
      </c>
      <c r="CA115" s="30">
        <v>10</v>
      </c>
      <c r="CB115" s="30">
        <v>163</v>
      </c>
      <c r="CC115" s="30">
        <v>87</v>
      </c>
      <c r="CD115" s="30">
        <v>11</v>
      </c>
      <c r="CE115" s="30">
        <v>171</v>
      </c>
      <c r="CF115" s="30">
        <v>91</v>
      </c>
      <c r="CG115" s="30">
        <v>11</v>
      </c>
      <c r="CH115" s="30">
        <v>179</v>
      </c>
      <c r="CI115" s="30">
        <v>96</v>
      </c>
      <c r="CJ115" s="30">
        <v>12</v>
      </c>
      <c r="CK115" s="30">
        <v>188</v>
      </c>
      <c r="CL115" s="30">
        <v>100</v>
      </c>
      <c r="CM115" s="30">
        <v>13</v>
      </c>
    </row>
    <row r="116" spans="1:91" x14ac:dyDescent="0.25">
      <c r="A116" s="29" t="s">
        <v>87</v>
      </c>
      <c r="B116" s="30">
        <v>10</v>
      </c>
      <c r="C116" s="30">
        <v>80</v>
      </c>
      <c r="D116" s="30">
        <v>30</v>
      </c>
      <c r="E116" s="30">
        <v>11</v>
      </c>
      <c r="F116" s="30">
        <v>88</v>
      </c>
      <c r="G116" s="30">
        <v>33</v>
      </c>
      <c r="H116" s="30">
        <v>13</v>
      </c>
      <c r="I116" s="30">
        <v>103</v>
      </c>
      <c r="J116" s="30">
        <v>39</v>
      </c>
      <c r="K116" s="30">
        <v>15</v>
      </c>
      <c r="L116" s="30">
        <v>122</v>
      </c>
      <c r="M116" s="30">
        <v>46</v>
      </c>
      <c r="N116" s="30">
        <v>18</v>
      </c>
      <c r="O116" s="30">
        <v>143</v>
      </c>
      <c r="P116" s="30">
        <v>54</v>
      </c>
      <c r="Q116" s="30">
        <v>21</v>
      </c>
      <c r="R116" s="30">
        <v>167</v>
      </c>
      <c r="S116" s="30">
        <v>63</v>
      </c>
      <c r="T116" s="30">
        <v>24</v>
      </c>
      <c r="U116" s="30">
        <v>193</v>
      </c>
      <c r="V116" s="30">
        <v>72</v>
      </c>
      <c r="W116" s="30">
        <v>28</v>
      </c>
      <c r="X116" s="30">
        <v>221</v>
      </c>
      <c r="Y116" s="30">
        <v>83</v>
      </c>
      <c r="Z116" s="30">
        <v>31</v>
      </c>
      <c r="AA116" s="30">
        <v>251</v>
      </c>
      <c r="AB116" s="30">
        <v>94</v>
      </c>
      <c r="AC116" s="30">
        <v>35</v>
      </c>
      <c r="AD116" s="30">
        <v>282</v>
      </c>
      <c r="AE116" s="30">
        <v>106</v>
      </c>
      <c r="AF116" s="30">
        <v>39</v>
      </c>
      <c r="AG116" s="30">
        <v>315</v>
      </c>
      <c r="AH116" s="30">
        <v>118</v>
      </c>
      <c r="AI116" s="30">
        <v>44</v>
      </c>
      <c r="AJ116" s="30">
        <v>350</v>
      </c>
      <c r="AK116" s="30">
        <v>131</v>
      </c>
      <c r="AL116" s="30">
        <v>48</v>
      </c>
      <c r="AM116" s="30">
        <v>386</v>
      </c>
      <c r="AN116" s="30">
        <v>145</v>
      </c>
      <c r="AO116" s="30">
        <v>53</v>
      </c>
      <c r="AP116" s="30">
        <v>423</v>
      </c>
      <c r="AQ116" s="30">
        <v>159</v>
      </c>
      <c r="AR116" s="30">
        <v>58</v>
      </c>
      <c r="AS116" s="30">
        <v>462</v>
      </c>
      <c r="AT116" s="30">
        <v>173</v>
      </c>
      <c r="AU116" s="30">
        <v>63</v>
      </c>
      <c r="AV116" s="30">
        <v>502</v>
      </c>
      <c r="AW116" s="30">
        <v>188</v>
      </c>
      <c r="AX116" s="30">
        <v>68</v>
      </c>
      <c r="AY116" s="30">
        <v>543</v>
      </c>
      <c r="AZ116" s="30">
        <v>204</v>
      </c>
      <c r="BA116" s="30">
        <v>73</v>
      </c>
      <c r="BB116" s="30">
        <v>585</v>
      </c>
      <c r="BC116" s="30">
        <v>219</v>
      </c>
      <c r="BD116" s="30">
        <v>79</v>
      </c>
      <c r="BE116" s="30">
        <v>628</v>
      </c>
      <c r="BF116" s="30">
        <v>236</v>
      </c>
      <c r="BG116" s="30">
        <v>84</v>
      </c>
      <c r="BH116" s="30">
        <v>673</v>
      </c>
      <c r="BI116" s="30">
        <v>252</v>
      </c>
      <c r="BJ116" s="30">
        <v>90</v>
      </c>
      <c r="BK116" s="30">
        <v>718</v>
      </c>
      <c r="BL116" s="30">
        <v>269</v>
      </c>
      <c r="BM116" s="30">
        <v>96</v>
      </c>
      <c r="BN116" s="30">
        <v>765</v>
      </c>
      <c r="BO116" s="30">
        <v>287</v>
      </c>
      <c r="BP116" s="30">
        <v>102</v>
      </c>
      <c r="BQ116" s="30">
        <v>812</v>
      </c>
      <c r="BR116" s="30">
        <v>305</v>
      </c>
      <c r="BS116" s="30">
        <v>108</v>
      </c>
      <c r="BT116" s="30">
        <v>861</v>
      </c>
      <c r="BU116" s="30">
        <v>323</v>
      </c>
      <c r="BV116" s="30">
        <v>114</v>
      </c>
      <c r="BW116" s="30">
        <v>910</v>
      </c>
      <c r="BX116" s="30">
        <v>341</v>
      </c>
      <c r="BY116" s="30">
        <v>120</v>
      </c>
      <c r="BZ116" s="30">
        <v>960</v>
      </c>
      <c r="CA116" s="30">
        <v>360</v>
      </c>
      <c r="CB116" s="30">
        <v>126</v>
      </c>
      <c r="CC116" s="30">
        <v>1012</v>
      </c>
      <c r="CD116" s="30">
        <v>379</v>
      </c>
      <c r="CE116" s="30">
        <v>133</v>
      </c>
      <c r="CF116" s="30">
        <v>1064</v>
      </c>
      <c r="CG116" s="30">
        <v>399</v>
      </c>
      <c r="CH116" s="30">
        <v>140</v>
      </c>
      <c r="CI116" s="30">
        <v>1116</v>
      </c>
      <c r="CJ116" s="30">
        <v>419</v>
      </c>
      <c r="CK116" s="30">
        <v>146</v>
      </c>
      <c r="CL116" s="30">
        <v>1170</v>
      </c>
      <c r="CM116" s="30">
        <v>439</v>
      </c>
    </row>
    <row r="117" spans="1:91" x14ac:dyDescent="0.25">
      <c r="A117" s="29" t="s">
        <v>39</v>
      </c>
      <c r="B117" s="30">
        <v>15</v>
      </c>
      <c r="C117" s="30">
        <v>33</v>
      </c>
      <c r="D117" s="30">
        <v>13</v>
      </c>
      <c r="E117" s="30">
        <v>16</v>
      </c>
      <c r="F117" s="30">
        <v>35</v>
      </c>
      <c r="G117" s="30">
        <v>14</v>
      </c>
      <c r="H117" s="30">
        <v>19</v>
      </c>
      <c r="I117" s="30">
        <v>40</v>
      </c>
      <c r="J117" s="30">
        <v>16</v>
      </c>
      <c r="K117" s="30">
        <v>22</v>
      </c>
      <c r="L117" s="30">
        <v>47</v>
      </c>
      <c r="M117" s="30">
        <v>18</v>
      </c>
      <c r="N117" s="30">
        <v>25</v>
      </c>
      <c r="O117" s="30">
        <v>54</v>
      </c>
      <c r="P117" s="30">
        <v>21</v>
      </c>
      <c r="Q117" s="30">
        <v>29</v>
      </c>
      <c r="R117" s="30">
        <v>62</v>
      </c>
      <c r="S117" s="30">
        <v>24</v>
      </c>
      <c r="T117" s="30">
        <v>32</v>
      </c>
      <c r="U117" s="30">
        <v>70</v>
      </c>
      <c r="V117" s="30">
        <v>27</v>
      </c>
      <c r="W117" s="30">
        <v>37</v>
      </c>
      <c r="X117" s="30">
        <v>80</v>
      </c>
      <c r="Y117" s="30">
        <v>31</v>
      </c>
      <c r="Z117" s="30">
        <v>41</v>
      </c>
      <c r="AA117" s="30">
        <v>90</v>
      </c>
      <c r="AB117" s="30">
        <v>34</v>
      </c>
      <c r="AC117" s="30">
        <v>46</v>
      </c>
      <c r="AD117" s="30">
        <v>100</v>
      </c>
      <c r="AE117" s="30">
        <v>38</v>
      </c>
      <c r="AF117" s="30">
        <v>51</v>
      </c>
      <c r="AG117" s="30">
        <v>111</v>
      </c>
      <c r="AH117" s="30">
        <v>43</v>
      </c>
      <c r="AI117" s="30">
        <v>56</v>
      </c>
      <c r="AJ117" s="30">
        <v>122</v>
      </c>
      <c r="AK117" s="30">
        <v>47</v>
      </c>
      <c r="AL117" s="30">
        <v>62</v>
      </c>
      <c r="AM117" s="30">
        <v>134</v>
      </c>
      <c r="AN117" s="30">
        <v>52</v>
      </c>
      <c r="AO117" s="30">
        <v>67</v>
      </c>
      <c r="AP117" s="30">
        <v>146</v>
      </c>
      <c r="AQ117" s="30">
        <v>56</v>
      </c>
      <c r="AR117" s="30">
        <v>73</v>
      </c>
      <c r="AS117" s="30">
        <v>159</v>
      </c>
      <c r="AT117" s="30">
        <v>61</v>
      </c>
      <c r="AU117" s="30">
        <v>79</v>
      </c>
      <c r="AV117" s="30">
        <v>172</v>
      </c>
      <c r="AW117" s="30">
        <v>66</v>
      </c>
      <c r="AX117" s="30">
        <v>85</v>
      </c>
      <c r="AY117" s="30">
        <v>185</v>
      </c>
      <c r="AZ117" s="30">
        <v>71</v>
      </c>
      <c r="BA117" s="30">
        <v>92</v>
      </c>
      <c r="BB117" s="30">
        <v>199</v>
      </c>
      <c r="BC117" s="30">
        <v>76</v>
      </c>
      <c r="BD117" s="30">
        <v>98</v>
      </c>
      <c r="BE117" s="30">
        <v>213</v>
      </c>
      <c r="BF117" s="30">
        <v>82</v>
      </c>
      <c r="BG117" s="30">
        <v>105</v>
      </c>
      <c r="BH117" s="30">
        <v>227</v>
      </c>
      <c r="BI117" s="30">
        <v>87</v>
      </c>
      <c r="BJ117" s="30">
        <v>112</v>
      </c>
      <c r="BK117" s="30">
        <v>242</v>
      </c>
      <c r="BL117" s="30">
        <v>93</v>
      </c>
      <c r="BM117" s="30">
        <v>119</v>
      </c>
      <c r="BN117" s="30">
        <v>257</v>
      </c>
      <c r="BO117" s="30">
        <v>99</v>
      </c>
      <c r="BP117" s="30">
        <v>126</v>
      </c>
      <c r="BQ117" s="30">
        <v>272</v>
      </c>
      <c r="BR117" s="30">
        <v>105</v>
      </c>
      <c r="BS117" s="30">
        <v>133</v>
      </c>
      <c r="BT117" s="30">
        <v>288</v>
      </c>
      <c r="BU117" s="30">
        <v>111</v>
      </c>
      <c r="BV117" s="30">
        <v>140</v>
      </c>
      <c r="BW117" s="30">
        <v>304</v>
      </c>
      <c r="BX117" s="30">
        <v>117</v>
      </c>
      <c r="BY117" s="30">
        <v>148</v>
      </c>
      <c r="BZ117" s="30">
        <v>320</v>
      </c>
      <c r="CA117" s="30">
        <v>123</v>
      </c>
      <c r="CB117" s="30">
        <v>155</v>
      </c>
      <c r="CC117" s="30">
        <v>336</v>
      </c>
      <c r="CD117" s="30">
        <v>129</v>
      </c>
      <c r="CE117" s="30">
        <v>163</v>
      </c>
      <c r="CF117" s="30">
        <v>353</v>
      </c>
      <c r="CG117" s="30">
        <v>136</v>
      </c>
      <c r="CH117" s="30">
        <v>171</v>
      </c>
      <c r="CI117" s="30">
        <v>370</v>
      </c>
      <c r="CJ117" s="30">
        <v>142</v>
      </c>
      <c r="CK117" s="30">
        <v>179</v>
      </c>
      <c r="CL117" s="30">
        <v>387</v>
      </c>
      <c r="CM117" s="30">
        <v>149</v>
      </c>
    </row>
    <row r="118" spans="1:91" x14ac:dyDescent="0.25">
      <c r="A118" s="29" t="s">
        <v>1653</v>
      </c>
      <c r="B118" s="274">
        <v>132</v>
      </c>
      <c r="C118" s="274">
        <v>96</v>
      </c>
      <c r="D118" s="274">
        <v>108.00000000000001</v>
      </c>
      <c r="E118" s="274">
        <v>143</v>
      </c>
      <c r="F118" s="274">
        <v>104</v>
      </c>
      <c r="G118" s="274">
        <v>117.00000000000001</v>
      </c>
      <c r="H118" s="274">
        <v>161.79166666666669</v>
      </c>
      <c r="I118" s="274">
        <v>117.66666666666667</v>
      </c>
      <c r="J118" s="274">
        <v>132.37500000000003</v>
      </c>
      <c r="K118" s="274">
        <v>184.25000000000003</v>
      </c>
      <c r="L118" s="274">
        <v>134</v>
      </c>
      <c r="M118" s="274">
        <v>150.75000000000003</v>
      </c>
      <c r="N118" s="274">
        <v>210.83333333333337</v>
      </c>
      <c r="O118" s="274">
        <v>153.33333333333334</v>
      </c>
      <c r="P118" s="274">
        <v>172.50000000000003</v>
      </c>
      <c r="Q118" s="274">
        <v>239.25</v>
      </c>
      <c r="R118" s="274">
        <v>174</v>
      </c>
      <c r="S118" s="274">
        <v>195.75000000000003</v>
      </c>
      <c r="T118" s="274">
        <v>270.41666666666669</v>
      </c>
      <c r="U118" s="274">
        <v>196.66666666666666</v>
      </c>
      <c r="V118" s="274">
        <v>221.25000000000003</v>
      </c>
      <c r="W118" s="274">
        <v>303.41666666666669</v>
      </c>
      <c r="X118" s="274">
        <v>220.66666666666666</v>
      </c>
      <c r="Y118" s="274">
        <v>248.25000000000003</v>
      </c>
      <c r="Z118" s="274">
        <v>339.16666666666669</v>
      </c>
      <c r="AA118" s="274">
        <v>246.66666666666666</v>
      </c>
      <c r="AB118" s="274">
        <v>277.50000000000006</v>
      </c>
      <c r="AC118" s="274">
        <v>376.29166666666669</v>
      </c>
      <c r="AD118" s="274">
        <v>273.66666666666669</v>
      </c>
      <c r="AE118" s="274">
        <v>307.87500000000006</v>
      </c>
      <c r="AF118" s="274">
        <v>415.25</v>
      </c>
      <c r="AG118" s="274">
        <v>302</v>
      </c>
      <c r="AH118" s="274">
        <v>339.75</v>
      </c>
      <c r="AI118" s="274">
        <v>455.58333333333337</v>
      </c>
      <c r="AJ118" s="274">
        <v>331.33333333333331</v>
      </c>
      <c r="AK118" s="274">
        <v>372.75000000000006</v>
      </c>
      <c r="AL118" s="274">
        <v>497.29166666666674</v>
      </c>
      <c r="AM118" s="274">
        <v>361.66666666666669</v>
      </c>
      <c r="AN118" s="274">
        <v>406.87500000000006</v>
      </c>
      <c r="AO118" s="274">
        <v>540.83333333333337</v>
      </c>
      <c r="AP118" s="274">
        <v>393.33333333333331</v>
      </c>
      <c r="AQ118" s="274">
        <v>442.50000000000006</v>
      </c>
      <c r="AR118" s="274">
        <v>585.29166666666674</v>
      </c>
      <c r="AS118" s="274">
        <v>425.66666666666669</v>
      </c>
      <c r="AT118" s="274">
        <v>478.87500000000006</v>
      </c>
      <c r="AU118" s="274">
        <v>631.58333333333337</v>
      </c>
      <c r="AV118" s="274">
        <v>459.33333333333331</v>
      </c>
      <c r="AW118" s="274">
        <v>516.75000000000011</v>
      </c>
      <c r="AX118" s="274">
        <v>678.33333333333337</v>
      </c>
      <c r="AY118" s="274">
        <v>493.33333333333331</v>
      </c>
      <c r="AZ118" s="274">
        <v>555.00000000000011</v>
      </c>
      <c r="BA118" s="274">
        <v>726.91666666666674</v>
      </c>
      <c r="BB118" s="274">
        <v>528.66666666666663</v>
      </c>
      <c r="BC118" s="274">
        <v>594.75000000000011</v>
      </c>
      <c r="BD118" s="274">
        <v>776.41666666666674</v>
      </c>
      <c r="BE118" s="274">
        <v>564.66666666666663</v>
      </c>
      <c r="BF118" s="274">
        <v>635.25000000000011</v>
      </c>
      <c r="BG118" s="274">
        <v>826.83333333333348</v>
      </c>
      <c r="BH118" s="274">
        <v>601.33333333333337</v>
      </c>
      <c r="BI118" s="274">
        <v>676.50000000000011</v>
      </c>
      <c r="BJ118" s="274">
        <v>879.08333333333348</v>
      </c>
      <c r="BK118" s="274">
        <v>639.33333333333337</v>
      </c>
      <c r="BL118" s="274">
        <v>719.25000000000011</v>
      </c>
      <c r="BM118" s="274">
        <v>931.33333333333348</v>
      </c>
      <c r="BN118" s="274">
        <v>677.33333333333337</v>
      </c>
      <c r="BO118" s="274">
        <v>762.00000000000011</v>
      </c>
      <c r="BP118" s="274">
        <v>985.41666666666674</v>
      </c>
      <c r="BQ118" s="274">
        <v>716.66666666666663</v>
      </c>
      <c r="BR118" s="274">
        <v>806.25000000000011</v>
      </c>
      <c r="BS118" s="274">
        <v>1039.9583333333335</v>
      </c>
      <c r="BT118" s="274">
        <v>756.33333333333337</v>
      </c>
      <c r="BU118" s="274">
        <v>850.87500000000011</v>
      </c>
      <c r="BV118" s="274">
        <v>1095.4166666666667</v>
      </c>
      <c r="BW118" s="274">
        <v>796.66666666666663</v>
      </c>
      <c r="BX118" s="274">
        <v>896.25000000000011</v>
      </c>
      <c r="BY118" s="274">
        <v>1152.25</v>
      </c>
      <c r="BZ118" s="274">
        <v>838</v>
      </c>
      <c r="CA118" s="274">
        <v>942.75000000000011</v>
      </c>
      <c r="CB118" s="274">
        <v>1210</v>
      </c>
      <c r="CC118" s="274">
        <v>880</v>
      </c>
      <c r="CD118" s="274">
        <v>990.00000000000011</v>
      </c>
      <c r="CE118" s="274">
        <v>1268.6666666666667</v>
      </c>
      <c r="CF118" s="274">
        <v>922.66666666666663</v>
      </c>
      <c r="CG118" s="274">
        <v>1038.0000000000002</v>
      </c>
      <c r="CH118" s="274">
        <v>1328.25</v>
      </c>
      <c r="CI118" s="274">
        <v>966</v>
      </c>
      <c r="CJ118" s="274">
        <v>1086.75</v>
      </c>
      <c r="CK118" s="274">
        <v>1388.2916666666667</v>
      </c>
      <c r="CL118" s="274">
        <v>1009.6666666666666</v>
      </c>
      <c r="CM118" s="274">
        <v>1135.8750000000002</v>
      </c>
    </row>
    <row r="119" spans="1:91" x14ac:dyDescent="0.25">
      <c r="A119" s="29" t="s">
        <v>92</v>
      </c>
      <c r="B119" s="30">
        <v>6</v>
      </c>
      <c r="C119" s="30">
        <v>15</v>
      </c>
      <c r="D119" s="30">
        <v>3</v>
      </c>
      <c r="E119" s="30">
        <v>7</v>
      </c>
      <c r="F119" s="30">
        <v>17</v>
      </c>
      <c r="G119" s="30">
        <v>3</v>
      </c>
      <c r="H119" s="30">
        <v>8</v>
      </c>
      <c r="I119" s="30">
        <v>19</v>
      </c>
      <c r="J119" s="30">
        <v>4</v>
      </c>
      <c r="K119" s="30">
        <v>9</v>
      </c>
      <c r="L119" s="30">
        <v>22</v>
      </c>
      <c r="M119" s="30">
        <v>4</v>
      </c>
      <c r="N119" s="30">
        <v>10</v>
      </c>
      <c r="O119" s="30">
        <v>26</v>
      </c>
      <c r="P119" s="30">
        <v>5</v>
      </c>
      <c r="Q119" s="30">
        <v>12</v>
      </c>
      <c r="R119" s="30">
        <v>30</v>
      </c>
      <c r="S119" s="30">
        <v>6</v>
      </c>
      <c r="T119" s="30">
        <v>14</v>
      </c>
      <c r="U119" s="30">
        <v>34</v>
      </c>
      <c r="V119" s="30">
        <v>7</v>
      </c>
      <c r="W119" s="30">
        <v>15</v>
      </c>
      <c r="X119" s="30">
        <v>39</v>
      </c>
      <c r="Y119" s="30">
        <v>8</v>
      </c>
      <c r="Z119" s="30">
        <v>17</v>
      </c>
      <c r="AA119" s="30">
        <v>44</v>
      </c>
      <c r="AB119" s="30">
        <v>9</v>
      </c>
      <c r="AC119" s="30">
        <v>19</v>
      </c>
      <c r="AD119" s="30">
        <v>49</v>
      </c>
      <c r="AE119" s="30">
        <v>10</v>
      </c>
      <c r="AF119" s="30">
        <v>22</v>
      </c>
      <c r="AG119" s="30">
        <v>54</v>
      </c>
      <c r="AH119" s="30">
        <v>11</v>
      </c>
      <c r="AI119" s="30">
        <v>24</v>
      </c>
      <c r="AJ119" s="30">
        <v>59</v>
      </c>
      <c r="AK119" s="30">
        <v>12</v>
      </c>
      <c r="AL119" s="30">
        <v>26</v>
      </c>
      <c r="AM119" s="30">
        <v>65</v>
      </c>
      <c r="AN119" s="30">
        <v>13</v>
      </c>
      <c r="AO119" s="30">
        <v>29</v>
      </c>
      <c r="AP119" s="30">
        <v>71</v>
      </c>
      <c r="AQ119" s="30">
        <v>14</v>
      </c>
      <c r="AR119" s="30">
        <v>31</v>
      </c>
      <c r="AS119" s="30">
        <v>77</v>
      </c>
      <c r="AT119" s="30">
        <v>15</v>
      </c>
      <c r="AU119" s="30">
        <v>33</v>
      </c>
      <c r="AV119" s="30">
        <v>84</v>
      </c>
      <c r="AW119" s="30">
        <v>17</v>
      </c>
      <c r="AX119" s="30">
        <v>36</v>
      </c>
      <c r="AY119" s="30">
        <v>90</v>
      </c>
      <c r="AZ119" s="30">
        <v>18</v>
      </c>
      <c r="BA119" s="30">
        <v>39</v>
      </c>
      <c r="BB119" s="30">
        <v>97</v>
      </c>
      <c r="BC119" s="30">
        <v>19</v>
      </c>
      <c r="BD119" s="30">
        <v>41</v>
      </c>
      <c r="BE119" s="30">
        <v>104</v>
      </c>
      <c r="BF119" s="30">
        <v>21</v>
      </c>
      <c r="BG119" s="30">
        <v>44</v>
      </c>
      <c r="BH119" s="30">
        <v>111</v>
      </c>
      <c r="BI119" s="30">
        <v>22</v>
      </c>
      <c r="BJ119" s="30">
        <v>47</v>
      </c>
      <c r="BK119" s="30">
        <v>118</v>
      </c>
      <c r="BL119" s="30">
        <v>24</v>
      </c>
      <c r="BM119" s="30">
        <v>50</v>
      </c>
      <c r="BN119" s="30">
        <v>125</v>
      </c>
      <c r="BO119" s="30">
        <v>25</v>
      </c>
      <c r="BP119" s="30">
        <v>53</v>
      </c>
      <c r="BQ119" s="30">
        <v>132</v>
      </c>
      <c r="BR119" s="30">
        <v>26</v>
      </c>
      <c r="BS119" s="30">
        <v>56</v>
      </c>
      <c r="BT119" s="30">
        <v>140</v>
      </c>
      <c r="BU119" s="30">
        <v>28</v>
      </c>
      <c r="BV119" s="30">
        <v>59</v>
      </c>
      <c r="BW119" s="30">
        <v>148</v>
      </c>
      <c r="BX119" s="30">
        <v>30</v>
      </c>
      <c r="BY119" s="30">
        <v>62</v>
      </c>
      <c r="BZ119" s="30">
        <v>155</v>
      </c>
      <c r="CA119" s="30">
        <v>31</v>
      </c>
      <c r="CB119" s="30">
        <v>65</v>
      </c>
      <c r="CC119" s="30">
        <v>163</v>
      </c>
      <c r="CD119" s="30">
        <v>33</v>
      </c>
      <c r="CE119" s="30">
        <v>69</v>
      </c>
      <c r="CF119" s="30">
        <v>171</v>
      </c>
      <c r="CG119" s="30">
        <v>34</v>
      </c>
      <c r="CH119" s="30">
        <v>72</v>
      </c>
      <c r="CI119" s="30">
        <v>179</v>
      </c>
      <c r="CJ119" s="30">
        <v>36</v>
      </c>
      <c r="CK119" s="30">
        <v>75</v>
      </c>
      <c r="CL119" s="30">
        <v>188</v>
      </c>
      <c r="CM119" s="30">
        <v>38</v>
      </c>
    </row>
    <row r="120" spans="1:91" x14ac:dyDescent="0.25">
      <c r="A120" s="29" t="s">
        <v>1643</v>
      </c>
      <c r="B120" s="30">
        <v>70</v>
      </c>
      <c r="C120" s="30">
        <v>60</v>
      </c>
      <c r="D120" s="30">
        <v>60</v>
      </c>
      <c r="E120" s="30">
        <v>77</v>
      </c>
      <c r="F120" s="30">
        <v>66</v>
      </c>
      <c r="G120" s="30">
        <v>66</v>
      </c>
      <c r="H120" s="30">
        <v>90</v>
      </c>
      <c r="I120" s="30">
        <v>77</v>
      </c>
      <c r="J120" s="30">
        <v>77</v>
      </c>
      <c r="K120" s="30">
        <v>106</v>
      </c>
      <c r="L120" s="30">
        <v>91</v>
      </c>
      <c r="M120" s="30">
        <v>91</v>
      </c>
      <c r="N120" s="30">
        <v>125</v>
      </c>
      <c r="O120" s="30">
        <v>107</v>
      </c>
      <c r="P120" s="30">
        <v>107</v>
      </c>
      <c r="Q120" s="30">
        <v>146</v>
      </c>
      <c r="R120" s="30">
        <v>125</v>
      </c>
      <c r="S120" s="30">
        <v>125</v>
      </c>
      <c r="T120" s="30">
        <v>169</v>
      </c>
      <c r="U120" s="30">
        <v>145</v>
      </c>
      <c r="V120" s="30">
        <v>145</v>
      </c>
      <c r="W120" s="30">
        <v>193</v>
      </c>
      <c r="X120" s="30">
        <v>166</v>
      </c>
      <c r="Y120" s="30">
        <v>166</v>
      </c>
      <c r="Z120" s="30">
        <v>219</v>
      </c>
      <c r="AA120" s="30">
        <v>188</v>
      </c>
      <c r="AB120" s="30">
        <v>188</v>
      </c>
      <c r="AC120" s="30">
        <v>247</v>
      </c>
      <c r="AD120" s="30">
        <v>212</v>
      </c>
      <c r="AE120" s="30">
        <v>212</v>
      </c>
      <c r="AF120" s="30">
        <v>276</v>
      </c>
      <c r="AG120" s="30">
        <v>237</v>
      </c>
      <c r="AH120" s="30">
        <v>237</v>
      </c>
      <c r="AI120" s="30">
        <v>306</v>
      </c>
      <c r="AJ120" s="30">
        <v>262</v>
      </c>
      <c r="AK120" s="30">
        <v>262</v>
      </c>
      <c r="AL120" s="30">
        <v>338</v>
      </c>
      <c r="AM120" s="30">
        <v>289</v>
      </c>
      <c r="AN120" s="30">
        <v>289</v>
      </c>
      <c r="AO120" s="30">
        <v>370</v>
      </c>
      <c r="AP120" s="30">
        <v>318</v>
      </c>
      <c r="AQ120" s="30">
        <v>318</v>
      </c>
      <c r="AR120" s="30">
        <v>404</v>
      </c>
      <c r="AS120" s="30">
        <v>346</v>
      </c>
      <c r="AT120" s="30">
        <v>346</v>
      </c>
      <c r="AU120" s="30">
        <v>439</v>
      </c>
      <c r="AV120" s="30">
        <v>376</v>
      </c>
      <c r="AW120" s="30">
        <v>376</v>
      </c>
      <c r="AX120" s="30">
        <v>475</v>
      </c>
      <c r="AY120" s="30">
        <v>407</v>
      </c>
      <c r="AZ120" s="30">
        <v>407</v>
      </c>
      <c r="BA120" s="30">
        <v>512</v>
      </c>
      <c r="BB120" s="30">
        <v>439</v>
      </c>
      <c r="BC120" s="30">
        <v>439</v>
      </c>
      <c r="BD120" s="30">
        <v>550</v>
      </c>
      <c r="BE120" s="30">
        <v>471</v>
      </c>
      <c r="BF120" s="30">
        <v>471</v>
      </c>
      <c r="BG120" s="30">
        <v>589</v>
      </c>
      <c r="BH120" s="30">
        <v>505</v>
      </c>
      <c r="BI120" s="30">
        <v>505</v>
      </c>
      <c r="BJ120" s="30">
        <v>629</v>
      </c>
      <c r="BK120" s="30">
        <v>539</v>
      </c>
      <c r="BL120" s="30">
        <v>539</v>
      </c>
      <c r="BM120" s="30">
        <v>669</v>
      </c>
      <c r="BN120" s="30">
        <v>574</v>
      </c>
      <c r="BO120" s="30">
        <v>574</v>
      </c>
      <c r="BP120" s="30">
        <v>711</v>
      </c>
      <c r="BQ120" s="30">
        <v>609</v>
      </c>
      <c r="BR120" s="30">
        <v>609</v>
      </c>
      <c r="BS120" s="30">
        <v>753</v>
      </c>
      <c r="BT120" s="30">
        <v>645</v>
      </c>
      <c r="BU120" s="30">
        <v>645</v>
      </c>
      <c r="BV120" s="30">
        <v>796</v>
      </c>
      <c r="BW120" s="30">
        <v>683</v>
      </c>
      <c r="BX120" s="30">
        <v>683</v>
      </c>
      <c r="BY120" s="30">
        <v>840</v>
      </c>
      <c r="BZ120" s="30">
        <v>720</v>
      </c>
      <c r="CA120" s="30">
        <v>720</v>
      </c>
      <c r="CB120" s="30">
        <v>885</v>
      </c>
      <c r="CC120" s="30">
        <v>759</v>
      </c>
      <c r="CD120" s="30">
        <v>759</v>
      </c>
      <c r="CE120" s="30">
        <v>931</v>
      </c>
      <c r="CF120" s="30">
        <v>798</v>
      </c>
      <c r="CG120" s="30">
        <v>798</v>
      </c>
      <c r="CH120" s="30">
        <v>977</v>
      </c>
      <c r="CI120" s="30">
        <v>837</v>
      </c>
      <c r="CJ120" s="30">
        <v>837</v>
      </c>
      <c r="CK120" s="30">
        <v>1024</v>
      </c>
      <c r="CL120" s="30">
        <v>878</v>
      </c>
      <c r="CM120" s="30">
        <v>878</v>
      </c>
    </row>
    <row r="121" spans="1:91" x14ac:dyDescent="0.25">
      <c r="A121" s="29" t="s">
        <v>74</v>
      </c>
      <c r="B121" s="30">
        <v>18</v>
      </c>
      <c r="C121" s="30">
        <v>18</v>
      </c>
      <c r="D121" s="30">
        <v>25</v>
      </c>
      <c r="E121" s="30">
        <v>19</v>
      </c>
      <c r="F121" s="30">
        <v>19</v>
      </c>
      <c r="G121" s="30">
        <v>27</v>
      </c>
      <c r="H121" s="30">
        <v>22</v>
      </c>
      <c r="I121" s="30">
        <v>22</v>
      </c>
      <c r="J121" s="30">
        <v>31</v>
      </c>
      <c r="K121" s="30">
        <v>25</v>
      </c>
      <c r="L121" s="30">
        <v>25</v>
      </c>
      <c r="M121" s="30">
        <v>36</v>
      </c>
      <c r="N121" s="30">
        <v>29</v>
      </c>
      <c r="O121" s="30">
        <v>29</v>
      </c>
      <c r="P121" s="30">
        <v>41</v>
      </c>
      <c r="Q121" s="30">
        <v>33</v>
      </c>
      <c r="R121" s="30">
        <v>33</v>
      </c>
      <c r="S121" s="30">
        <v>48</v>
      </c>
      <c r="T121" s="30">
        <v>38</v>
      </c>
      <c r="U121" s="30">
        <v>38</v>
      </c>
      <c r="V121" s="30">
        <v>54</v>
      </c>
      <c r="W121" s="30">
        <v>43</v>
      </c>
      <c r="X121" s="30">
        <v>43</v>
      </c>
      <c r="Y121" s="30">
        <v>61</v>
      </c>
      <c r="Z121" s="30">
        <v>48</v>
      </c>
      <c r="AA121" s="30">
        <v>48</v>
      </c>
      <c r="AB121" s="30">
        <v>69</v>
      </c>
      <c r="AC121" s="30">
        <v>54</v>
      </c>
      <c r="AD121" s="30">
        <v>54</v>
      </c>
      <c r="AE121" s="30">
        <v>77</v>
      </c>
      <c r="AF121" s="30">
        <v>60</v>
      </c>
      <c r="AG121" s="30">
        <v>60</v>
      </c>
      <c r="AH121" s="30">
        <v>85</v>
      </c>
      <c r="AI121" s="30">
        <v>66</v>
      </c>
      <c r="AJ121" s="30">
        <v>66</v>
      </c>
      <c r="AK121" s="30">
        <v>94</v>
      </c>
      <c r="AL121" s="30">
        <v>72</v>
      </c>
      <c r="AM121" s="30">
        <v>72</v>
      </c>
      <c r="AN121" s="30">
        <v>103</v>
      </c>
      <c r="AO121" s="30">
        <v>79</v>
      </c>
      <c r="AP121" s="30">
        <v>79</v>
      </c>
      <c r="AQ121" s="30">
        <v>112</v>
      </c>
      <c r="AR121" s="30">
        <v>85</v>
      </c>
      <c r="AS121" s="30">
        <v>85</v>
      </c>
      <c r="AT121" s="30">
        <v>122</v>
      </c>
      <c r="AU121" s="30">
        <v>92</v>
      </c>
      <c r="AV121" s="30">
        <v>92</v>
      </c>
      <c r="AW121" s="30">
        <v>132</v>
      </c>
      <c r="AX121" s="30">
        <v>100</v>
      </c>
      <c r="AY121" s="30">
        <v>100</v>
      </c>
      <c r="AZ121" s="30">
        <v>142</v>
      </c>
      <c r="BA121" s="30">
        <v>107</v>
      </c>
      <c r="BB121" s="30">
        <v>107</v>
      </c>
      <c r="BC121" s="30">
        <v>153</v>
      </c>
      <c r="BD121" s="30">
        <v>115</v>
      </c>
      <c r="BE121" s="30">
        <v>115</v>
      </c>
      <c r="BF121" s="30">
        <v>164</v>
      </c>
      <c r="BG121" s="30">
        <v>122</v>
      </c>
      <c r="BH121" s="30">
        <v>122</v>
      </c>
      <c r="BI121" s="30">
        <v>175</v>
      </c>
      <c r="BJ121" s="30">
        <v>130</v>
      </c>
      <c r="BK121" s="30">
        <v>130</v>
      </c>
      <c r="BL121" s="30">
        <v>186</v>
      </c>
      <c r="BM121" s="30">
        <v>138</v>
      </c>
      <c r="BN121" s="30">
        <v>138</v>
      </c>
      <c r="BO121" s="30">
        <v>198</v>
      </c>
      <c r="BP121" s="30">
        <v>147</v>
      </c>
      <c r="BQ121" s="30">
        <v>147</v>
      </c>
      <c r="BR121" s="30">
        <v>209</v>
      </c>
      <c r="BS121" s="30">
        <v>155</v>
      </c>
      <c r="BT121" s="30">
        <v>155</v>
      </c>
      <c r="BU121" s="30">
        <v>221</v>
      </c>
      <c r="BV121" s="30">
        <v>164</v>
      </c>
      <c r="BW121" s="30">
        <v>164</v>
      </c>
      <c r="BX121" s="30">
        <v>234</v>
      </c>
      <c r="BY121" s="30">
        <v>172</v>
      </c>
      <c r="BZ121" s="30">
        <v>172</v>
      </c>
      <c r="CA121" s="30">
        <v>246</v>
      </c>
      <c r="CB121" s="30">
        <v>181</v>
      </c>
      <c r="CC121" s="30">
        <v>181</v>
      </c>
      <c r="CD121" s="30">
        <v>259</v>
      </c>
      <c r="CE121" s="30">
        <v>190</v>
      </c>
      <c r="CF121" s="30">
        <v>190</v>
      </c>
      <c r="CG121" s="30">
        <v>272</v>
      </c>
      <c r="CH121" s="30">
        <v>199</v>
      </c>
      <c r="CI121" s="30">
        <v>199</v>
      </c>
      <c r="CJ121" s="30">
        <v>285</v>
      </c>
      <c r="CK121" s="30">
        <v>209</v>
      </c>
      <c r="CL121" s="30">
        <v>209</v>
      </c>
      <c r="CM121" s="30">
        <v>298</v>
      </c>
    </row>
    <row r="122" spans="1:91" x14ac:dyDescent="0.25">
      <c r="A122" s="29" t="s">
        <v>8</v>
      </c>
      <c r="B122" s="30">
        <v>13</v>
      </c>
      <c r="C122" s="30">
        <v>6</v>
      </c>
      <c r="D122" s="30">
        <v>5</v>
      </c>
      <c r="E122" s="30">
        <v>14</v>
      </c>
      <c r="F122" s="30">
        <v>7</v>
      </c>
      <c r="G122" s="30">
        <v>6</v>
      </c>
      <c r="H122" s="30">
        <v>17</v>
      </c>
      <c r="I122" s="30">
        <v>8</v>
      </c>
      <c r="J122" s="30">
        <v>6</v>
      </c>
      <c r="K122" s="30">
        <v>19</v>
      </c>
      <c r="L122" s="30">
        <v>9</v>
      </c>
      <c r="M122" s="30">
        <v>7</v>
      </c>
      <c r="N122" s="30">
        <v>22</v>
      </c>
      <c r="O122" s="30">
        <v>10</v>
      </c>
      <c r="P122" s="30">
        <v>9</v>
      </c>
      <c r="Q122" s="30">
        <v>26</v>
      </c>
      <c r="R122" s="30">
        <v>12</v>
      </c>
      <c r="S122" s="30">
        <v>10</v>
      </c>
      <c r="T122" s="30">
        <v>30</v>
      </c>
      <c r="U122" s="30">
        <v>14</v>
      </c>
      <c r="V122" s="30">
        <v>11</v>
      </c>
      <c r="W122" s="30">
        <v>33</v>
      </c>
      <c r="X122" s="30">
        <v>15</v>
      </c>
      <c r="Y122" s="30">
        <v>13</v>
      </c>
      <c r="Z122" s="30">
        <v>38</v>
      </c>
      <c r="AA122" s="30">
        <v>17</v>
      </c>
      <c r="AB122" s="30">
        <v>15</v>
      </c>
      <c r="AC122" s="30">
        <v>42</v>
      </c>
      <c r="AD122" s="30">
        <v>19</v>
      </c>
      <c r="AE122" s="30">
        <v>16</v>
      </c>
      <c r="AF122" s="30">
        <v>47</v>
      </c>
      <c r="AG122" s="30">
        <v>22</v>
      </c>
      <c r="AH122" s="30">
        <v>18</v>
      </c>
      <c r="AI122" s="30">
        <v>51</v>
      </c>
      <c r="AJ122" s="30">
        <v>24</v>
      </c>
      <c r="AK122" s="30">
        <v>20</v>
      </c>
      <c r="AL122" s="30">
        <v>57</v>
      </c>
      <c r="AM122" s="30">
        <v>26</v>
      </c>
      <c r="AN122" s="30">
        <v>22</v>
      </c>
      <c r="AO122" s="30">
        <v>62</v>
      </c>
      <c r="AP122" s="30">
        <v>29</v>
      </c>
      <c r="AQ122" s="30">
        <v>24</v>
      </c>
      <c r="AR122" s="30">
        <v>67</v>
      </c>
      <c r="AS122" s="30">
        <v>31</v>
      </c>
      <c r="AT122" s="30">
        <v>26</v>
      </c>
      <c r="AU122" s="30">
        <v>73</v>
      </c>
      <c r="AV122" s="30">
        <v>33</v>
      </c>
      <c r="AW122" s="30">
        <v>28</v>
      </c>
      <c r="AX122" s="30">
        <v>78</v>
      </c>
      <c r="AY122" s="30">
        <v>36</v>
      </c>
      <c r="AZ122" s="30">
        <v>30</v>
      </c>
      <c r="BA122" s="30">
        <v>84</v>
      </c>
      <c r="BB122" s="30">
        <v>39</v>
      </c>
      <c r="BC122" s="30">
        <v>32</v>
      </c>
      <c r="BD122" s="30">
        <v>90</v>
      </c>
      <c r="BE122" s="30">
        <v>41</v>
      </c>
      <c r="BF122" s="30">
        <v>35</v>
      </c>
      <c r="BG122" s="30">
        <v>96</v>
      </c>
      <c r="BH122" s="30">
        <v>44</v>
      </c>
      <c r="BI122" s="30">
        <v>37</v>
      </c>
      <c r="BJ122" s="30">
        <v>102</v>
      </c>
      <c r="BK122" s="30">
        <v>47</v>
      </c>
      <c r="BL122" s="30">
        <v>39</v>
      </c>
      <c r="BM122" s="30">
        <v>108</v>
      </c>
      <c r="BN122" s="30">
        <v>50</v>
      </c>
      <c r="BO122" s="30">
        <v>42</v>
      </c>
      <c r="BP122" s="30">
        <v>115</v>
      </c>
      <c r="BQ122" s="30">
        <v>53</v>
      </c>
      <c r="BR122" s="30">
        <v>44</v>
      </c>
      <c r="BS122" s="30">
        <v>121</v>
      </c>
      <c r="BT122" s="30">
        <v>56</v>
      </c>
      <c r="BU122" s="30">
        <v>47</v>
      </c>
      <c r="BV122" s="30">
        <v>128</v>
      </c>
      <c r="BW122" s="30">
        <v>59</v>
      </c>
      <c r="BX122" s="30">
        <v>49</v>
      </c>
      <c r="BY122" s="30">
        <v>135</v>
      </c>
      <c r="BZ122" s="30">
        <v>62</v>
      </c>
      <c r="CA122" s="30">
        <v>52</v>
      </c>
      <c r="CB122" s="30">
        <v>141</v>
      </c>
      <c r="CC122" s="30">
        <v>65</v>
      </c>
      <c r="CD122" s="30">
        <v>54</v>
      </c>
      <c r="CE122" s="30">
        <v>148</v>
      </c>
      <c r="CF122" s="30">
        <v>69</v>
      </c>
      <c r="CG122" s="30">
        <v>57</v>
      </c>
      <c r="CH122" s="30">
        <v>155</v>
      </c>
      <c r="CI122" s="30">
        <v>72</v>
      </c>
      <c r="CJ122" s="30">
        <v>60</v>
      </c>
      <c r="CK122" s="30">
        <v>163</v>
      </c>
      <c r="CL122" s="30">
        <v>75</v>
      </c>
      <c r="CM122" s="30">
        <v>63</v>
      </c>
    </row>
    <row r="123" spans="1:91" x14ac:dyDescent="0.25">
      <c r="A123" s="29" t="s">
        <v>1642</v>
      </c>
      <c r="B123" s="30">
        <v>132</v>
      </c>
      <c r="C123" s="30">
        <v>132</v>
      </c>
      <c r="D123" s="30">
        <v>192</v>
      </c>
      <c r="E123" s="30">
        <v>143</v>
      </c>
      <c r="F123" s="30">
        <v>143</v>
      </c>
      <c r="G123" s="30">
        <v>208</v>
      </c>
      <c r="H123" s="30">
        <v>162</v>
      </c>
      <c r="I123" s="30">
        <v>162</v>
      </c>
      <c r="J123" s="30">
        <v>235</v>
      </c>
      <c r="K123" s="30">
        <v>184</v>
      </c>
      <c r="L123" s="30">
        <v>184</v>
      </c>
      <c r="M123" s="30">
        <v>268</v>
      </c>
      <c r="N123" s="30">
        <v>210</v>
      </c>
      <c r="O123" s="30">
        <v>210</v>
      </c>
      <c r="P123" s="30">
        <v>306</v>
      </c>
      <c r="Q123" s="30">
        <v>239</v>
      </c>
      <c r="R123" s="30">
        <v>239</v>
      </c>
      <c r="S123" s="30">
        <v>348</v>
      </c>
      <c r="T123" s="30">
        <v>270</v>
      </c>
      <c r="U123" s="30">
        <v>270</v>
      </c>
      <c r="V123" s="30">
        <v>393</v>
      </c>
      <c r="W123" s="30">
        <v>304</v>
      </c>
      <c r="X123" s="30">
        <v>304</v>
      </c>
      <c r="Y123" s="30">
        <v>442</v>
      </c>
      <c r="Z123" s="30">
        <v>339</v>
      </c>
      <c r="AA123" s="30">
        <v>339</v>
      </c>
      <c r="AB123" s="30">
        <v>493</v>
      </c>
      <c r="AC123" s="30">
        <v>376</v>
      </c>
      <c r="AD123" s="30">
        <v>376</v>
      </c>
      <c r="AE123" s="30">
        <v>547</v>
      </c>
      <c r="AF123" s="30">
        <v>415</v>
      </c>
      <c r="AG123" s="30">
        <v>415</v>
      </c>
      <c r="AH123" s="30">
        <v>604</v>
      </c>
      <c r="AI123" s="30">
        <v>455</v>
      </c>
      <c r="AJ123" s="30">
        <v>455</v>
      </c>
      <c r="AK123" s="30">
        <v>662</v>
      </c>
      <c r="AL123" s="30">
        <v>497</v>
      </c>
      <c r="AM123" s="30">
        <v>497</v>
      </c>
      <c r="AN123" s="30">
        <v>723</v>
      </c>
      <c r="AO123" s="30">
        <v>541</v>
      </c>
      <c r="AP123" s="30">
        <v>541</v>
      </c>
      <c r="AQ123" s="30">
        <v>786</v>
      </c>
      <c r="AR123" s="30">
        <v>585</v>
      </c>
      <c r="AS123" s="30">
        <v>585</v>
      </c>
      <c r="AT123" s="30">
        <v>851</v>
      </c>
      <c r="AU123" s="30">
        <v>631</v>
      </c>
      <c r="AV123" s="30">
        <v>631</v>
      </c>
      <c r="AW123" s="30">
        <v>918</v>
      </c>
      <c r="AX123" s="30">
        <v>678</v>
      </c>
      <c r="AY123" s="30">
        <v>678</v>
      </c>
      <c r="AZ123" s="30">
        <v>987</v>
      </c>
      <c r="BA123" s="30">
        <v>727</v>
      </c>
      <c r="BB123" s="30">
        <v>727</v>
      </c>
      <c r="BC123" s="30">
        <v>1057</v>
      </c>
      <c r="BD123" s="30">
        <v>776</v>
      </c>
      <c r="BE123" s="30">
        <v>776</v>
      </c>
      <c r="BF123" s="30">
        <v>1129</v>
      </c>
      <c r="BG123" s="30">
        <v>827</v>
      </c>
      <c r="BH123" s="30">
        <v>827</v>
      </c>
      <c r="BI123" s="30">
        <v>1203</v>
      </c>
      <c r="BJ123" s="30">
        <v>879</v>
      </c>
      <c r="BK123" s="30">
        <v>879</v>
      </c>
      <c r="BL123" s="30">
        <v>1278</v>
      </c>
      <c r="BM123" s="30">
        <v>931</v>
      </c>
      <c r="BN123" s="30">
        <v>931</v>
      </c>
      <c r="BO123" s="30">
        <v>1355</v>
      </c>
      <c r="BP123" s="30">
        <v>985</v>
      </c>
      <c r="BQ123" s="30">
        <v>985</v>
      </c>
      <c r="BR123" s="30">
        <v>1433</v>
      </c>
      <c r="BS123" s="30">
        <v>1040</v>
      </c>
      <c r="BT123" s="30">
        <v>1040</v>
      </c>
      <c r="BU123" s="30">
        <v>1513</v>
      </c>
      <c r="BV123" s="30">
        <v>1096</v>
      </c>
      <c r="BW123" s="30">
        <v>1096</v>
      </c>
      <c r="BX123" s="30">
        <v>1594</v>
      </c>
      <c r="BY123" s="30">
        <v>1152</v>
      </c>
      <c r="BZ123" s="30">
        <v>1152</v>
      </c>
      <c r="CA123" s="30">
        <v>1676</v>
      </c>
      <c r="CB123" s="30">
        <v>1210</v>
      </c>
      <c r="CC123" s="30">
        <v>1210</v>
      </c>
      <c r="CD123" s="30">
        <v>1760</v>
      </c>
      <c r="CE123" s="30">
        <v>1269</v>
      </c>
      <c r="CF123" s="30">
        <v>1269</v>
      </c>
      <c r="CG123" s="30">
        <v>1845</v>
      </c>
      <c r="CH123" s="30">
        <v>1328</v>
      </c>
      <c r="CI123" s="30">
        <v>1328</v>
      </c>
      <c r="CJ123" s="30">
        <v>1932</v>
      </c>
      <c r="CK123" s="30">
        <v>1388</v>
      </c>
      <c r="CL123" s="30">
        <v>1388</v>
      </c>
      <c r="CM123" s="30">
        <v>2019</v>
      </c>
    </row>
    <row r="124" spans="1:91" x14ac:dyDescent="0.25">
      <c r="A124" s="29" t="s">
        <v>23</v>
      </c>
      <c r="B124" s="30">
        <v>10</v>
      </c>
      <c r="C124" s="30">
        <v>85</v>
      </c>
      <c r="D124" s="30">
        <v>25</v>
      </c>
      <c r="E124" s="30">
        <v>11</v>
      </c>
      <c r="F124" s="30">
        <v>94</v>
      </c>
      <c r="G124" s="30">
        <v>28</v>
      </c>
      <c r="H124" s="30">
        <v>13</v>
      </c>
      <c r="I124" s="30">
        <v>110</v>
      </c>
      <c r="J124" s="30">
        <v>32</v>
      </c>
      <c r="K124" s="30">
        <v>15</v>
      </c>
      <c r="L124" s="30">
        <v>129</v>
      </c>
      <c r="M124" s="30">
        <v>38</v>
      </c>
      <c r="N124" s="30">
        <v>18</v>
      </c>
      <c r="O124" s="30">
        <v>152</v>
      </c>
      <c r="P124" s="30">
        <v>45</v>
      </c>
      <c r="Q124" s="30">
        <v>21</v>
      </c>
      <c r="R124" s="30">
        <v>177</v>
      </c>
      <c r="S124" s="30">
        <v>52</v>
      </c>
      <c r="T124" s="30">
        <v>24</v>
      </c>
      <c r="U124" s="30">
        <v>205</v>
      </c>
      <c r="V124" s="30">
        <v>60</v>
      </c>
      <c r="W124" s="30">
        <v>28</v>
      </c>
      <c r="X124" s="30">
        <v>235</v>
      </c>
      <c r="Y124" s="30">
        <v>69</v>
      </c>
      <c r="Z124" s="30">
        <v>31</v>
      </c>
      <c r="AA124" s="30">
        <v>266</v>
      </c>
      <c r="AB124" s="30">
        <v>78</v>
      </c>
      <c r="AC124" s="30">
        <v>35</v>
      </c>
      <c r="AD124" s="30">
        <v>300</v>
      </c>
      <c r="AE124" s="30">
        <v>88</v>
      </c>
      <c r="AF124" s="30">
        <v>39</v>
      </c>
      <c r="AG124" s="30">
        <v>335</v>
      </c>
      <c r="AH124" s="30">
        <v>99</v>
      </c>
      <c r="AI124" s="30">
        <v>44</v>
      </c>
      <c r="AJ124" s="30">
        <v>372</v>
      </c>
      <c r="AK124" s="30">
        <v>109</v>
      </c>
      <c r="AL124" s="30">
        <v>48</v>
      </c>
      <c r="AM124" s="30">
        <v>410</v>
      </c>
      <c r="AN124" s="30">
        <v>121</v>
      </c>
      <c r="AO124" s="30">
        <v>53</v>
      </c>
      <c r="AP124" s="30">
        <v>450</v>
      </c>
      <c r="AQ124" s="30">
        <v>132</v>
      </c>
      <c r="AR124" s="30">
        <v>58</v>
      </c>
      <c r="AS124" s="30">
        <v>491</v>
      </c>
      <c r="AT124" s="30">
        <v>144</v>
      </c>
      <c r="AU124" s="30">
        <v>63</v>
      </c>
      <c r="AV124" s="30">
        <v>533</v>
      </c>
      <c r="AW124" s="30">
        <v>157</v>
      </c>
      <c r="AX124" s="30">
        <v>68</v>
      </c>
      <c r="AY124" s="30">
        <v>577</v>
      </c>
      <c r="AZ124" s="30">
        <v>170</v>
      </c>
      <c r="BA124" s="30">
        <v>73</v>
      </c>
      <c r="BB124" s="30">
        <v>622</v>
      </c>
      <c r="BC124" s="30">
        <v>183</v>
      </c>
      <c r="BD124" s="30">
        <v>79</v>
      </c>
      <c r="BE124" s="30">
        <v>668</v>
      </c>
      <c r="BF124" s="30">
        <v>196</v>
      </c>
      <c r="BG124" s="30">
        <v>84</v>
      </c>
      <c r="BH124" s="30">
        <v>715</v>
      </c>
      <c r="BI124" s="30">
        <v>210</v>
      </c>
      <c r="BJ124" s="30">
        <v>90</v>
      </c>
      <c r="BK124" s="30">
        <v>763</v>
      </c>
      <c r="BL124" s="30">
        <v>225</v>
      </c>
      <c r="BM124" s="30">
        <v>96</v>
      </c>
      <c r="BN124" s="30">
        <v>813</v>
      </c>
      <c r="BO124" s="30">
        <v>239</v>
      </c>
      <c r="BP124" s="30">
        <v>102</v>
      </c>
      <c r="BQ124" s="30">
        <v>863</v>
      </c>
      <c r="BR124" s="30">
        <v>254</v>
      </c>
      <c r="BS124" s="30">
        <v>108</v>
      </c>
      <c r="BT124" s="30">
        <v>914</v>
      </c>
      <c r="BU124" s="30">
        <v>269</v>
      </c>
      <c r="BV124" s="30">
        <v>114</v>
      </c>
      <c r="BW124" s="30">
        <v>967</v>
      </c>
      <c r="BX124" s="30">
        <v>284</v>
      </c>
      <c r="BY124" s="30">
        <v>120</v>
      </c>
      <c r="BZ124" s="30">
        <v>1020</v>
      </c>
      <c r="CA124" s="30">
        <v>300</v>
      </c>
      <c r="CB124" s="30">
        <v>126</v>
      </c>
      <c r="CC124" s="30">
        <v>1075</v>
      </c>
      <c r="CD124" s="30">
        <v>316</v>
      </c>
      <c r="CE124" s="30">
        <v>133</v>
      </c>
      <c r="CF124" s="30">
        <v>1130</v>
      </c>
      <c r="CG124" s="30">
        <v>332</v>
      </c>
      <c r="CH124" s="30">
        <v>140</v>
      </c>
      <c r="CI124" s="30">
        <v>1186</v>
      </c>
      <c r="CJ124" s="30">
        <v>349</v>
      </c>
      <c r="CK124" s="30">
        <v>146</v>
      </c>
      <c r="CL124" s="30">
        <v>1243</v>
      </c>
      <c r="CM124" s="30">
        <v>366</v>
      </c>
    </row>
    <row r="125" spans="1:91" x14ac:dyDescent="0.25">
      <c r="A125" s="29" t="s">
        <v>24</v>
      </c>
      <c r="B125" s="30">
        <v>10</v>
      </c>
      <c r="C125" s="30">
        <v>40</v>
      </c>
      <c r="D125" s="30">
        <v>70</v>
      </c>
      <c r="E125" s="30">
        <v>11</v>
      </c>
      <c r="F125" s="30">
        <v>44</v>
      </c>
      <c r="G125" s="30">
        <v>77</v>
      </c>
      <c r="H125" s="30">
        <v>13</v>
      </c>
      <c r="I125" s="30">
        <v>52</v>
      </c>
      <c r="J125" s="30">
        <v>90</v>
      </c>
      <c r="K125" s="30">
        <v>15</v>
      </c>
      <c r="L125" s="30">
        <v>61</v>
      </c>
      <c r="M125" s="30">
        <v>106</v>
      </c>
      <c r="N125" s="30">
        <v>18</v>
      </c>
      <c r="O125" s="30">
        <v>71</v>
      </c>
      <c r="P125" s="30">
        <v>125</v>
      </c>
      <c r="Q125" s="30">
        <v>21</v>
      </c>
      <c r="R125" s="30">
        <v>83</v>
      </c>
      <c r="S125" s="30">
        <v>146</v>
      </c>
      <c r="T125" s="30">
        <v>24</v>
      </c>
      <c r="U125" s="30">
        <v>96</v>
      </c>
      <c r="V125" s="30">
        <v>169</v>
      </c>
      <c r="W125" s="30">
        <v>28</v>
      </c>
      <c r="X125" s="30">
        <v>110</v>
      </c>
      <c r="Y125" s="30">
        <v>193</v>
      </c>
      <c r="Z125" s="30">
        <v>31</v>
      </c>
      <c r="AA125" s="30">
        <v>125</v>
      </c>
      <c r="AB125" s="30">
        <v>219</v>
      </c>
      <c r="AC125" s="30">
        <v>35</v>
      </c>
      <c r="AD125" s="30">
        <v>141</v>
      </c>
      <c r="AE125" s="30">
        <v>247</v>
      </c>
      <c r="AF125" s="30">
        <v>39</v>
      </c>
      <c r="AG125" s="30">
        <v>158</v>
      </c>
      <c r="AH125" s="30">
        <v>276</v>
      </c>
      <c r="AI125" s="30">
        <v>44</v>
      </c>
      <c r="AJ125" s="30">
        <v>175</v>
      </c>
      <c r="AK125" s="30">
        <v>306</v>
      </c>
      <c r="AL125" s="30">
        <v>48</v>
      </c>
      <c r="AM125" s="30">
        <v>193</v>
      </c>
      <c r="AN125" s="30">
        <v>338</v>
      </c>
      <c r="AO125" s="30">
        <v>53</v>
      </c>
      <c r="AP125" s="30">
        <v>212</v>
      </c>
      <c r="AQ125" s="30">
        <v>370</v>
      </c>
      <c r="AR125" s="30">
        <v>58</v>
      </c>
      <c r="AS125" s="30">
        <v>231</v>
      </c>
      <c r="AT125" s="30">
        <v>404</v>
      </c>
      <c r="AU125" s="30">
        <v>63</v>
      </c>
      <c r="AV125" s="30">
        <v>251</v>
      </c>
      <c r="AW125" s="30">
        <v>439</v>
      </c>
      <c r="AX125" s="30">
        <v>68</v>
      </c>
      <c r="AY125" s="30">
        <v>271</v>
      </c>
      <c r="AZ125" s="30">
        <v>475</v>
      </c>
      <c r="BA125" s="30">
        <v>73</v>
      </c>
      <c r="BB125" s="30">
        <v>293</v>
      </c>
      <c r="BC125" s="30">
        <v>512</v>
      </c>
      <c r="BD125" s="30">
        <v>79</v>
      </c>
      <c r="BE125" s="30">
        <v>314</v>
      </c>
      <c r="BF125" s="30">
        <v>550</v>
      </c>
      <c r="BG125" s="30">
        <v>84</v>
      </c>
      <c r="BH125" s="30">
        <v>336</v>
      </c>
      <c r="BI125" s="30">
        <v>589</v>
      </c>
      <c r="BJ125" s="30">
        <v>90</v>
      </c>
      <c r="BK125" s="30">
        <v>359</v>
      </c>
      <c r="BL125" s="30">
        <v>629</v>
      </c>
      <c r="BM125" s="30">
        <v>96</v>
      </c>
      <c r="BN125" s="30">
        <v>382</v>
      </c>
      <c r="BO125" s="30">
        <v>669</v>
      </c>
      <c r="BP125" s="30">
        <v>102</v>
      </c>
      <c r="BQ125" s="30">
        <v>406</v>
      </c>
      <c r="BR125" s="30">
        <v>711</v>
      </c>
      <c r="BS125" s="30">
        <v>108</v>
      </c>
      <c r="BT125" s="30">
        <v>430</v>
      </c>
      <c r="BU125" s="30">
        <v>753</v>
      </c>
      <c r="BV125" s="30">
        <v>114</v>
      </c>
      <c r="BW125" s="30">
        <v>455</v>
      </c>
      <c r="BX125" s="30">
        <v>796</v>
      </c>
      <c r="BY125" s="30">
        <v>120</v>
      </c>
      <c r="BZ125" s="30">
        <v>480</v>
      </c>
      <c r="CA125" s="30">
        <v>840</v>
      </c>
      <c r="CB125" s="30">
        <v>126</v>
      </c>
      <c r="CC125" s="30">
        <v>506</v>
      </c>
      <c r="CD125" s="30">
        <v>885</v>
      </c>
      <c r="CE125" s="30">
        <v>133</v>
      </c>
      <c r="CF125" s="30">
        <v>532</v>
      </c>
      <c r="CG125" s="30">
        <v>931</v>
      </c>
      <c r="CH125" s="30">
        <v>140</v>
      </c>
      <c r="CI125" s="30">
        <v>558</v>
      </c>
      <c r="CJ125" s="30">
        <v>977</v>
      </c>
      <c r="CK125" s="30">
        <v>146</v>
      </c>
      <c r="CL125" s="30">
        <v>585</v>
      </c>
      <c r="CM125" s="30">
        <v>1024</v>
      </c>
    </row>
    <row r="126" spans="1:91" x14ac:dyDescent="0.25">
      <c r="A126" s="29" t="s">
        <v>30</v>
      </c>
      <c r="B126" s="30">
        <v>25</v>
      </c>
      <c r="C126" s="30">
        <v>25</v>
      </c>
      <c r="D126" s="30">
        <v>10</v>
      </c>
      <c r="E126" s="30">
        <v>27</v>
      </c>
      <c r="F126" s="30">
        <v>27</v>
      </c>
      <c r="G126" s="30">
        <v>11</v>
      </c>
      <c r="H126" s="30">
        <v>31</v>
      </c>
      <c r="I126" s="30">
        <v>31</v>
      </c>
      <c r="J126" s="30">
        <v>12</v>
      </c>
      <c r="K126" s="30">
        <v>36</v>
      </c>
      <c r="L126" s="30">
        <v>36</v>
      </c>
      <c r="M126" s="30">
        <v>14</v>
      </c>
      <c r="N126" s="30">
        <v>41</v>
      </c>
      <c r="O126" s="30">
        <v>41</v>
      </c>
      <c r="P126" s="30">
        <v>17</v>
      </c>
      <c r="Q126" s="30">
        <v>48</v>
      </c>
      <c r="R126" s="30">
        <v>48</v>
      </c>
      <c r="S126" s="30">
        <v>19</v>
      </c>
      <c r="T126" s="30">
        <v>54</v>
      </c>
      <c r="U126" s="30">
        <v>54</v>
      </c>
      <c r="V126" s="30">
        <v>22</v>
      </c>
      <c r="W126" s="30">
        <v>61</v>
      </c>
      <c r="X126" s="30">
        <v>61</v>
      </c>
      <c r="Y126" s="30">
        <v>25</v>
      </c>
      <c r="Z126" s="30">
        <v>69</v>
      </c>
      <c r="AA126" s="30">
        <v>69</v>
      </c>
      <c r="AB126" s="30">
        <v>28</v>
      </c>
      <c r="AC126" s="30">
        <v>77</v>
      </c>
      <c r="AD126" s="30">
        <v>77</v>
      </c>
      <c r="AE126" s="30">
        <v>31</v>
      </c>
      <c r="AF126" s="30">
        <v>85</v>
      </c>
      <c r="AG126" s="30">
        <v>85</v>
      </c>
      <c r="AH126" s="30">
        <v>34</v>
      </c>
      <c r="AI126" s="30">
        <v>94</v>
      </c>
      <c r="AJ126" s="30">
        <v>94</v>
      </c>
      <c r="AK126" s="30">
        <v>38</v>
      </c>
      <c r="AL126" s="30">
        <v>103</v>
      </c>
      <c r="AM126" s="30">
        <v>103</v>
      </c>
      <c r="AN126" s="30">
        <v>41</v>
      </c>
      <c r="AO126" s="30">
        <v>112</v>
      </c>
      <c r="AP126" s="30">
        <v>112</v>
      </c>
      <c r="AQ126" s="30">
        <v>45</v>
      </c>
      <c r="AR126" s="30">
        <v>122</v>
      </c>
      <c r="AS126" s="30">
        <v>122</v>
      </c>
      <c r="AT126" s="30">
        <v>49</v>
      </c>
      <c r="AU126" s="30">
        <v>132</v>
      </c>
      <c r="AV126" s="30">
        <v>132</v>
      </c>
      <c r="AW126" s="30">
        <v>53</v>
      </c>
      <c r="AX126" s="30">
        <v>142</v>
      </c>
      <c r="AY126" s="30">
        <v>142</v>
      </c>
      <c r="AZ126" s="30">
        <v>57</v>
      </c>
      <c r="BA126" s="30">
        <v>153</v>
      </c>
      <c r="BB126" s="30">
        <v>153</v>
      </c>
      <c r="BC126" s="30">
        <v>61</v>
      </c>
      <c r="BD126" s="30">
        <v>164</v>
      </c>
      <c r="BE126" s="30">
        <v>164</v>
      </c>
      <c r="BF126" s="30">
        <v>65</v>
      </c>
      <c r="BG126" s="30">
        <v>175</v>
      </c>
      <c r="BH126" s="30">
        <v>175</v>
      </c>
      <c r="BI126" s="30">
        <v>70</v>
      </c>
      <c r="BJ126" s="30">
        <v>186</v>
      </c>
      <c r="BK126" s="30">
        <v>186</v>
      </c>
      <c r="BL126" s="30">
        <v>74</v>
      </c>
      <c r="BM126" s="30">
        <v>198</v>
      </c>
      <c r="BN126" s="30">
        <v>198</v>
      </c>
      <c r="BO126" s="30">
        <v>79</v>
      </c>
      <c r="BP126" s="30">
        <v>209</v>
      </c>
      <c r="BQ126" s="30">
        <v>209</v>
      </c>
      <c r="BR126" s="30">
        <v>84</v>
      </c>
      <c r="BS126" s="30">
        <v>221</v>
      </c>
      <c r="BT126" s="30">
        <v>221</v>
      </c>
      <c r="BU126" s="30">
        <v>89</v>
      </c>
      <c r="BV126" s="30">
        <v>234</v>
      </c>
      <c r="BW126" s="30">
        <v>234</v>
      </c>
      <c r="BX126" s="30">
        <v>93</v>
      </c>
      <c r="BY126" s="30">
        <v>246</v>
      </c>
      <c r="BZ126" s="30">
        <v>246</v>
      </c>
      <c r="CA126" s="30">
        <v>98</v>
      </c>
      <c r="CB126" s="30">
        <v>259</v>
      </c>
      <c r="CC126" s="30">
        <v>259</v>
      </c>
      <c r="CD126" s="30">
        <v>104</v>
      </c>
      <c r="CE126" s="30">
        <v>272</v>
      </c>
      <c r="CF126" s="30">
        <v>272</v>
      </c>
      <c r="CG126" s="30">
        <v>109</v>
      </c>
      <c r="CH126" s="30">
        <v>285</v>
      </c>
      <c r="CI126" s="30">
        <v>285</v>
      </c>
      <c r="CJ126" s="30">
        <v>114</v>
      </c>
      <c r="CK126" s="30">
        <v>298</v>
      </c>
      <c r="CL126" s="30">
        <v>298</v>
      </c>
      <c r="CM126" s="30">
        <v>119</v>
      </c>
    </row>
    <row r="127" spans="1:91" x14ac:dyDescent="0.25">
      <c r="A127" s="29" t="s">
        <v>101</v>
      </c>
      <c r="B127" s="30">
        <v>20</v>
      </c>
      <c r="C127" s="30">
        <v>55</v>
      </c>
      <c r="D127" s="30">
        <v>45</v>
      </c>
      <c r="E127" s="30">
        <v>22</v>
      </c>
      <c r="F127" s="30">
        <v>61</v>
      </c>
      <c r="G127" s="30">
        <v>50</v>
      </c>
      <c r="H127" s="30">
        <v>26</v>
      </c>
      <c r="I127" s="30">
        <v>71</v>
      </c>
      <c r="J127" s="30">
        <v>58</v>
      </c>
      <c r="K127" s="30">
        <v>30</v>
      </c>
      <c r="L127" s="30">
        <v>84</v>
      </c>
      <c r="M127" s="30">
        <v>68</v>
      </c>
      <c r="N127" s="30">
        <v>36</v>
      </c>
      <c r="O127" s="30">
        <v>98</v>
      </c>
      <c r="P127" s="30">
        <v>80</v>
      </c>
      <c r="Q127" s="30">
        <v>42</v>
      </c>
      <c r="R127" s="30">
        <v>115</v>
      </c>
      <c r="S127" s="30">
        <v>94</v>
      </c>
      <c r="T127" s="30">
        <v>48</v>
      </c>
      <c r="U127" s="30">
        <v>133</v>
      </c>
      <c r="V127" s="30">
        <v>108</v>
      </c>
      <c r="W127" s="30">
        <v>55</v>
      </c>
      <c r="X127" s="30">
        <v>152</v>
      </c>
      <c r="Y127" s="30">
        <v>124</v>
      </c>
      <c r="Z127" s="30">
        <v>63</v>
      </c>
      <c r="AA127" s="30">
        <v>172</v>
      </c>
      <c r="AB127" s="30">
        <v>141</v>
      </c>
      <c r="AC127" s="30">
        <v>71</v>
      </c>
      <c r="AD127" s="30">
        <v>194</v>
      </c>
      <c r="AE127" s="30">
        <v>159</v>
      </c>
      <c r="AF127" s="30">
        <v>79</v>
      </c>
      <c r="AG127" s="30">
        <v>217</v>
      </c>
      <c r="AH127" s="30">
        <v>177</v>
      </c>
      <c r="AI127" s="30">
        <v>87</v>
      </c>
      <c r="AJ127" s="30">
        <v>241</v>
      </c>
      <c r="AK127" s="30">
        <v>197</v>
      </c>
      <c r="AL127" s="30">
        <v>96</v>
      </c>
      <c r="AM127" s="30">
        <v>265</v>
      </c>
      <c r="AN127" s="30">
        <v>217</v>
      </c>
      <c r="AO127" s="30">
        <v>106</v>
      </c>
      <c r="AP127" s="30">
        <v>291</v>
      </c>
      <c r="AQ127" s="30">
        <v>238</v>
      </c>
      <c r="AR127" s="30">
        <v>115</v>
      </c>
      <c r="AS127" s="30">
        <v>318</v>
      </c>
      <c r="AT127" s="30">
        <v>260</v>
      </c>
      <c r="AU127" s="30">
        <v>125</v>
      </c>
      <c r="AV127" s="30">
        <v>345</v>
      </c>
      <c r="AW127" s="30">
        <v>282</v>
      </c>
      <c r="AX127" s="30">
        <v>136</v>
      </c>
      <c r="AY127" s="30">
        <v>373</v>
      </c>
      <c r="AZ127" s="30">
        <v>305</v>
      </c>
      <c r="BA127" s="30">
        <v>146</v>
      </c>
      <c r="BB127" s="30">
        <v>402</v>
      </c>
      <c r="BC127" s="30">
        <v>329</v>
      </c>
      <c r="BD127" s="30">
        <v>157</v>
      </c>
      <c r="BE127" s="30">
        <v>432</v>
      </c>
      <c r="BF127" s="30">
        <v>354</v>
      </c>
      <c r="BG127" s="30">
        <v>168</v>
      </c>
      <c r="BH127" s="30">
        <v>463</v>
      </c>
      <c r="BI127" s="30">
        <v>379</v>
      </c>
      <c r="BJ127" s="30">
        <v>180</v>
      </c>
      <c r="BK127" s="30">
        <v>494</v>
      </c>
      <c r="BL127" s="30">
        <v>404</v>
      </c>
      <c r="BM127" s="30">
        <v>191</v>
      </c>
      <c r="BN127" s="30">
        <v>526</v>
      </c>
      <c r="BO127" s="30">
        <v>430</v>
      </c>
      <c r="BP127" s="30">
        <v>203</v>
      </c>
      <c r="BQ127" s="30">
        <v>558</v>
      </c>
      <c r="BR127" s="30">
        <v>457</v>
      </c>
      <c r="BS127" s="30">
        <v>215</v>
      </c>
      <c r="BT127" s="30">
        <v>592</v>
      </c>
      <c r="BU127" s="30">
        <v>484</v>
      </c>
      <c r="BV127" s="30">
        <v>228</v>
      </c>
      <c r="BW127" s="30">
        <v>626</v>
      </c>
      <c r="BX127" s="30">
        <v>512</v>
      </c>
      <c r="BY127" s="30">
        <v>240</v>
      </c>
      <c r="BZ127" s="30">
        <v>660</v>
      </c>
      <c r="CA127" s="30">
        <v>540</v>
      </c>
      <c r="CB127" s="30">
        <v>253</v>
      </c>
      <c r="CC127" s="30">
        <v>695</v>
      </c>
      <c r="CD127" s="30">
        <v>569</v>
      </c>
      <c r="CE127" s="30">
        <v>266</v>
      </c>
      <c r="CF127" s="30">
        <v>731</v>
      </c>
      <c r="CG127" s="30">
        <v>598</v>
      </c>
      <c r="CH127" s="30">
        <v>279</v>
      </c>
      <c r="CI127" s="30">
        <v>767</v>
      </c>
      <c r="CJ127" s="30">
        <v>628</v>
      </c>
      <c r="CK127" s="30">
        <v>293</v>
      </c>
      <c r="CL127" s="30">
        <v>804</v>
      </c>
      <c r="CM127" s="30">
        <v>658</v>
      </c>
    </row>
    <row r="128" spans="1:91" x14ac:dyDescent="0.25">
      <c r="A128" s="29" t="s">
        <v>1534</v>
      </c>
      <c r="B128" s="340">
        <v>15</v>
      </c>
      <c r="C128" s="340">
        <v>65</v>
      </c>
      <c r="D128" s="340">
        <v>40</v>
      </c>
      <c r="E128" s="340">
        <v>16.5</v>
      </c>
      <c r="F128" s="340">
        <v>71.5</v>
      </c>
      <c r="G128" s="340">
        <v>44</v>
      </c>
      <c r="H128" s="340">
        <v>19.375</v>
      </c>
      <c r="I128" s="340">
        <v>83.958333333333329</v>
      </c>
      <c r="J128" s="340">
        <v>51.666666666666664</v>
      </c>
      <c r="K128" s="340">
        <v>22.75</v>
      </c>
      <c r="L128" s="340">
        <v>98.583333333333329</v>
      </c>
      <c r="M128" s="340">
        <v>60.666666666666664</v>
      </c>
      <c r="N128" s="340">
        <v>26.875</v>
      </c>
      <c r="O128" s="340">
        <v>116.45833333333333</v>
      </c>
      <c r="P128" s="340">
        <v>71.666666666666657</v>
      </c>
      <c r="Q128" s="340">
        <v>31.375</v>
      </c>
      <c r="R128" s="340">
        <v>135.95833333333331</v>
      </c>
      <c r="S128" s="340">
        <v>83.666666666666657</v>
      </c>
      <c r="T128" s="340">
        <v>36.125</v>
      </c>
      <c r="U128" s="340">
        <v>156.54166666666666</v>
      </c>
      <c r="V128" s="340">
        <v>96.333333333333329</v>
      </c>
      <c r="W128" s="340">
        <v>41.375</v>
      </c>
      <c r="X128" s="340">
        <v>179.29166666666666</v>
      </c>
      <c r="Y128" s="340">
        <v>110.33333333333333</v>
      </c>
      <c r="Z128" s="340">
        <v>47</v>
      </c>
      <c r="AA128" s="340">
        <v>203.66666666666666</v>
      </c>
      <c r="AB128" s="340">
        <v>125.33333333333333</v>
      </c>
      <c r="AC128" s="340">
        <v>53</v>
      </c>
      <c r="AD128" s="340">
        <v>229.66666666666666</v>
      </c>
      <c r="AE128" s="340">
        <v>141.33333333333331</v>
      </c>
      <c r="AF128" s="340">
        <v>59.125</v>
      </c>
      <c r="AG128" s="340">
        <v>256.20833333333331</v>
      </c>
      <c r="AH128" s="340">
        <v>157.66666666666666</v>
      </c>
      <c r="AI128" s="340">
        <v>65.5</v>
      </c>
      <c r="AJ128" s="340">
        <v>283.83333333333331</v>
      </c>
      <c r="AK128" s="340">
        <v>174.66666666666666</v>
      </c>
      <c r="AL128" s="340">
        <v>72.375</v>
      </c>
      <c r="AM128" s="340">
        <v>313.625</v>
      </c>
      <c r="AN128" s="340">
        <v>193</v>
      </c>
      <c r="AO128" s="340">
        <v>79.375</v>
      </c>
      <c r="AP128" s="340">
        <v>343.95833333333331</v>
      </c>
      <c r="AQ128" s="340">
        <v>211.66666666666666</v>
      </c>
      <c r="AR128" s="340">
        <v>86.5</v>
      </c>
      <c r="AS128" s="340">
        <v>374.83333333333331</v>
      </c>
      <c r="AT128" s="340">
        <v>230.66666666666666</v>
      </c>
      <c r="AU128" s="340">
        <v>94</v>
      </c>
      <c r="AV128" s="340">
        <v>407.33333333333331</v>
      </c>
      <c r="AW128" s="340">
        <v>250.66666666666666</v>
      </c>
      <c r="AX128" s="340">
        <v>101.875</v>
      </c>
      <c r="AY128" s="340">
        <v>441.45833333333331</v>
      </c>
      <c r="AZ128" s="340">
        <v>271.66666666666663</v>
      </c>
      <c r="BA128" s="340">
        <v>109.625</v>
      </c>
      <c r="BB128" s="340">
        <v>475.04166666666663</v>
      </c>
      <c r="BC128" s="340">
        <v>292.33333333333331</v>
      </c>
      <c r="BD128" s="340">
        <v>117.875</v>
      </c>
      <c r="BE128" s="340">
        <v>510.79166666666663</v>
      </c>
      <c r="BF128" s="340">
        <v>314.33333333333331</v>
      </c>
      <c r="BG128" s="340">
        <v>126.125</v>
      </c>
      <c r="BH128" s="340">
        <v>546.54166666666663</v>
      </c>
      <c r="BI128" s="340">
        <v>336.33333333333331</v>
      </c>
      <c r="BJ128" s="340">
        <v>134.75</v>
      </c>
      <c r="BK128" s="340">
        <v>583.91666666666663</v>
      </c>
      <c r="BL128" s="340">
        <v>359.33333333333331</v>
      </c>
      <c r="BM128" s="340">
        <v>143.375</v>
      </c>
      <c r="BN128" s="340">
        <v>621.29166666666663</v>
      </c>
      <c r="BO128" s="340">
        <v>382.33333333333331</v>
      </c>
      <c r="BP128" s="340">
        <v>152.375</v>
      </c>
      <c r="BQ128" s="340">
        <v>660.29166666666663</v>
      </c>
      <c r="BR128" s="340">
        <v>406.33333333333331</v>
      </c>
      <c r="BS128" s="340">
        <v>161.375</v>
      </c>
      <c r="BT128" s="340">
        <v>699.29166666666663</v>
      </c>
      <c r="BU128" s="340">
        <v>430.33333333333331</v>
      </c>
      <c r="BV128" s="340">
        <v>170.625</v>
      </c>
      <c r="BW128" s="340">
        <v>739.375</v>
      </c>
      <c r="BX128" s="340">
        <v>455</v>
      </c>
      <c r="BY128" s="340">
        <v>180</v>
      </c>
      <c r="BZ128" s="340">
        <v>780</v>
      </c>
      <c r="CA128" s="340">
        <v>480</v>
      </c>
      <c r="CB128" s="340">
        <v>189.625</v>
      </c>
      <c r="CC128" s="340">
        <v>821.70833333333326</v>
      </c>
      <c r="CD128" s="340">
        <v>505.66666666666663</v>
      </c>
      <c r="CE128" s="340">
        <v>199.5</v>
      </c>
      <c r="CF128" s="340">
        <v>864.49999999999989</v>
      </c>
      <c r="CG128" s="340">
        <v>532</v>
      </c>
      <c r="CH128" s="340">
        <v>209.375</v>
      </c>
      <c r="CI128" s="340">
        <v>907.29166666666663</v>
      </c>
      <c r="CJ128" s="340">
        <v>558.33333333333326</v>
      </c>
      <c r="CK128" s="340">
        <v>219.5</v>
      </c>
      <c r="CL128" s="340">
        <v>951.16666666666663</v>
      </c>
      <c r="CM128" s="340">
        <v>585.33333333333326</v>
      </c>
    </row>
    <row r="129" spans="1:91" x14ac:dyDescent="0.25">
      <c r="A129" s="29" t="s">
        <v>1647</v>
      </c>
      <c r="B129" s="30">
        <v>48</v>
      </c>
      <c r="C129" s="30">
        <v>48</v>
      </c>
      <c r="D129" s="30">
        <v>360</v>
      </c>
      <c r="E129" s="30">
        <v>52</v>
      </c>
      <c r="F129" s="30">
        <v>52</v>
      </c>
      <c r="G129" s="30">
        <v>391</v>
      </c>
      <c r="H129" s="30">
        <v>59</v>
      </c>
      <c r="I129" s="30">
        <v>59</v>
      </c>
      <c r="J129" s="30">
        <v>441</v>
      </c>
      <c r="K129" s="30">
        <v>67</v>
      </c>
      <c r="L129" s="30">
        <v>67</v>
      </c>
      <c r="M129" s="30">
        <v>503</v>
      </c>
      <c r="N129" s="30">
        <v>77</v>
      </c>
      <c r="O129" s="30">
        <v>77</v>
      </c>
      <c r="P129" s="30">
        <v>574</v>
      </c>
      <c r="Q129" s="30">
        <v>87</v>
      </c>
      <c r="R129" s="30">
        <v>87</v>
      </c>
      <c r="S129" s="30">
        <v>653</v>
      </c>
      <c r="T129" s="30">
        <v>98</v>
      </c>
      <c r="U129" s="30">
        <v>98</v>
      </c>
      <c r="V129" s="30">
        <v>737</v>
      </c>
      <c r="W129" s="30">
        <v>110</v>
      </c>
      <c r="X129" s="30">
        <v>110</v>
      </c>
      <c r="Y129" s="30">
        <v>828</v>
      </c>
      <c r="Z129" s="30">
        <v>123</v>
      </c>
      <c r="AA129" s="30">
        <v>123</v>
      </c>
      <c r="AB129" s="30">
        <v>925</v>
      </c>
      <c r="AC129" s="30">
        <v>137</v>
      </c>
      <c r="AD129" s="30">
        <v>137</v>
      </c>
      <c r="AE129" s="30">
        <v>1026</v>
      </c>
      <c r="AF129" s="30">
        <v>151</v>
      </c>
      <c r="AG129" s="30">
        <v>151</v>
      </c>
      <c r="AH129" s="30">
        <v>1132</v>
      </c>
      <c r="AI129" s="30">
        <v>166</v>
      </c>
      <c r="AJ129" s="30">
        <v>166</v>
      </c>
      <c r="AK129" s="30">
        <v>1242</v>
      </c>
      <c r="AL129" s="30">
        <v>181</v>
      </c>
      <c r="AM129" s="30">
        <v>181</v>
      </c>
      <c r="AN129" s="30">
        <v>1356</v>
      </c>
      <c r="AO129" s="30">
        <v>197</v>
      </c>
      <c r="AP129" s="30">
        <v>197</v>
      </c>
      <c r="AQ129" s="30">
        <v>1474</v>
      </c>
      <c r="AR129" s="30">
        <v>213</v>
      </c>
      <c r="AS129" s="30">
        <v>213</v>
      </c>
      <c r="AT129" s="30">
        <v>1596</v>
      </c>
      <c r="AU129" s="30">
        <v>230</v>
      </c>
      <c r="AV129" s="30">
        <v>230</v>
      </c>
      <c r="AW129" s="30">
        <v>1721</v>
      </c>
      <c r="AX129" s="30">
        <v>247</v>
      </c>
      <c r="AY129" s="30">
        <v>247</v>
      </c>
      <c r="AZ129" s="30">
        <v>1850</v>
      </c>
      <c r="BA129" s="30">
        <v>264</v>
      </c>
      <c r="BB129" s="30">
        <v>264</v>
      </c>
      <c r="BC129" s="30">
        <v>1982</v>
      </c>
      <c r="BD129" s="30">
        <v>282</v>
      </c>
      <c r="BE129" s="30">
        <v>282</v>
      </c>
      <c r="BF129" s="30">
        <v>2117</v>
      </c>
      <c r="BG129" s="30">
        <v>301</v>
      </c>
      <c r="BH129" s="30">
        <v>301</v>
      </c>
      <c r="BI129" s="30">
        <v>2255</v>
      </c>
      <c r="BJ129" s="30">
        <v>320</v>
      </c>
      <c r="BK129" s="30">
        <v>320</v>
      </c>
      <c r="BL129" s="30">
        <v>2396</v>
      </c>
      <c r="BM129" s="30">
        <v>339</v>
      </c>
      <c r="BN129" s="30">
        <v>339</v>
      </c>
      <c r="BO129" s="30">
        <v>2540</v>
      </c>
      <c r="BP129" s="30">
        <v>358</v>
      </c>
      <c r="BQ129" s="30">
        <v>358</v>
      </c>
      <c r="BR129" s="30">
        <v>2687</v>
      </c>
      <c r="BS129" s="30">
        <v>378</v>
      </c>
      <c r="BT129" s="30">
        <v>378</v>
      </c>
      <c r="BU129" s="30">
        <v>2837</v>
      </c>
      <c r="BV129" s="30">
        <v>398</v>
      </c>
      <c r="BW129" s="30">
        <v>398</v>
      </c>
      <c r="BX129" s="30">
        <v>2989</v>
      </c>
      <c r="BY129" s="30">
        <v>419</v>
      </c>
      <c r="BZ129" s="30">
        <v>419</v>
      </c>
      <c r="CA129" s="30">
        <v>3143</v>
      </c>
      <c r="CB129" s="30">
        <v>440</v>
      </c>
      <c r="CC129" s="30">
        <v>440</v>
      </c>
      <c r="CD129" s="30">
        <v>3300</v>
      </c>
      <c r="CE129" s="30">
        <v>461</v>
      </c>
      <c r="CF129" s="30">
        <v>461</v>
      </c>
      <c r="CG129" s="30">
        <v>3460</v>
      </c>
      <c r="CH129" s="30">
        <v>483</v>
      </c>
      <c r="CI129" s="30">
        <v>483</v>
      </c>
      <c r="CJ129" s="30">
        <v>3622</v>
      </c>
      <c r="CK129" s="30">
        <v>505</v>
      </c>
      <c r="CL129" s="30">
        <v>505</v>
      </c>
      <c r="CM129" s="30">
        <v>3786</v>
      </c>
    </row>
    <row r="130" spans="1:91" x14ac:dyDescent="0.25">
      <c r="A130" s="29" t="s">
        <v>1634</v>
      </c>
      <c r="B130" s="340">
        <v>72</v>
      </c>
      <c r="C130" s="340">
        <v>228</v>
      </c>
      <c r="D130" s="340">
        <v>156</v>
      </c>
      <c r="E130" s="340">
        <v>78</v>
      </c>
      <c r="F130" s="340">
        <v>247</v>
      </c>
      <c r="G130" s="340">
        <v>169</v>
      </c>
      <c r="H130" s="340">
        <v>88.249999999999986</v>
      </c>
      <c r="I130" s="340">
        <v>279.45833333333331</v>
      </c>
      <c r="J130" s="340">
        <v>191.20833333333331</v>
      </c>
      <c r="K130" s="340">
        <v>100.5</v>
      </c>
      <c r="L130" s="340">
        <v>318.25</v>
      </c>
      <c r="M130" s="340">
        <v>217.75</v>
      </c>
      <c r="N130" s="340">
        <v>114.99999999999999</v>
      </c>
      <c r="O130" s="340">
        <v>364.16666666666663</v>
      </c>
      <c r="P130" s="340">
        <v>249.16666666666666</v>
      </c>
      <c r="Q130" s="340">
        <v>130.5</v>
      </c>
      <c r="R130" s="340">
        <v>413.25</v>
      </c>
      <c r="S130" s="340">
        <v>282.75</v>
      </c>
      <c r="T130" s="340">
        <v>147.5</v>
      </c>
      <c r="U130" s="340">
        <v>467.08333333333331</v>
      </c>
      <c r="V130" s="340">
        <v>319.58333333333331</v>
      </c>
      <c r="W130" s="340">
        <v>165.49999999999997</v>
      </c>
      <c r="X130" s="340">
        <v>524.08333333333326</v>
      </c>
      <c r="Y130" s="340">
        <v>358.58333333333331</v>
      </c>
      <c r="Z130" s="340">
        <v>184.99999999999997</v>
      </c>
      <c r="AA130" s="340">
        <v>585.83333333333326</v>
      </c>
      <c r="AB130" s="340">
        <v>400.83333333333331</v>
      </c>
      <c r="AC130" s="340">
        <v>205.24999999999997</v>
      </c>
      <c r="AD130" s="340">
        <v>649.95833333333326</v>
      </c>
      <c r="AE130" s="340">
        <v>444.70833333333331</v>
      </c>
      <c r="AF130" s="340">
        <v>226.5</v>
      </c>
      <c r="AG130" s="340">
        <v>717.25</v>
      </c>
      <c r="AH130" s="340">
        <v>490.75</v>
      </c>
      <c r="AI130" s="340">
        <v>248.49999999999997</v>
      </c>
      <c r="AJ130" s="340">
        <v>786.91666666666663</v>
      </c>
      <c r="AK130" s="340">
        <v>538.41666666666663</v>
      </c>
      <c r="AL130" s="340">
        <v>271.24999999999994</v>
      </c>
      <c r="AM130" s="340">
        <v>858.95833333333326</v>
      </c>
      <c r="AN130" s="340">
        <v>587.70833333333326</v>
      </c>
      <c r="AO130" s="340">
        <v>295</v>
      </c>
      <c r="AP130" s="340">
        <v>934.16666666666663</v>
      </c>
      <c r="AQ130" s="340">
        <v>639.16666666666663</v>
      </c>
      <c r="AR130" s="340">
        <v>319.24999999999994</v>
      </c>
      <c r="AS130" s="340">
        <v>1010.9583333333333</v>
      </c>
      <c r="AT130" s="340">
        <v>691.70833333333326</v>
      </c>
      <c r="AU130" s="340">
        <v>344.49999999999994</v>
      </c>
      <c r="AV130" s="340">
        <v>1090.9166666666665</v>
      </c>
      <c r="AW130" s="340">
        <v>746.41666666666663</v>
      </c>
      <c r="AX130" s="340">
        <v>369.99999999999994</v>
      </c>
      <c r="AY130" s="340">
        <v>1171.6666666666665</v>
      </c>
      <c r="AZ130" s="340">
        <v>801.66666666666663</v>
      </c>
      <c r="BA130" s="340">
        <v>396.49999999999994</v>
      </c>
      <c r="BB130" s="340">
        <v>1255.5833333333333</v>
      </c>
      <c r="BC130" s="340">
        <v>859.08333333333326</v>
      </c>
      <c r="BD130" s="340">
        <v>423.49999999999994</v>
      </c>
      <c r="BE130" s="340">
        <v>1341.0833333333333</v>
      </c>
      <c r="BF130" s="340">
        <v>917.58333333333326</v>
      </c>
      <c r="BG130" s="340">
        <v>450.99999999999994</v>
      </c>
      <c r="BH130" s="340">
        <v>1428.1666666666665</v>
      </c>
      <c r="BI130" s="340">
        <v>977.16666666666663</v>
      </c>
      <c r="BJ130" s="340">
        <v>479.49999999999994</v>
      </c>
      <c r="BK130" s="340">
        <v>1518.4166666666665</v>
      </c>
      <c r="BL130" s="340">
        <v>1038.9166666666665</v>
      </c>
      <c r="BM130" s="340">
        <v>507.99999999999994</v>
      </c>
      <c r="BN130" s="340">
        <v>1608.6666666666665</v>
      </c>
      <c r="BO130" s="340">
        <v>1100.6666666666665</v>
      </c>
      <c r="BP130" s="340">
        <v>537.5</v>
      </c>
      <c r="BQ130" s="340">
        <v>1702.0833333333333</v>
      </c>
      <c r="BR130" s="340">
        <v>1164.5833333333333</v>
      </c>
      <c r="BS130" s="340">
        <v>567.24999999999989</v>
      </c>
      <c r="BT130" s="340">
        <v>1796.2916666666665</v>
      </c>
      <c r="BU130" s="340">
        <v>1229.0416666666665</v>
      </c>
      <c r="BV130" s="340">
        <v>597.49999999999989</v>
      </c>
      <c r="BW130" s="340">
        <v>1892.0833333333333</v>
      </c>
      <c r="BX130" s="340">
        <v>1294.5833333333333</v>
      </c>
      <c r="BY130" s="340">
        <v>628.5</v>
      </c>
      <c r="BZ130" s="340">
        <v>1990.25</v>
      </c>
      <c r="CA130" s="340">
        <v>1361.75</v>
      </c>
      <c r="CB130" s="340">
        <v>660</v>
      </c>
      <c r="CC130" s="340">
        <v>2090</v>
      </c>
      <c r="CD130" s="340">
        <v>1430</v>
      </c>
      <c r="CE130" s="340">
        <v>691.99999999999989</v>
      </c>
      <c r="CF130" s="340">
        <v>2191.333333333333</v>
      </c>
      <c r="CG130" s="340">
        <v>1499.3333333333333</v>
      </c>
      <c r="CH130" s="340">
        <v>724.5</v>
      </c>
      <c r="CI130" s="340">
        <v>2294.25</v>
      </c>
      <c r="CJ130" s="340">
        <v>1569.75</v>
      </c>
      <c r="CK130" s="340">
        <v>757.24999999999989</v>
      </c>
      <c r="CL130" s="340">
        <v>2397.958333333333</v>
      </c>
      <c r="CM130" s="340">
        <v>1640.7083333333333</v>
      </c>
    </row>
    <row r="131" spans="1:91" x14ac:dyDescent="0.25">
      <c r="A131" s="29" t="s">
        <v>75</v>
      </c>
      <c r="B131" s="30">
        <v>18</v>
      </c>
      <c r="C131" s="30">
        <v>25</v>
      </c>
      <c r="D131" s="30">
        <v>18</v>
      </c>
      <c r="E131" s="30">
        <v>19</v>
      </c>
      <c r="F131" s="30">
        <v>27</v>
      </c>
      <c r="G131" s="30">
        <v>19</v>
      </c>
      <c r="H131" s="30">
        <v>22</v>
      </c>
      <c r="I131" s="30">
        <v>31</v>
      </c>
      <c r="J131" s="30">
        <v>22</v>
      </c>
      <c r="K131" s="30">
        <v>25</v>
      </c>
      <c r="L131" s="30">
        <v>36</v>
      </c>
      <c r="M131" s="30">
        <v>25</v>
      </c>
      <c r="N131" s="30">
        <v>29</v>
      </c>
      <c r="O131" s="30">
        <v>41</v>
      </c>
      <c r="P131" s="30">
        <v>29</v>
      </c>
      <c r="Q131" s="30">
        <v>33</v>
      </c>
      <c r="R131" s="30">
        <v>48</v>
      </c>
      <c r="S131" s="30">
        <v>33</v>
      </c>
      <c r="T131" s="30">
        <v>38</v>
      </c>
      <c r="U131" s="30">
        <v>54</v>
      </c>
      <c r="V131" s="30">
        <v>38</v>
      </c>
      <c r="W131" s="30">
        <v>43</v>
      </c>
      <c r="X131" s="30">
        <v>61</v>
      </c>
      <c r="Y131" s="30">
        <v>43</v>
      </c>
      <c r="Z131" s="30">
        <v>48</v>
      </c>
      <c r="AA131" s="30">
        <v>69</v>
      </c>
      <c r="AB131" s="30">
        <v>48</v>
      </c>
      <c r="AC131" s="30">
        <v>54</v>
      </c>
      <c r="AD131" s="30">
        <v>77</v>
      </c>
      <c r="AE131" s="30">
        <v>54</v>
      </c>
      <c r="AF131" s="30">
        <v>60</v>
      </c>
      <c r="AG131" s="30">
        <v>85</v>
      </c>
      <c r="AH131" s="30">
        <v>60</v>
      </c>
      <c r="AI131" s="30">
        <v>66</v>
      </c>
      <c r="AJ131" s="30">
        <v>94</v>
      </c>
      <c r="AK131" s="30">
        <v>66</v>
      </c>
      <c r="AL131" s="30">
        <v>72</v>
      </c>
      <c r="AM131" s="30">
        <v>103</v>
      </c>
      <c r="AN131" s="30">
        <v>72</v>
      </c>
      <c r="AO131" s="30">
        <v>79</v>
      </c>
      <c r="AP131" s="30">
        <v>112</v>
      </c>
      <c r="AQ131" s="30">
        <v>79</v>
      </c>
      <c r="AR131" s="30">
        <v>85</v>
      </c>
      <c r="AS131" s="30">
        <v>122</v>
      </c>
      <c r="AT131" s="30">
        <v>85</v>
      </c>
      <c r="AU131" s="30">
        <v>92</v>
      </c>
      <c r="AV131" s="30">
        <v>132</v>
      </c>
      <c r="AW131" s="30">
        <v>92</v>
      </c>
      <c r="AX131" s="30">
        <v>100</v>
      </c>
      <c r="AY131" s="30">
        <v>142</v>
      </c>
      <c r="AZ131" s="30">
        <v>100</v>
      </c>
      <c r="BA131" s="30">
        <v>107</v>
      </c>
      <c r="BB131" s="30">
        <v>153</v>
      </c>
      <c r="BC131" s="30">
        <v>107</v>
      </c>
      <c r="BD131" s="30">
        <v>115</v>
      </c>
      <c r="BE131" s="30">
        <v>164</v>
      </c>
      <c r="BF131" s="30">
        <v>115</v>
      </c>
      <c r="BG131" s="30">
        <v>122</v>
      </c>
      <c r="BH131" s="30">
        <v>175</v>
      </c>
      <c r="BI131" s="30">
        <v>122</v>
      </c>
      <c r="BJ131" s="30">
        <v>130</v>
      </c>
      <c r="BK131" s="30">
        <v>186</v>
      </c>
      <c r="BL131" s="30">
        <v>130</v>
      </c>
      <c r="BM131" s="30">
        <v>138</v>
      </c>
      <c r="BN131" s="30">
        <v>198</v>
      </c>
      <c r="BO131" s="30">
        <v>138</v>
      </c>
      <c r="BP131" s="30">
        <v>147</v>
      </c>
      <c r="BQ131" s="30">
        <v>209</v>
      </c>
      <c r="BR131" s="30">
        <v>147</v>
      </c>
      <c r="BS131" s="30">
        <v>155</v>
      </c>
      <c r="BT131" s="30">
        <v>221</v>
      </c>
      <c r="BU131" s="30">
        <v>155</v>
      </c>
      <c r="BV131" s="30">
        <v>164</v>
      </c>
      <c r="BW131" s="30">
        <v>234</v>
      </c>
      <c r="BX131" s="30">
        <v>164</v>
      </c>
      <c r="BY131" s="30">
        <v>172</v>
      </c>
      <c r="BZ131" s="30">
        <v>246</v>
      </c>
      <c r="CA131" s="30">
        <v>172</v>
      </c>
      <c r="CB131" s="30">
        <v>181</v>
      </c>
      <c r="CC131" s="30">
        <v>259</v>
      </c>
      <c r="CD131" s="30">
        <v>181</v>
      </c>
      <c r="CE131" s="30">
        <v>190</v>
      </c>
      <c r="CF131" s="30">
        <v>272</v>
      </c>
      <c r="CG131" s="30">
        <v>190</v>
      </c>
      <c r="CH131" s="30">
        <v>199</v>
      </c>
      <c r="CI131" s="30">
        <v>285</v>
      </c>
      <c r="CJ131" s="30">
        <v>199</v>
      </c>
      <c r="CK131" s="30">
        <v>209</v>
      </c>
      <c r="CL131" s="30">
        <v>298</v>
      </c>
      <c r="CM131" s="30">
        <v>209</v>
      </c>
    </row>
    <row r="132" spans="1:91" x14ac:dyDescent="0.25">
      <c r="A132" s="29" t="s">
        <v>72</v>
      </c>
      <c r="B132" s="30">
        <v>13</v>
      </c>
      <c r="C132" s="30">
        <v>7</v>
      </c>
      <c r="D132" s="30">
        <v>4</v>
      </c>
      <c r="E132" s="30">
        <v>14</v>
      </c>
      <c r="F132" s="30">
        <v>8</v>
      </c>
      <c r="G132" s="30">
        <v>4</v>
      </c>
      <c r="H132" s="30">
        <v>17</v>
      </c>
      <c r="I132" s="30">
        <v>9</v>
      </c>
      <c r="J132" s="30">
        <v>5</v>
      </c>
      <c r="K132" s="30">
        <v>19</v>
      </c>
      <c r="L132" s="30">
        <v>10</v>
      </c>
      <c r="M132" s="30">
        <v>6</v>
      </c>
      <c r="N132" s="30">
        <v>22</v>
      </c>
      <c r="O132" s="30">
        <v>12</v>
      </c>
      <c r="P132" s="30">
        <v>7</v>
      </c>
      <c r="Q132" s="30">
        <v>26</v>
      </c>
      <c r="R132" s="30">
        <v>14</v>
      </c>
      <c r="S132" s="30">
        <v>8</v>
      </c>
      <c r="T132" s="30">
        <v>30</v>
      </c>
      <c r="U132" s="30">
        <v>16</v>
      </c>
      <c r="V132" s="30">
        <v>9</v>
      </c>
      <c r="W132" s="30">
        <v>33</v>
      </c>
      <c r="X132" s="30">
        <v>18</v>
      </c>
      <c r="Y132" s="30">
        <v>10</v>
      </c>
      <c r="Z132" s="30">
        <v>38</v>
      </c>
      <c r="AA132" s="30">
        <v>20</v>
      </c>
      <c r="AB132" s="30">
        <v>12</v>
      </c>
      <c r="AC132" s="30">
        <v>42</v>
      </c>
      <c r="AD132" s="30">
        <v>23</v>
      </c>
      <c r="AE132" s="30">
        <v>13</v>
      </c>
      <c r="AF132" s="30">
        <v>47</v>
      </c>
      <c r="AG132" s="30">
        <v>25</v>
      </c>
      <c r="AH132" s="30">
        <v>14</v>
      </c>
      <c r="AI132" s="30">
        <v>51</v>
      </c>
      <c r="AJ132" s="30">
        <v>28</v>
      </c>
      <c r="AK132" s="30">
        <v>16</v>
      </c>
      <c r="AL132" s="30">
        <v>57</v>
      </c>
      <c r="AM132" s="30">
        <v>30</v>
      </c>
      <c r="AN132" s="30">
        <v>17</v>
      </c>
      <c r="AO132" s="30">
        <v>62</v>
      </c>
      <c r="AP132" s="30">
        <v>33</v>
      </c>
      <c r="AQ132" s="30">
        <v>19</v>
      </c>
      <c r="AR132" s="30">
        <v>67</v>
      </c>
      <c r="AS132" s="30">
        <v>36</v>
      </c>
      <c r="AT132" s="30">
        <v>21</v>
      </c>
      <c r="AU132" s="30">
        <v>73</v>
      </c>
      <c r="AV132" s="30">
        <v>39</v>
      </c>
      <c r="AW132" s="30">
        <v>22</v>
      </c>
      <c r="AX132" s="30">
        <v>78</v>
      </c>
      <c r="AY132" s="30">
        <v>42</v>
      </c>
      <c r="AZ132" s="30">
        <v>24</v>
      </c>
      <c r="BA132" s="30">
        <v>84</v>
      </c>
      <c r="BB132" s="30">
        <v>45</v>
      </c>
      <c r="BC132" s="30">
        <v>26</v>
      </c>
      <c r="BD132" s="30">
        <v>90</v>
      </c>
      <c r="BE132" s="30">
        <v>48</v>
      </c>
      <c r="BF132" s="30">
        <v>28</v>
      </c>
      <c r="BG132" s="30">
        <v>96</v>
      </c>
      <c r="BH132" s="30">
        <v>52</v>
      </c>
      <c r="BI132" s="30">
        <v>29</v>
      </c>
      <c r="BJ132" s="30">
        <v>102</v>
      </c>
      <c r="BK132" s="30">
        <v>55</v>
      </c>
      <c r="BL132" s="30">
        <v>31</v>
      </c>
      <c r="BM132" s="30">
        <v>108</v>
      </c>
      <c r="BN132" s="30">
        <v>58</v>
      </c>
      <c r="BO132" s="30">
        <v>33</v>
      </c>
      <c r="BP132" s="30">
        <v>115</v>
      </c>
      <c r="BQ132" s="30">
        <v>62</v>
      </c>
      <c r="BR132" s="30">
        <v>35</v>
      </c>
      <c r="BS132" s="30">
        <v>121</v>
      </c>
      <c r="BT132" s="30">
        <v>65</v>
      </c>
      <c r="BU132" s="30">
        <v>37</v>
      </c>
      <c r="BV132" s="30">
        <v>128</v>
      </c>
      <c r="BW132" s="30">
        <v>69</v>
      </c>
      <c r="BX132" s="30">
        <v>39</v>
      </c>
      <c r="BY132" s="30">
        <v>135</v>
      </c>
      <c r="BZ132" s="30">
        <v>73</v>
      </c>
      <c r="CA132" s="30">
        <v>41</v>
      </c>
      <c r="CB132" s="30">
        <v>141</v>
      </c>
      <c r="CC132" s="30">
        <v>76</v>
      </c>
      <c r="CD132" s="30">
        <v>44</v>
      </c>
      <c r="CE132" s="30">
        <v>148</v>
      </c>
      <c r="CF132" s="30">
        <v>80</v>
      </c>
      <c r="CG132" s="30">
        <v>46</v>
      </c>
      <c r="CH132" s="30">
        <v>155</v>
      </c>
      <c r="CI132" s="30">
        <v>84</v>
      </c>
      <c r="CJ132" s="30">
        <v>48</v>
      </c>
      <c r="CK132" s="30">
        <v>163</v>
      </c>
      <c r="CL132" s="30">
        <v>88</v>
      </c>
      <c r="CM132" s="30">
        <v>50</v>
      </c>
    </row>
    <row r="133" spans="1:91" x14ac:dyDescent="0.25">
      <c r="A133" s="29" t="s">
        <v>9</v>
      </c>
      <c r="B133" s="30">
        <v>6</v>
      </c>
      <c r="C133" s="30">
        <v>13</v>
      </c>
      <c r="D133" s="30">
        <v>5</v>
      </c>
      <c r="E133" s="30">
        <v>7</v>
      </c>
      <c r="F133" s="30">
        <v>14</v>
      </c>
      <c r="G133" s="30">
        <v>6</v>
      </c>
      <c r="H133" s="30">
        <v>8</v>
      </c>
      <c r="I133" s="30">
        <v>17</v>
      </c>
      <c r="J133" s="30">
        <v>6</v>
      </c>
      <c r="K133" s="30">
        <v>9</v>
      </c>
      <c r="L133" s="30">
        <v>19</v>
      </c>
      <c r="M133" s="30">
        <v>7</v>
      </c>
      <c r="N133" s="30">
        <v>10</v>
      </c>
      <c r="O133" s="30">
        <v>22</v>
      </c>
      <c r="P133" s="30">
        <v>9</v>
      </c>
      <c r="Q133" s="30">
        <v>12</v>
      </c>
      <c r="R133" s="30">
        <v>26</v>
      </c>
      <c r="S133" s="30">
        <v>10</v>
      </c>
      <c r="T133" s="30">
        <v>14</v>
      </c>
      <c r="U133" s="30">
        <v>30</v>
      </c>
      <c r="V133" s="30">
        <v>11</v>
      </c>
      <c r="W133" s="30">
        <v>15</v>
      </c>
      <c r="X133" s="30">
        <v>33</v>
      </c>
      <c r="Y133" s="30">
        <v>13</v>
      </c>
      <c r="Z133" s="30">
        <v>17</v>
      </c>
      <c r="AA133" s="30">
        <v>38</v>
      </c>
      <c r="AB133" s="30">
        <v>15</v>
      </c>
      <c r="AC133" s="30">
        <v>19</v>
      </c>
      <c r="AD133" s="30">
        <v>42</v>
      </c>
      <c r="AE133" s="30">
        <v>16</v>
      </c>
      <c r="AF133" s="30">
        <v>22</v>
      </c>
      <c r="AG133" s="30">
        <v>47</v>
      </c>
      <c r="AH133" s="30">
        <v>18</v>
      </c>
      <c r="AI133" s="30">
        <v>24</v>
      </c>
      <c r="AJ133" s="30">
        <v>51</v>
      </c>
      <c r="AK133" s="30">
        <v>20</v>
      </c>
      <c r="AL133" s="30">
        <v>26</v>
      </c>
      <c r="AM133" s="30">
        <v>57</v>
      </c>
      <c r="AN133" s="30">
        <v>22</v>
      </c>
      <c r="AO133" s="30">
        <v>29</v>
      </c>
      <c r="AP133" s="30">
        <v>62</v>
      </c>
      <c r="AQ133" s="30">
        <v>24</v>
      </c>
      <c r="AR133" s="30">
        <v>31</v>
      </c>
      <c r="AS133" s="30">
        <v>67</v>
      </c>
      <c r="AT133" s="30">
        <v>26</v>
      </c>
      <c r="AU133" s="30">
        <v>33</v>
      </c>
      <c r="AV133" s="30">
        <v>73</v>
      </c>
      <c r="AW133" s="30">
        <v>28</v>
      </c>
      <c r="AX133" s="30">
        <v>36</v>
      </c>
      <c r="AY133" s="30">
        <v>78</v>
      </c>
      <c r="AZ133" s="30">
        <v>30</v>
      </c>
      <c r="BA133" s="30">
        <v>39</v>
      </c>
      <c r="BB133" s="30">
        <v>84</v>
      </c>
      <c r="BC133" s="30">
        <v>32</v>
      </c>
      <c r="BD133" s="30">
        <v>41</v>
      </c>
      <c r="BE133" s="30">
        <v>90</v>
      </c>
      <c r="BF133" s="30">
        <v>35</v>
      </c>
      <c r="BG133" s="30">
        <v>44</v>
      </c>
      <c r="BH133" s="30">
        <v>96</v>
      </c>
      <c r="BI133" s="30">
        <v>37</v>
      </c>
      <c r="BJ133" s="30">
        <v>47</v>
      </c>
      <c r="BK133" s="30">
        <v>102</v>
      </c>
      <c r="BL133" s="30">
        <v>39</v>
      </c>
      <c r="BM133" s="30">
        <v>50</v>
      </c>
      <c r="BN133" s="30">
        <v>108</v>
      </c>
      <c r="BO133" s="30">
        <v>42</v>
      </c>
      <c r="BP133" s="30">
        <v>53</v>
      </c>
      <c r="BQ133" s="30">
        <v>115</v>
      </c>
      <c r="BR133" s="30">
        <v>44</v>
      </c>
      <c r="BS133" s="30">
        <v>56</v>
      </c>
      <c r="BT133" s="30">
        <v>121</v>
      </c>
      <c r="BU133" s="30">
        <v>47</v>
      </c>
      <c r="BV133" s="30">
        <v>59</v>
      </c>
      <c r="BW133" s="30">
        <v>128</v>
      </c>
      <c r="BX133" s="30">
        <v>49</v>
      </c>
      <c r="BY133" s="30">
        <v>62</v>
      </c>
      <c r="BZ133" s="30">
        <v>135</v>
      </c>
      <c r="CA133" s="30">
        <v>52</v>
      </c>
      <c r="CB133" s="30">
        <v>65</v>
      </c>
      <c r="CC133" s="30">
        <v>141</v>
      </c>
      <c r="CD133" s="30">
        <v>54</v>
      </c>
      <c r="CE133" s="30">
        <v>69</v>
      </c>
      <c r="CF133" s="30">
        <v>148</v>
      </c>
      <c r="CG133" s="30">
        <v>57</v>
      </c>
      <c r="CH133" s="30">
        <v>72</v>
      </c>
      <c r="CI133" s="30">
        <v>155</v>
      </c>
      <c r="CJ133" s="30">
        <v>60</v>
      </c>
      <c r="CK133" s="30">
        <v>75</v>
      </c>
      <c r="CL133" s="30">
        <v>163</v>
      </c>
      <c r="CM133" s="30">
        <v>63</v>
      </c>
    </row>
    <row r="134" spans="1:91" x14ac:dyDescent="0.25">
      <c r="A134" s="29" t="s">
        <v>1655</v>
      </c>
      <c r="B134" s="274">
        <v>60</v>
      </c>
      <c r="C134" s="274">
        <v>40</v>
      </c>
      <c r="D134" s="274">
        <v>40</v>
      </c>
      <c r="E134" s="274">
        <v>66</v>
      </c>
      <c r="F134" s="274">
        <v>44</v>
      </c>
      <c r="G134" s="274">
        <v>44</v>
      </c>
      <c r="H134" s="274">
        <v>77.5</v>
      </c>
      <c r="I134" s="274">
        <v>51.666666666666664</v>
      </c>
      <c r="J134" s="274">
        <v>51.666666666666664</v>
      </c>
      <c r="K134" s="274">
        <v>91</v>
      </c>
      <c r="L134" s="274">
        <v>60.666666666666664</v>
      </c>
      <c r="M134" s="274">
        <v>60.666666666666664</v>
      </c>
      <c r="N134" s="274">
        <v>107.5</v>
      </c>
      <c r="O134" s="274">
        <v>71.666666666666671</v>
      </c>
      <c r="P134" s="274">
        <v>71.666666666666671</v>
      </c>
      <c r="Q134" s="274">
        <v>125.50000000000001</v>
      </c>
      <c r="R134" s="274">
        <v>83.666666666666671</v>
      </c>
      <c r="S134" s="274">
        <v>83.666666666666671</v>
      </c>
      <c r="T134" s="274">
        <v>144.5</v>
      </c>
      <c r="U134" s="274">
        <v>96.333333333333329</v>
      </c>
      <c r="V134" s="274">
        <v>96.333333333333329</v>
      </c>
      <c r="W134" s="274">
        <v>165.5</v>
      </c>
      <c r="X134" s="274">
        <v>110.33333333333333</v>
      </c>
      <c r="Y134" s="274">
        <v>110.33333333333333</v>
      </c>
      <c r="Z134" s="274">
        <v>188</v>
      </c>
      <c r="AA134" s="274">
        <v>125.33333333333333</v>
      </c>
      <c r="AB134" s="274">
        <v>125.33333333333333</v>
      </c>
      <c r="AC134" s="274">
        <v>212</v>
      </c>
      <c r="AD134" s="274">
        <v>141.33333333333334</v>
      </c>
      <c r="AE134" s="274">
        <v>141.33333333333334</v>
      </c>
      <c r="AF134" s="274">
        <v>236.5</v>
      </c>
      <c r="AG134" s="274">
        <v>157.66666666666666</v>
      </c>
      <c r="AH134" s="274">
        <v>157.66666666666666</v>
      </c>
      <c r="AI134" s="274">
        <v>262</v>
      </c>
      <c r="AJ134" s="274">
        <v>174.66666666666666</v>
      </c>
      <c r="AK134" s="274">
        <v>174.66666666666666</v>
      </c>
      <c r="AL134" s="274">
        <v>289.5</v>
      </c>
      <c r="AM134" s="274">
        <v>193</v>
      </c>
      <c r="AN134" s="274">
        <v>193</v>
      </c>
      <c r="AO134" s="274">
        <v>317.5</v>
      </c>
      <c r="AP134" s="274">
        <v>211.66666666666666</v>
      </c>
      <c r="AQ134" s="274">
        <v>211.66666666666666</v>
      </c>
      <c r="AR134" s="274">
        <v>346</v>
      </c>
      <c r="AS134" s="274">
        <v>230.66666666666666</v>
      </c>
      <c r="AT134" s="274">
        <v>230.66666666666666</v>
      </c>
      <c r="AU134" s="274">
        <v>376</v>
      </c>
      <c r="AV134" s="274">
        <v>250.66666666666666</v>
      </c>
      <c r="AW134" s="274">
        <v>250.66666666666666</v>
      </c>
      <c r="AX134" s="274">
        <v>407.5</v>
      </c>
      <c r="AY134" s="274">
        <v>271.66666666666669</v>
      </c>
      <c r="AZ134" s="274">
        <v>271.66666666666669</v>
      </c>
      <c r="BA134" s="274">
        <v>438.5</v>
      </c>
      <c r="BB134" s="274">
        <v>292.33333333333331</v>
      </c>
      <c r="BC134" s="274">
        <v>292.33333333333331</v>
      </c>
      <c r="BD134" s="274">
        <v>471.5</v>
      </c>
      <c r="BE134" s="274">
        <v>314.33333333333331</v>
      </c>
      <c r="BF134" s="274">
        <v>314.33333333333331</v>
      </c>
      <c r="BG134" s="274">
        <v>504.5</v>
      </c>
      <c r="BH134" s="274">
        <v>336.33333333333331</v>
      </c>
      <c r="BI134" s="274">
        <v>336.33333333333331</v>
      </c>
      <c r="BJ134" s="274">
        <v>539</v>
      </c>
      <c r="BK134" s="274">
        <v>359.33333333333331</v>
      </c>
      <c r="BL134" s="274">
        <v>359.33333333333331</v>
      </c>
      <c r="BM134" s="274">
        <v>573.5</v>
      </c>
      <c r="BN134" s="274">
        <v>382.33333333333331</v>
      </c>
      <c r="BO134" s="274">
        <v>382.33333333333331</v>
      </c>
      <c r="BP134" s="274">
        <v>609.5</v>
      </c>
      <c r="BQ134" s="274">
        <v>406.33333333333331</v>
      </c>
      <c r="BR134" s="274">
        <v>406.33333333333331</v>
      </c>
      <c r="BS134" s="274">
        <v>645.5</v>
      </c>
      <c r="BT134" s="274">
        <v>430.33333333333331</v>
      </c>
      <c r="BU134" s="274">
        <v>430.33333333333331</v>
      </c>
      <c r="BV134" s="274">
        <v>682.5</v>
      </c>
      <c r="BW134" s="274">
        <v>455</v>
      </c>
      <c r="BX134" s="274">
        <v>455</v>
      </c>
      <c r="BY134" s="274">
        <v>720</v>
      </c>
      <c r="BZ134" s="274">
        <v>480</v>
      </c>
      <c r="CA134" s="274">
        <v>480</v>
      </c>
      <c r="CB134" s="274">
        <v>758.5</v>
      </c>
      <c r="CC134" s="274">
        <v>505.66666666666669</v>
      </c>
      <c r="CD134" s="274">
        <v>505.66666666666669</v>
      </c>
      <c r="CE134" s="274">
        <v>798</v>
      </c>
      <c r="CF134" s="274">
        <v>532</v>
      </c>
      <c r="CG134" s="274">
        <v>532</v>
      </c>
      <c r="CH134" s="274">
        <v>837.5</v>
      </c>
      <c r="CI134" s="274">
        <v>558.33333333333337</v>
      </c>
      <c r="CJ134" s="274">
        <v>558.33333333333337</v>
      </c>
      <c r="CK134" s="274">
        <v>878.00000000000011</v>
      </c>
      <c r="CL134" s="274">
        <v>585.33333333333337</v>
      </c>
      <c r="CM134" s="274">
        <v>585.33333333333337</v>
      </c>
    </row>
    <row r="135" spans="1:91" x14ac:dyDescent="0.25">
      <c r="A135" s="29" t="s">
        <v>683</v>
      </c>
      <c r="B135" s="30">
        <v>50</v>
      </c>
      <c r="C135" s="30">
        <v>35</v>
      </c>
      <c r="D135" s="30">
        <v>35</v>
      </c>
      <c r="E135" s="30">
        <v>55</v>
      </c>
      <c r="F135" s="30">
        <v>39</v>
      </c>
      <c r="G135" s="30">
        <v>39</v>
      </c>
      <c r="H135" s="30">
        <v>65</v>
      </c>
      <c r="I135" s="30">
        <v>45</v>
      </c>
      <c r="J135" s="30">
        <v>45</v>
      </c>
      <c r="K135" s="30">
        <v>76</v>
      </c>
      <c r="L135" s="30">
        <v>53</v>
      </c>
      <c r="M135" s="30">
        <v>53</v>
      </c>
      <c r="N135" s="30">
        <v>89</v>
      </c>
      <c r="O135" s="30">
        <v>63</v>
      </c>
      <c r="P135" s="30">
        <v>63</v>
      </c>
      <c r="Q135" s="30">
        <v>104</v>
      </c>
      <c r="R135" s="30">
        <v>73</v>
      </c>
      <c r="S135" s="30">
        <v>73</v>
      </c>
      <c r="T135" s="30">
        <v>121</v>
      </c>
      <c r="U135" s="30">
        <v>84</v>
      </c>
      <c r="V135" s="30">
        <v>84</v>
      </c>
      <c r="W135" s="30">
        <v>138</v>
      </c>
      <c r="X135" s="30">
        <v>97</v>
      </c>
      <c r="Y135" s="30">
        <v>97</v>
      </c>
      <c r="Z135" s="30">
        <v>157</v>
      </c>
      <c r="AA135" s="30">
        <v>110</v>
      </c>
      <c r="AB135" s="30">
        <v>110</v>
      </c>
      <c r="AC135" s="30">
        <v>176</v>
      </c>
      <c r="AD135" s="30">
        <v>123</v>
      </c>
      <c r="AE135" s="30">
        <v>123</v>
      </c>
      <c r="AF135" s="30">
        <v>197</v>
      </c>
      <c r="AG135" s="30">
        <v>138</v>
      </c>
      <c r="AH135" s="30">
        <v>138</v>
      </c>
      <c r="AI135" s="30">
        <v>219</v>
      </c>
      <c r="AJ135" s="30">
        <v>153</v>
      </c>
      <c r="AK135" s="30">
        <v>153</v>
      </c>
      <c r="AL135" s="30">
        <v>241</v>
      </c>
      <c r="AM135" s="30">
        <v>169</v>
      </c>
      <c r="AN135" s="30">
        <v>169</v>
      </c>
      <c r="AO135" s="30">
        <v>265</v>
      </c>
      <c r="AP135" s="30">
        <v>185</v>
      </c>
      <c r="AQ135" s="30">
        <v>185</v>
      </c>
      <c r="AR135" s="30">
        <v>289</v>
      </c>
      <c r="AS135" s="30">
        <v>202</v>
      </c>
      <c r="AT135" s="30">
        <v>202</v>
      </c>
      <c r="AU135" s="30">
        <v>314</v>
      </c>
      <c r="AV135" s="30">
        <v>220</v>
      </c>
      <c r="AW135" s="30">
        <v>220</v>
      </c>
      <c r="AX135" s="30">
        <v>339</v>
      </c>
      <c r="AY135" s="30">
        <v>238</v>
      </c>
      <c r="AZ135" s="30">
        <v>238</v>
      </c>
      <c r="BA135" s="30">
        <v>366</v>
      </c>
      <c r="BB135" s="30">
        <v>256</v>
      </c>
      <c r="BC135" s="30">
        <v>256</v>
      </c>
      <c r="BD135" s="30">
        <v>393</v>
      </c>
      <c r="BE135" s="30">
        <v>275</v>
      </c>
      <c r="BF135" s="30">
        <v>275</v>
      </c>
      <c r="BG135" s="30">
        <v>421</v>
      </c>
      <c r="BH135" s="30">
        <v>294</v>
      </c>
      <c r="BI135" s="30">
        <v>294</v>
      </c>
      <c r="BJ135" s="30">
        <v>449</v>
      </c>
      <c r="BK135" s="30">
        <v>314</v>
      </c>
      <c r="BL135" s="30">
        <v>314</v>
      </c>
      <c r="BM135" s="30">
        <v>478</v>
      </c>
      <c r="BN135" s="30">
        <v>335</v>
      </c>
      <c r="BO135" s="30">
        <v>335</v>
      </c>
      <c r="BP135" s="30">
        <v>508</v>
      </c>
      <c r="BQ135" s="30">
        <v>355</v>
      </c>
      <c r="BR135" s="30">
        <v>355</v>
      </c>
      <c r="BS135" s="30">
        <v>538</v>
      </c>
      <c r="BT135" s="30">
        <v>377</v>
      </c>
      <c r="BU135" s="30">
        <v>377</v>
      </c>
      <c r="BV135" s="30">
        <v>569</v>
      </c>
      <c r="BW135" s="30">
        <v>398</v>
      </c>
      <c r="BX135" s="30">
        <v>398</v>
      </c>
      <c r="BY135" s="30">
        <v>600</v>
      </c>
      <c r="BZ135" s="30">
        <v>420</v>
      </c>
      <c r="CA135" s="30">
        <v>420</v>
      </c>
      <c r="CB135" s="30">
        <v>632</v>
      </c>
      <c r="CC135" s="30">
        <v>443</v>
      </c>
      <c r="CD135" s="30">
        <v>443</v>
      </c>
      <c r="CE135" s="30">
        <v>665</v>
      </c>
      <c r="CF135" s="30">
        <v>465</v>
      </c>
      <c r="CG135" s="30">
        <v>465</v>
      </c>
      <c r="CH135" s="30">
        <v>698</v>
      </c>
      <c r="CI135" s="30">
        <v>488</v>
      </c>
      <c r="CJ135" s="30">
        <v>488</v>
      </c>
      <c r="CK135" s="30">
        <v>731</v>
      </c>
      <c r="CL135" s="30">
        <v>512</v>
      </c>
      <c r="CM135" s="30">
        <v>512</v>
      </c>
    </row>
    <row r="136" spans="1:91" x14ac:dyDescent="0.25">
      <c r="A136" s="29" t="s">
        <v>252</v>
      </c>
      <c r="B136" s="30">
        <v>96</v>
      </c>
      <c r="C136" s="30">
        <v>96</v>
      </c>
      <c r="D136" s="30">
        <v>96</v>
      </c>
      <c r="E136" s="30">
        <v>104</v>
      </c>
      <c r="F136" s="30">
        <v>104</v>
      </c>
      <c r="G136" s="30">
        <v>104</v>
      </c>
      <c r="H136" s="30">
        <v>118</v>
      </c>
      <c r="I136" s="30">
        <v>118</v>
      </c>
      <c r="J136" s="30">
        <v>118</v>
      </c>
      <c r="K136" s="30">
        <v>134</v>
      </c>
      <c r="L136" s="30">
        <v>134</v>
      </c>
      <c r="M136" s="30">
        <v>134</v>
      </c>
      <c r="N136" s="30">
        <v>153</v>
      </c>
      <c r="O136" s="30">
        <v>153</v>
      </c>
      <c r="P136" s="30">
        <v>153</v>
      </c>
      <c r="Q136" s="30">
        <v>174</v>
      </c>
      <c r="R136" s="30">
        <v>174</v>
      </c>
      <c r="S136" s="30">
        <v>174</v>
      </c>
      <c r="T136" s="30">
        <v>197</v>
      </c>
      <c r="U136" s="30">
        <v>197</v>
      </c>
      <c r="V136" s="30">
        <v>197</v>
      </c>
      <c r="W136" s="30">
        <v>221</v>
      </c>
      <c r="X136" s="30">
        <v>221</v>
      </c>
      <c r="Y136" s="30">
        <v>221</v>
      </c>
      <c r="Z136" s="30">
        <v>247</v>
      </c>
      <c r="AA136" s="30">
        <v>247</v>
      </c>
      <c r="AB136" s="30">
        <v>247</v>
      </c>
      <c r="AC136" s="30">
        <v>274</v>
      </c>
      <c r="AD136" s="30">
        <v>274</v>
      </c>
      <c r="AE136" s="30">
        <v>274</v>
      </c>
      <c r="AF136" s="30">
        <v>302</v>
      </c>
      <c r="AG136" s="30">
        <v>302</v>
      </c>
      <c r="AH136" s="30">
        <v>302</v>
      </c>
      <c r="AI136" s="30">
        <v>331</v>
      </c>
      <c r="AJ136" s="30">
        <v>331</v>
      </c>
      <c r="AK136" s="30">
        <v>331</v>
      </c>
      <c r="AL136" s="30">
        <v>362</v>
      </c>
      <c r="AM136" s="30">
        <v>362</v>
      </c>
      <c r="AN136" s="30">
        <v>362</v>
      </c>
      <c r="AO136" s="30">
        <v>393</v>
      </c>
      <c r="AP136" s="30">
        <v>393</v>
      </c>
      <c r="AQ136" s="30">
        <v>393</v>
      </c>
      <c r="AR136" s="30">
        <v>426</v>
      </c>
      <c r="AS136" s="30">
        <v>426</v>
      </c>
      <c r="AT136" s="30">
        <v>426</v>
      </c>
      <c r="AU136" s="30">
        <v>459</v>
      </c>
      <c r="AV136" s="30">
        <v>459</v>
      </c>
      <c r="AW136" s="30">
        <v>459</v>
      </c>
      <c r="AX136" s="30">
        <v>493</v>
      </c>
      <c r="AY136" s="30">
        <v>493</v>
      </c>
      <c r="AZ136" s="30">
        <v>493</v>
      </c>
      <c r="BA136" s="30">
        <v>529</v>
      </c>
      <c r="BB136" s="30">
        <v>529</v>
      </c>
      <c r="BC136" s="30">
        <v>529</v>
      </c>
      <c r="BD136" s="30">
        <v>565</v>
      </c>
      <c r="BE136" s="30">
        <v>565</v>
      </c>
      <c r="BF136" s="30">
        <v>565</v>
      </c>
      <c r="BG136" s="30">
        <v>601</v>
      </c>
      <c r="BH136" s="30">
        <v>601</v>
      </c>
      <c r="BI136" s="30">
        <v>601</v>
      </c>
      <c r="BJ136" s="30">
        <v>639</v>
      </c>
      <c r="BK136" s="30">
        <v>639</v>
      </c>
      <c r="BL136" s="30">
        <v>639</v>
      </c>
      <c r="BM136" s="30">
        <v>677</v>
      </c>
      <c r="BN136" s="30">
        <v>677</v>
      </c>
      <c r="BO136" s="30">
        <v>677</v>
      </c>
      <c r="BP136" s="30">
        <v>717</v>
      </c>
      <c r="BQ136" s="30">
        <v>717</v>
      </c>
      <c r="BR136" s="30">
        <v>717</v>
      </c>
      <c r="BS136" s="30">
        <v>756</v>
      </c>
      <c r="BT136" s="30">
        <v>756</v>
      </c>
      <c r="BU136" s="30">
        <v>756</v>
      </c>
      <c r="BV136" s="30">
        <v>797</v>
      </c>
      <c r="BW136" s="30">
        <v>797</v>
      </c>
      <c r="BX136" s="30">
        <v>797</v>
      </c>
      <c r="BY136" s="30">
        <v>838</v>
      </c>
      <c r="BZ136" s="30">
        <v>838</v>
      </c>
      <c r="CA136" s="30">
        <v>838</v>
      </c>
      <c r="CB136" s="30">
        <v>880</v>
      </c>
      <c r="CC136" s="30">
        <v>880</v>
      </c>
      <c r="CD136" s="30">
        <v>880</v>
      </c>
      <c r="CE136" s="30">
        <v>923</v>
      </c>
      <c r="CF136" s="30">
        <v>923</v>
      </c>
      <c r="CG136" s="30">
        <v>923</v>
      </c>
      <c r="CH136" s="30">
        <v>966</v>
      </c>
      <c r="CI136" s="30">
        <v>966</v>
      </c>
      <c r="CJ136" s="30">
        <v>966</v>
      </c>
      <c r="CK136" s="30">
        <v>1010</v>
      </c>
      <c r="CL136" s="30">
        <v>1010</v>
      </c>
      <c r="CM136" s="30">
        <v>1010</v>
      </c>
    </row>
    <row r="137" spans="1:91" x14ac:dyDescent="0.25">
      <c r="A137" s="29" t="s">
        <v>649</v>
      </c>
      <c r="B137" s="30">
        <v>25</v>
      </c>
      <c r="C137" s="30">
        <v>45</v>
      </c>
      <c r="D137" s="30">
        <v>50</v>
      </c>
      <c r="E137" s="30">
        <v>28</v>
      </c>
      <c r="F137" s="30">
        <v>50</v>
      </c>
      <c r="G137" s="30">
        <v>55</v>
      </c>
      <c r="H137" s="30">
        <v>32</v>
      </c>
      <c r="I137" s="30">
        <v>58</v>
      </c>
      <c r="J137" s="30">
        <v>65</v>
      </c>
      <c r="K137" s="30">
        <v>38</v>
      </c>
      <c r="L137" s="30">
        <v>68</v>
      </c>
      <c r="M137" s="30">
        <v>76</v>
      </c>
      <c r="N137" s="30">
        <v>45</v>
      </c>
      <c r="O137" s="30">
        <v>80</v>
      </c>
      <c r="P137" s="30">
        <v>89</v>
      </c>
      <c r="Q137" s="30">
        <v>52</v>
      </c>
      <c r="R137" s="30">
        <v>94</v>
      </c>
      <c r="S137" s="30">
        <v>104</v>
      </c>
      <c r="T137" s="30">
        <v>60</v>
      </c>
      <c r="U137" s="30">
        <v>108</v>
      </c>
      <c r="V137" s="30">
        <v>121</v>
      </c>
      <c r="W137" s="30">
        <v>69</v>
      </c>
      <c r="X137" s="30">
        <v>124</v>
      </c>
      <c r="Y137" s="30">
        <v>138</v>
      </c>
      <c r="Z137" s="30">
        <v>78</v>
      </c>
      <c r="AA137" s="30">
        <v>141</v>
      </c>
      <c r="AB137" s="30">
        <v>157</v>
      </c>
      <c r="AC137" s="30">
        <v>88</v>
      </c>
      <c r="AD137" s="30">
        <v>159</v>
      </c>
      <c r="AE137" s="30">
        <v>176</v>
      </c>
      <c r="AF137" s="30">
        <v>99</v>
      </c>
      <c r="AG137" s="30">
        <v>177</v>
      </c>
      <c r="AH137" s="30">
        <v>197</v>
      </c>
      <c r="AI137" s="30">
        <v>109</v>
      </c>
      <c r="AJ137" s="30">
        <v>197</v>
      </c>
      <c r="AK137" s="30">
        <v>219</v>
      </c>
      <c r="AL137" s="30">
        <v>121</v>
      </c>
      <c r="AM137" s="30">
        <v>217</v>
      </c>
      <c r="AN137" s="30">
        <v>241</v>
      </c>
      <c r="AO137" s="30">
        <v>132</v>
      </c>
      <c r="AP137" s="30">
        <v>238</v>
      </c>
      <c r="AQ137" s="30">
        <v>265</v>
      </c>
      <c r="AR137" s="30">
        <v>144</v>
      </c>
      <c r="AS137" s="30">
        <v>260</v>
      </c>
      <c r="AT137" s="30">
        <v>289</v>
      </c>
      <c r="AU137" s="30">
        <v>157</v>
      </c>
      <c r="AV137" s="30">
        <v>282</v>
      </c>
      <c r="AW137" s="30">
        <v>314</v>
      </c>
      <c r="AX137" s="30">
        <v>170</v>
      </c>
      <c r="AY137" s="30">
        <v>305</v>
      </c>
      <c r="AZ137" s="30">
        <v>339</v>
      </c>
      <c r="BA137" s="30">
        <v>183</v>
      </c>
      <c r="BB137" s="30">
        <v>329</v>
      </c>
      <c r="BC137" s="30">
        <v>366</v>
      </c>
      <c r="BD137" s="30">
        <v>196</v>
      </c>
      <c r="BE137" s="30">
        <v>354</v>
      </c>
      <c r="BF137" s="30">
        <v>393</v>
      </c>
      <c r="BG137" s="30">
        <v>210</v>
      </c>
      <c r="BH137" s="30">
        <v>379</v>
      </c>
      <c r="BI137" s="30">
        <v>421</v>
      </c>
      <c r="BJ137" s="30">
        <v>225</v>
      </c>
      <c r="BK137" s="30">
        <v>404</v>
      </c>
      <c r="BL137" s="30">
        <v>449</v>
      </c>
      <c r="BM137" s="30">
        <v>239</v>
      </c>
      <c r="BN137" s="30">
        <v>430</v>
      </c>
      <c r="BO137" s="30">
        <v>478</v>
      </c>
      <c r="BP137" s="30">
        <v>254</v>
      </c>
      <c r="BQ137" s="30">
        <v>457</v>
      </c>
      <c r="BR137" s="30">
        <v>508</v>
      </c>
      <c r="BS137" s="30">
        <v>269</v>
      </c>
      <c r="BT137" s="30">
        <v>484</v>
      </c>
      <c r="BU137" s="30">
        <v>538</v>
      </c>
      <c r="BV137" s="30">
        <v>284</v>
      </c>
      <c r="BW137" s="30">
        <v>512</v>
      </c>
      <c r="BX137" s="30">
        <v>569</v>
      </c>
      <c r="BY137" s="30">
        <v>300</v>
      </c>
      <c r="BZ137" s="30">
        <v>540</v>
      </c>
      <c r="CA137" s="30">
        <v>600</v>
      </c>
      <c r="CB137" s="30">
        <v>316</v>
      </c>
      <c r="CC137" s="30">
        <v>569</v>
      </c>
      <c r="CD137" s="30">
        <v>632</v>
      </c>
      <c r="CE137" s="30">
        <v>332</v>
      </c>
      <c r="CF137" s="30">
        <v>598</v>
      </c>
      <c r="CG137" s="30">
        <v>665</v>
      </c>
      <c r="CH137" s="30">
        <v>349</v>
      </c>
      <c r="CI137" s="30">
        <v>628</v>
      </c>
      <c r="CJ137" s="30">
        <v>698</v>
      </c>
      <c r="CK137" s="30">
        <v>366</v>
      </c>
      <c r="CL137" s="30">
        <v>658</v>
      </c>
      <c r="CM137" s="30">
        <v>731</v>
      </c>
    </row>
    <row r="138" spans="1:91" x14ac:dyDescent="0.25">
      <c r="A138" s="29" t="s">
        <v>684</v>
      </c>
      <c r="B138" s="30">
        <v>35</v>
      </c>
      <c r="C138" s="30">
        <v>50</v>
      </c>
      <c r="D138" s="30">
        <v>35</v>
      </c>
      <c r="E138" s="30">
        <v>39</v>
      </c>
      <c r="F138" s="30">
        <v>55</v>
      </c>
      <c r="G138" s="30">
        <v>39</v>
      </c>
      <c r="H138" s="30">
        <v>45</v>
      </c>
      <c r="I138" s="30">
        <v>65</v>
      </c>
      <c r="J138" s="30">
        <v>45</v>
      </c>
      <c r="K138" s="30">
        <v>53</v>
      </c>
      <c r="L138" s="30">
        <v>76</v>
      </c>
      <c r="M138" s="30">
        <v>53</v>
      </c>
      <c r="N138" s="30">
        <v>63</v>
      </c>
      <c r="O138" s="30">
        <v>89</v>
      </c>
      <c r="P138" s="30">
        <v>63</v>
      </c>
      <c r="Q138" s="30">
        <v>73</v>
      </c>
      <c r="R138" s="30">
        <v>104</v>
      </c>
      <c r="S138" s="30">
        <v>73</v>
      </c>
      <c r="T138" s="30">
        <v>84</v>
      </c>
      <c r="U138" s="30">
        <v>121</v>
      </c>
      <c r="V138" s="30">
        <v>84</v>
      </c>
      <c r="W138" s="30">
        <v>97</v>
      </c>
      <c r="X138" s="30">
        <v>138</v>
      </c>
      <c r="Y138" s="30">
        <v>97</v>
      </c>
      <c r="Z138" s="30">
        <v>110</v>
      </c>
      <c r="AA138" s="30">
        <v>157</v>
      </c>
      <c r="AB138" s="30">
        <v>110</v>
      </c>
      <c r="AC138" s="30">
        <v>123</v>
      </c>
      <c r="AD138" s="30">
        <v>176</v>
      </c>
      <c r="AE138" s="30">
        <v>123</v>
      </c>
      <c r="AF138" s="30">
        <v>138</v>
      </c>
      <c r="AG138" s="30">
        <v>197</v>
      </c>
      <c r="AH138" s="30">
        <v>138</v>
      </c>
      <c r="AI138" s="30">
        <v>153</v>
      </c>
      <c r="AJ138" s="30">
        <v>219</v>
      </c>
      <c r="AK138" s="30">
        <v>153</v>
      </c>
      <c r="AL138" s="30">
        <v>169</v>
      </c>
      <c r="AM138" s="30">
        <v>241</v>
      </c>
      <c r="AN138" s="30">
        <v>169</v>
      </c>
      <c r="AO138" s="30">
        <v>185</v>
      </c>
      <c r="AP138" s="30">
        <v>265</v>
      </c>
      <c r="AQ138" s="30">
        <v>185</v>
      </c>
      <c r="AR138" s="30">
        <v>202</v>
      </c>
      <c r="AS138" s="30">
        <v>289</v>
      </c>
      <c r="AT138" s="30">
        <v>202</v>
      </c>
      <c r="AU138" s="30">
        <v>220</v>
      </c>
      <c r="AV138" s="30">
        <v>314</v>
      </c>
      <c r="AW138" s="30">
        <v>220</v>
      </c>
      <c r="AX138" s="30">
        <v>238</v>
      </c>
      <c r="AY138" s="30">
        <v>339</v>
      </c>
      <c r="AZ138" s="30">
        <v>238</v>
      </c>
      <c r="BA138" s="30">
        <v>256</v>
      </c>
      <c r="BB138" s="30">
        <v>366</v>
      </c>
      <c r="BC138" s="30">
        <v>256</v>
      </c>
      <c r="BD138" s="30">
        <v>275</v>
      </c>
      <c r="BE138" s="30">
        <v>393</v>
      </c>
      <c r="BF138" s="30">
        <v>275</v>
      </c>
      <c r="BG138" s="30">
        <v>294</v>
      </c>
      <c r="BH138" s="30">
        <v>421</v>
      </c>
      <c r="BI138" s="30">
        <v>294</v>
      </c>
      <c r="BJ138" s="30">
        <v>314</v>
      </c>
      <c r="BK138" s="30">
        <v>449</v>
      </c>
      <c r="BL138" s="30">
        <v>314</v>
      </c>
      <c r="BM138" s="30">
        <v>335</v>
      </c>
      <c r="BN138" s="30">
        <v>478</v>
      </c>
      <c r="BO138" s="30">
        <v>335</v>
      </c>
      <c r="BP138" s="30">
        <v>355</v>
      </c>
      <c r="BQ138" s="30">
        <v>508</v>
      </c>
      <c r="BR138" s="30">
        <v>355</v>
      </c>
      <c r="BS138" s="30">
        <v>377</v>
      </c>
      <c r="BT138" s="30">
        <v>538</v>
      </c>
      <c r="BU138" s="30">
        <v>377</v>
      </c>
      <c r="BV138" s="30">
        <v>398</v>
      </c>
      <c r="BW138" s="30">
        <v>569</v>
      </c>
      <c r="BX138" s="30">
        <v>398</v>
      </c>
      <c r="BY138" s="30">
        <v>420</v>
      </c>
      <c r="BZ138" s="30">
        <v>600</v>
      </c>
      <c r="CA138" s="30">
        <v>420</v>
      </c>
      <c r="CB138" s="30">
        <v>443</v>
      </c>
      <c r="CC138" s="30">
        <v>632</v>
      </c>
      <c r="CD138" s="30">
        <v>443</v>
      </c>
      <c r="CE138" s="30">
        <v>465</v>
      </c>
      <c r="CF138" s="30">
        <v>665</v>
      </c>
      <c r="CG138" s="30">
        <v>465</v>
      </c>
      <c r="CH138" s="30">
        <v>488</v>
      </c>
      <c r="CI138" s="30">
        <v>698</v>
      </c>
      <c r="CJ138" s="30">
        <v>488</v>
      </c>
      <c r="CK138" s="30">
        <v>512</v>
      </c>
      <c r="CL138" s="30">
        <v>731</v>
      </c>
      <c r="CM138" s="30">
        <v>512</v>
      </c>
    </row>
    <row r="139" spans="1:91" x14ac:dyDescent="0.25">
      <c r="A139" s="29" t="s">
        <v>253</v>
      </c>
      <c r="B139" s="30">
        <v>48</v>
      </c>
      <c r="C139" s="30">
        <v>192</v>
      </c>
      <c r="D139" s="30">
        <v>48</v>
      </c>
      <c r="E139" s="30">
        <v>52</v>
      </c>
      <c r="F139" s="30">
        <v>208</v>
      </c>
      <c r="G139" s="30">
        <v>52</v>
      </c>
      <c r="H139" s="30">
        <v>59</v>
      </c>
      <c r="I139" s="30">
        <v>235</v>
      </c>
      <c r="J139" s="30">
        <v>59</v>
      </c>
      <c r="K139" s="30">
        <v>67</v>
      </c>
      <c r="L139" s="30">
        <v>268</v>
      </c>
      <c r="M139" s="30">
        <v>67</v>
      </c>
      <c r="N139" s="30">
        <v>77</v>
      </c>
      <c r="O139" s="30">
        <v>306</v>
      </c>
      <c r="P139" s="30">
        <v>77</v>
      </c>
      <c r="Q139" s="30">
        <v>87</v>
      </c>
      <c r="R139" s="30">
        <v>348</v>
      </c>
      <c r="S139" s="30">
        <v>87</v>
      </c>
      <c r="T139" s="30">
        <v>98</v>
      </c>
      <c r="U139" s="30">
        <v>393</v>
      </c>
      <c r="V139" s="30">
        <v>98</v>
      </c>
      <c r="W139" s="30">
        <v>110</v>
      </c>
      <c r="X139" s="30">
        <v>442</v>
      </c>
      <c r="Y139" s="30">
        <v>110</v>
      </c>
      <c r="Z139" s="30">
        <v>123</v>
      </c>
      <c r="AA139" s="30">
        <v>493</v>
      </c>
      <c r="AB139" s="30">
        <v>123</v>
      </c>
      <c r="AC139" s="30">
        <v>137</v>
      </c>
      <c r="AD139" s="30">
        <v>547</v>
      </c>
      <c r="AE139" s="30">
        <v>137</v>
      </c>
      <c r="AF139" s="30">
        <v>151</v>
      </c>
      <c r="AG139" s="30">
        <v>604</v>
      </c>
      <c r="AH139" s="30">
        <v>151</v>
      </c>
      <c r="AI139" s="30">
        <v>166</v>
      </c>
      <c r="AJ139" s="30">
        <v>662</v>
      </c>
      <c r="AK139" s="30">
        <v>166</v>
      </c>
      <c r="AL139" s="30">
        <v>181</v>
      </c>
      <c r="AM139" s="30">
        <v>723</v>
      </c>
      <c r="AN139" s="30">
        <v>181</v>
      </c>
      <c r="AO139" s="30">
        <v>197</v>
      </c>
      <c r="AP139" s="30">
        <v>786</v>
      </c>
      <c r="AQ139" s="30">
        <v>197</v>
      </c>
      <c r="AR139" s="30">
        <v>213</v>
      </c>
      <c r="AS139" s="30">
        <v>851</v>
      </c>
      <c r="AT139" s="30">
        <v>213</v>
      </c>
      <c r="AU139" s="30">
        <v>230</v>
      </c>
      <c r="AV139" s="30">
        <v>918</v>
      </c>
      <c r="AW139" s="30">
        <v>230</v>
      </c>
      <c r="AX139" s="30">
        <v>247</v>
      </c>
      <c r="AY139" s="30">
        <v>987</v>
      </c>
      <c r="AZ139" s="30">
        <v>247</v>
      </c>
      <c r="BA139" s="30">
        <v>264</v>
      </c>
      <c r="BB139" s="30">
        <v>1057</v>
      </c>
      <c r="BC139" s="30">
        <v>264</v>
      </c>
      <c r="BD139" s="30">
        <v>282</v>
      </c>
      <c r="BE139" s="30">
        <v>1129</v>
      </c>
      <c r="BF139" s="30">
        <v>282</v>
      </c>
      <c r="BG139" s="30">
        <v>301</v>
      </c>
      <c r="BH139" s="30">
        <v>1203</v>
      </c>
      <c r="BI139" s="30">
        <v>301</v>
      </c>
      <c r="BJ139" s="30">
        <v>320</v>
      </c>
      <c r="BK139" s="30">
        <v>1278</v>
      </c>
      <c r="BL139" s="30">
        <v>320</v>
      </c>
      <c r="BM139" s="30">
        <v>339</v>
      </c>
      <c r="BN139" s="30">
        <v>1355</v>
      </c>
      <c r="BO139" s="30">
        <v>339</v>
      </c>
      <c r="BP139" s="30">
        <v>358</v>
      </c>
      <c r="BQ139" s="30">
        <v>1433</v>
      </c>
      <c r="BR139" s="30">
        <v>358</v>
      </c>
      <c r="BS139" s="30">
        <v>378</v>
      </c>
      <c r="BT139" s="30">
        <v>1513</v>
      </c>
      <c r="BU139" s="30">
        <v>378</v>
      </c>
      <c r="BV139" s="30">
        <v>398</v>
      </c>
      <c r="BW139" s="30">
        <v>1594</v>
      </c>
      <c r="BX139" s="30">
        <v>398</v>
      </c>
      <c r="BY139" s="30">
        <v>419</v>
      </c>
      <c r="BZ139" s="30">
        <v>1676</v>
      </c>
      <c r="CA139" s="30">
        <v>419</v>
      </c>
      <c r="CB139" s="30">
        <v>440</v>
      </c>
      <c r="CC139" s="30">
        <v>1760</v>
      </c>
      <c r="CD139" s="30">
        <v>440</v>
      </c>
      <c r="CE139" s="30">
        <v>461</v>
      </c>
      <c r="CF139" s="30">
        <v>1845</v>
      </c>
      <c r="CG139" s="30">
        <v>461</v>
      </c>
      <c r="CH139" s="30">
        <v>483</v>
      </c>
      <c r="CI139" s="30">
        <v>1932</v>
      </c>
      <c r="CJ139" s="30">
        <v>483</v>
      </c>
      <c r="CK139" s="30">
        <v>505</v>
      </c>
      <c r="CL139" s="30">
        <v>2019</v>
      </c>
      <c r="CM139" s="30">
        <v>505</v>
      </c>
    </row>
    <row r="140" spans="1:91" x14ac:dyDescent="0.25">
      <c r="A140" s="29" t="s">
        <v>650</v>
      </c>
      <c r="B140" s="30">
        <v>50</v>
      </c>
      <c r="C140" s="30">
        <v>45</v>
      </c>
      <c r="D140" s="30">
        <v>25</v>
      </c>
      <c r="E140" s="30">
        <v>55</v>
      </c>
      <c r="F140" s="30">
        <v>50</v>
      </c>
      <c r="G140" s="30">
        <v>28</v>
      </c>
      <c r="H140" s="30">
        <v>65</v>
      </c>
      <c r="I140" s="30">
        <v>58</v>
      </c>
      <c r="J140" s="30">
        <v>32</v>
      </c>
      <c r="K140" s="30">
        <v>76</v>
      </c>
      <c r="L140" s="30">
        <v>68</v>
      </c>
      <c r="M140" s="30">
        <v>38</v>
      </c>
      <c r="N140" s="30">
        <v>89</v>
      </c>
      <c r="O140" s="30">
        <v>80</v>
      </c>
      <c r="P140" s="30">
        <v>45</v>
      </c>
      <c r="Q140" s="30">
        <v>104</v>
      </c>
      <c r="R140" s="30">
        <v>94</v>
      </c>
      <c r="S140" s="30">
        <v>52</v>
      </c>
      <c r="T140" s="30">
        <v>121</v>
      </c>
      <c r="U140" s="30">
        <v>108</v>
      </c>
      <c r="V140" s="30">
        <v>60</v>
      </c>
      <c r="W140" s="30">
        <v>138</v>
      </c>
      <c r="X140" s="30">
        <v>124</v>
      </c>
      <c r="Y140" s="30">
        <v>69</v>
      </c>
      <c r="Z140" s="30">
        <v>157</v>
      </c>
      <c r="AA140" s="30">
        <v>141</v>
      </c>
      <c r="AB140" s="30">
        <v>78</v>
      </c>
      <c r="AC140" s="30">
        <v>176</v>
      </c>
      <c r="AD140" s="30">
        <v>159</v>
      </c>
      <c r="AE140" s="30">
        <v>88</v>
      </c>
      <c r="AF140" s="30">
        <v>197</v>
      </c>
      <c r="AG140" s="30">
        <v>177</v>
      </c>
      <c r="AH140" s="30">
        <v>99</v>
      </c>
      <c r="AI140" s="30">
        <v>219</v>
      </c>
      <c r="AJ140" s="30">
        <v>197</v>
      </c>
      <c r="AK140" s="30">
        <v>109</v>
      </c>
      <c r="AL140" s="30">
        <v>241</v>
      </c>
      <c r="AM140" s="30">
        <v>217</v>
      </c>
      <c r="AN140" s="30">
        <v>121</v>
      </c>
      <c r="AO140" s="30">
        <v>265</v>
      </c>
      <c r="AP140" s="30">
        <v>238</v>
      </c>
      <c r="AQ140" s="30">
        <v>132</v>
      </c>
      <c r="AR140" s="30">
        <v>289</v>
      </c>
      <c r="AS140" s="30">
        <v>260</v>
      </c>
      <c r="AT140" s="30">
        <v>144</v>
      </c>
      <c r="AU140" s="30">
        <v>314</v>
      </c>
      <c r="AV140" s="30">
        <v>282</v>
      </c>
      <c r="AW140" s="30">
        <v>157</v>
      </c>
      <c r="AX140" s="30">
        <v>339</v>
      </c>
      <c r="AY140" s="30">
        <v>305</v>
      </c>
      <c r="AZ140" s="30">
        <v>170</v>
      </c>
      <c r="BA140" s="30">
        <v>366</v>
      </c>
      <c r="BB140" s="30">
        <v>329</v>
      </c>
      <c r="BC140" s="30">
        <v>183</v>
      </c>
      <c r="BD140" s="30">
        <v>393</v>
      </c>
      <c r="BE140" s="30">
        <v>354</v>
      </c>
      <c r="BF140" s="30">
        <v>196</v>
      </c>
      <c r="BG140" s="30">
        <v>421</v>
      </c>
      <c r="BH140" s="30">
        <v>379</v>
      </c>
      <c r="BI140" s="30">
        <v>210</v>
      </c>
      <c r="BJ140" s="30">
        <v>449</v>
      </c>
      <c r="BK140" s="30">
        <v>404</v>
      </c>
      <c r="BL140" s="30">
        <v>225</v>
      </c>
      <c r="BM140" s="30">
        <v>478</v>
      </c>
      <c r="BN140" s="30">
        <v>430</v>
      </c>
      <c r="BO140" s="30">
        <v>239</v>
      </c>
      <c r="BP140" s="30">
        <v>508</v>
      </c>
      <c r="BQ140" s="30">
        <v>457</v>
      </c>
      <c r="BR140" s="30">
        <v>254</v>
      </c>
      <c r="BS140" s="30">
        <v>538</v>
      </c>
      <c r="BT140" s="30">
        <v>484</v>
      </c>
      <c r="BU140" s="30">
        <v>269</v>
      </c>
      <c r="BV140" s="30">
        <v>569</v>
      </c>
      <c r="BW140" s="30">
        <v>512</v>
      </c>
      <c r="BX140" s="30">
        <v>284</v>
      </c>
      <c r="BY140" s="30">
        <v>600</v>
      </c>
      <c r="BZ140" s="30">
        <v>540</v>
      </c>
      <c r="CA140" s="30">
        <v>300</v>
      </c>
      <c r="CB140" s="30">
        <v>632</v>
      </c>
      <c r="CC140" s="30">
        <v>569</v>
      </c>
      <c r="CD140" s="30">
        <v>316</v>
      </c>
      <c r="CE140" s="30">
        <v>665</v>
      </c>
      <c r="CF140" s="30">
        <v>598</v>
      </c>
      <c r="CG140" s="30">
        <v>332</v>
      </c>
      <c r="CH140" s="30">
        <v>698</v>
      </c>
      <c r="CI140" s="30">
        <v>628</v>
      </c>
      <c r="CJ140" s="30">
        <v>349</v>
      </c>
      <c r="CK140" s="30">
        <v>731</v>
      </c>
      <c r="CL140" s="30">
        <v>658</v>
      </c>
      <c r="CM140" s="30">
        <v>366</v>
      </c>
    </row>
    <row r="141" spans="1:91" x14ac:dyDescent="0.25">
      <c r="A141" s="29" t="s">
        <v>1963</v>
      </c>
      <c r="B141" s="30">
        <v>20</v>
      </c>
      <c r="C141" s="30">
        <v>50</v>
      </c>
      <c r="D141" s="30">
        <v>50</v>
      </c>
      <c r="E141" s="30">
        <v>22</v>
      </c>
      <c r="F141" s="30">
        <v>55</v>
      </c>
      <c r="G141" s="30">
        <v>55</v>
      </c>
      <c r="H141" s="30">
        <v>26</v>
      </c>
      <c r="I141" s="30">
        <v>65</v>
      </c>
      <c r="J141" s="30">
        <v>65</v>
      </c>
      <c r="K141" s="30">
        <v>30</v>
      </c>
      <c r="L141" s="30">
        <v>76</v>
      </c>
      <c r="M141" s="30">
        <v>76</v>
      </c>
      <c r="N141" s="30">
        <v>36</v>
      </c>
      <c r="O141" s="30">
        <v>89</v>
      </c>
      <c r="P141" s="30">
        <v>89</v>
      </c>
      <c r="Q141" s="30">
        <v>42</v>
      </c>
      <c r="R141" s="30">
        <v>104</v>
      </c>
      <c r="S141" s="30">
        <v>104</v>
      </c>
      <c r="T141" s="30">
        <v>48</v>
      </c>
      <c r="U141" s="30">
        <v>121</v>
      </c>
      <c r="V141" s="30">
        <v>121</v>
      </c>
      <c r="W141" s="30">
        <v>55</v>
      </c>
      <c r="X141" s="30">
        <v>138</v>
      </c>
      <c r="Y141" s="30">
        <v>138</v>
      </c>
      <c r="Z141" s="30">
        <v>63</v>
      </c>
      <c r="AA141" s="30">
        <v>157</v>
      </c>
      <c r="AB141" s="30">
        <v>157</v>
      </c>
      <c r="AC141" s="30">
        <v>71</v>
      </c>
      <c r="AD141" s="30">
        <v>176</v>
      </c>
      <c r="AE141" s="30">
        <v>176</v>
      </c>
      <c r="AF141" s="30">
        <v>79</v>
      </c>
      <c r="AG141" s="30">
        <v>197</v>
      </c>
      <c r="AH141" s="30">
        <v>197</v>
      </c>
      <c r="AI141" s="30">
        <v>87</v>
      </c>
      <c r="AJ141" s="30">
        <v>219</v>
      </c>
      <c r="AK141" s="30">
        <v>219</v>
      </c>
      <c r="AL141" s="30">
        <v>96</v>
      </c>
      <c r="AM141" s="30">
        <v>241</v>
      </c>
      <c r="AN141" s="30">
        <v>241</v>
      </c>
      <c r="AO141" s="30">
        <v>106</v>
      </c>
      <c r="AP141" s="30">
        <v>265</v>
      </c>
      <c r="AQ141" s="30">
        <v>265</v>
      </c>
      <c r="AR141" s="30">
        <v>115</v>
      </c>
      <c r="AS141" s="30">
        <v>289</v>
      </c>
      <c r="AT141" s="30">
        <v>289</v>
      </c>
      <c r="AU141" s="30">
        <v>125</v>
      </c>
      <c r="AV141" s="30">
        <v>314</v>
      </c>
      <c r="AW141" s="30">
        <v>314</v>
      </c>
      <c r="AX141" s="30">
        <v>136</v>
      </c>
      <c r="AY141" s="30">
        <v>339</v>
      </c>
      <c r="AZ141" s="30">
        <v>339</v>
      </c>
      <c r="BA141" s="30">
        <v>146</v>
      </c>
      <c r="BB141" s="30">
        <v>366</v>
      </c>
      <c r="BC141" s="30">
        <v>366</v>
      </c>
      <c r="BD141" s="30">
        <v>157</v>
      </c>
      <c r="BE141" s="30">
        <v>393</v>
      </c>
      <c r="BF141" s="30">
        <v>393</v>
      </c>
      <c r="BG141" s="30">
        <v>168</v>
      </c>
      <c r="BH141" s="30">
        <v>421</v>
      </c>
      <c r="BI141" s="30">
        <v>421</v>
      </c>
      <c r="BJ141" s="30">
        <v>180</v>
      </c>
      <c r="BK141" s="30">
        <v>449</v>
      </c>
      <c r="BL141" s="30">
        <v>449</v>
      </c>
      <c r="BM141" s="30">
        <v>191</v>
      </c>
      <c r="BN141" s="30">
        <v>478</v>
      </c>
      <c r="BO141" s="30">
        <v>478</v>
      </c>
      <c r="BP141" s="30">
        <v>203</v>
      </c>
      <c r="BQ141" s="30">
        <v>508</v>
      </c>
      <c r="BR141" s="30">
        <v>508</v>
      </c>
      <c r="BS141" s="30">
        <v>215</v>
      </c>
      <c r="BT141" s="30">
        <v>538</v>
      </c>
      <c r="BU141" s="30">
        <v>538</v>
      </c>
      <c r="BV141" s="30">
        <v>228</v>
      </c>
      <c r="BW141" s="30">
        <v>569</v>
      </c>
      <c r="BX141" s="30">
        <v>569</v>
      </c>
      <c r="BY141" s="30">
        <v>240</v>
      </c>
      <c r="BZ141" s="30">
        <v>600</v>
      </c>
      <c r="CA141" s="30">
        <v>600</v>
      </c>
      <c r="CB141" s="30">
        <v>253</v>
      </c>
      <c r="CC141" s="30">
        <v>632</v>
      </c>
      <c r="CD141" s="30">
        <v>632</v>
      </c>
      <c r="CE141" s="30">
        <v>266</v>
      </c>
      <c r="CF141" s="30">
        <v>665</v>
      </c>
      <c r="CG141" s="30">
        <v>665</v>
      </c>
      <c r="CH141" s="30">
        <v>279</v>
      </c>
      <c r="CI141" s="30">
        <v>698</v>
      </c>
      <c r="CJ141" s="30">
        <v>698</v>
      </c>
      <c r="CK141" s="30">
        <v>293</v>
      </c>
      <c r="CL141" s="30">
        <v>731</v>
      </c>
      <c r="CM141" s="30">
        <v>731</v>
      </c>
    </row>
    <row r="142" spans="1:91" x14ac:dyDescent="0.25">
      <c r="A142" s="29" t="s">
        <v>25</v>
      </c>
      <c r="B142" s="30">
        <v>10</v>
      </c>
      <c r="C142" s="30">
        <v>70</v>
      </c>
      <c r="D142" s="30">
        <v>40</v>
      </c>
      <c r="E142" s="30">
        <v>11</v>
      </c>
      <c r="F142" s="30">
        <v>77</v>
      </c>
      <c r="G142" s="30">
        <v>44</v>
      </c>
      <c r="H142" s="30">
        <v>13</v>
      </c>
      <c r="I142" s="30">
        <v>90</v>
      </c>
      <c r="J142" s="30">
        <v>52</v>
      </c>
      <c r="K142" s="30">
        <v>15</v>
      </c>
      <c r="L142" s="30">
        <v>106</v>
      </c>
      <c r="M142" s="30">
        <v>61</v>
      </c>
      <c r="N142" s="30">
        <v>18</v>
      </c>
      <c r="O142" s="30">
        <v>125</v>
      </c>
      <c r="P142" s="30">
        <v>71</v>
      </c>
      <c r="Q142" s="30">
        <v>21</v>
      </c>
      <c r="R142" s="30">
        <v>146</v>
      </c>
      <c r="S142" s="30">
        <v>83</v>
      </c>
      <c r="T142" s="30">
        <v>24</v>
      </c>
      <c r="U142" s="30">
        <v>169</v>
      </c>
      <c r="V142" s="30">
        <v>96</v>
      </c>
      <c r="W142" s="30">
        <v>28</v>
      </c>
      <c r="X142" s="30">
        <v>193</v>
      </c>
      <c r="Y142" s="30">
        <v>110</v>
      </c>
      <c r="Z142" s="30">
        <v>31</v>
      </c>
      <c r="AA142" s="30">
        <v>219</v>
      </c>
      <c r="AB142" s="30">
        <v>125</v>
      </c>
      <c r="AC142" s="30">
        <v>35</v>
      </c>
      <c r="AD142" s="30">
        <v>247</v>
      </c>
      <c r="AE142" s="30">
        <v>141</v>
      </c>
      <c r="AF142" s="30">
        <v>39</v>
      </c>
      <c r="AG142" s="30">
        <v>276</v>
      </c>
      <c r="AH142" s="30">
        <v>158</v>
      </c>
      <c r="AI142" s="30">
        <v>44</v>
      </c>
      <c r="AJ142" s="30">
        <v>306</v>
      </c>
      <c r="AK142" s="30">
        <v>175</v>
      </c>
      <c r="AL142" s="30">
        <v>48</v>
      </c>
      <c r="AM142" s="30">
        <v>338</v>
      </c>
      <c r="AN142" s="30">
        <v>193</v>
      </c>
      <c r="AO142" s="30">
        <v>53</v>
      </c>
      <c r="AP142" s="30">
        <v>370</v>
      </c>
      <c r="AQ142" s="30">
        <v>212</v>
      </c>
      <c r="AR142" s="30">
        <v>58</v>
      </c>
      <c r="AS142" s="30">
        <v>404</v>
      </c>
      <c r="AT142" s="30">
        <v>231</v>
      </c>
      <c r="AU142" s="30">
        <v>63</v>
      </c>
      <c r="AV142" s="30">
        <v>439</v>
      </c>
      <c r="AW142" s="30">
        <v>251</v>
      </c>
      <c r="AX142" s="30">
        <v>68</v>
      </c>
      <c r="AY142" s="30">
        <v>475</v>
      </c>
      <c r="AZ142" s="30">
        <v>271</v>
      </c>
      <c r="BA142" s="30">
        <v>73</v>
      </c>
      <c r="BB142" s="30">
        <v>512</v>
      </c>
      <c r="BC142" s="30">
        <v>293</v>
      </c>
      <c r="BD142" s="30">
        <v>79</v>
      </c>
      <c r="BE142" s="30">
        <v>550</v>
      </c>
      <c r="BF142" s="30">
        <v>314</v>
      </c>
      <c r="BG142" s="30">
        <v>84</v>
      </c>
      <c r="BH142" s="30">
        <v>589</v>
      </c>
      <c r="BI142" s="30">
        <v>336</v>
      </c>
      <c r="BJ142" s="30">
        <v>90</v>
      </c>
      <c r="BK142" s="30">
        <v>629</v>
      </c>
      <c r="BL142" s="30">
        <v>359</v>
      </c>
      <c r="BM142" s="30">
        <v>96</v>
      </c>
      <c r="BN142" s="30">
        <v>669</v>
      </c>
      <c r="BO142" s="30">
        <v>382</v>
      </c>
      <c r="BP142" s="30">
        <v>102</v>
      </c>
      <c r="BQ142" s="30">
        <v>711</v>
      </c>
      <c r="BR142" s="30">
        <v>406</v>
      </c>
      <c r="BS142" s="30">
        <v>108</v>
      </c>
      <c r="BT142" s="30">
        <v>753</v>
      </c>
      <c r="BU142" s="30">
        <v>430</v>
      </c>
      <c r="BV142" s="30">
        <v>114</v>
      </c>
      <c r="BW142" s="30">
        <v>796</v>
      </c>
      <c r="BX142" s="30">
        <v>455</v>
      </c>
      <c r="BY142" s="30">
        <v>120</v>
      </c>
      <c r="BZ142" s="30">
        <v>840</v>
      </c>
      <c r="CA142" s="30">
        <v>480</v>
      </c>
      <c r="CB142" s="30">
        <v>126</v>
      </c>
      <c r="CC142" s="30">
        <v>885</v>
      </c>
      <c r="CD142" s="30">
        <v>506</v>
      </c>
      <c r="CE142" s="30">
        <v>133</v>
      </c>
      <c r="CF142" s="30">
        <v>931</v>
      </c>
      <c r="CG142" s="30">
        <v>532</v>
      </c>
      <c r="CH142" s="30">
        <v>140</v>
      </c>
      <c r="CI142" s="30">
        <v>977</v>
      </c>
      <c r="CJ142" s="30">
        <v>558</v>
      </c>
      <c r="CK142" s="30">
        <v>146</v>
      </c>
      <c r="CL142" s="30">
        <v>1024</v>
      </c>
      <c r="CM142" s="30">
        <v>585</v>
      </c>
    </row>
    <row r="143" spans="1:91" x14ac:dyDescent="0.25">
      <c r="A143" s="29" t="s">
        <v>1633</v>
      </c>
      <c r="B143" s="30">
        <v>50</v>
      </c>
      <c r="C143" s="30">
        <v>50</v>
      </c>
      <c r="D143" s="30">
        <v>90</v>
      </c>
      <c r="E143" s="30">
        <v>55</v>
      </c>
      <c r="F143" s="30">
        <v>55</v>
      </c>
      <c r="G143" s="30">
        <v>100</v>
      </c>
      <c r="H143" s="30">
        <v>65</v>
      </c>
      <c r="I143" s="30">
        <v>65</v>
      </c>
      <c r="J143" s="30">
        <v>116</v>
      </c>
      <c r="K143" s="30">
        <v>76</v>
      </c>
      <c r="L143" s="30">
        <v>76</v>
      </c>
      <c r="M143" s="30">
        <v>137</v>
      </c>
      <c r="N143" s="30">
        <v>89</v>
      </c>
      <c r="O143" s="30">
        <v>89</v>
      </c>
      <c r="P143" s="30">
        <v>161</v>
      </c>
      <c r="Q143" s="30">
        <v>104</v>
      </c>
      <c r="R143" s="30">
        <v>104</v>
      </c>
      <c r="S143" s="30">
        <v>188</v>
      </c>
      <c r="T143" s="30">
        <v>121</v>
      </c>
      <c r="U143" s="30">
        <v>121</v>
      </c>
      <c r="V143" s="30">
        <v>217</v>
      </c>
      <c r="W143" s="30">
        <v>138</v>
      </c>
      <c r="X143" s="30">
        <v>138</v>
      </c>
      <c r="Y143" s="30">
        <v>248</v>
      </c>
      <c r="Z143" s="30">
        <v>157</v>
      </c>
      <c r="AA143" s="30">
        <v>157</v>
      </c>
      <c r="AB143" s="30">
        <v>282</v>
      </c>
      <c r="AC143" s="30">
        <v>176</v>
      </c>
      <c r="AD143" s="30">
        <v>176</v>
      </c>
      <c r="AE143" s="30">
        <v>318</v>
      </c>
      <c r="AF143" s="30">
        <v>197</v>
      </c>
      <c r="AG143" s="30">
        <v>197</v>
      </c>
      <c r="AH143" s="30">
        <v>355</v>
      </c>
      <c r="AI143" s="30">
        <v>219</v>
      </c>
      <c r="AJ143" s="30">
        <v>219</v>
      </c>
      <c r="AK143" s="30">
        <v>394</v>
      </c>
      <c r="AL143" s="30">
        <v>241</v>
      </c>
      <c r="AM143" s="30">
        <v>241</v>
      </c>
      <c r="AN143" s="30">
        <v>434</v>
      </c>
      <c r="AO143" s="30">
        <v>265</v>
      </c>
      <c r="AP143" s="30">
        <v>265</v>
      </c>
      <c r="AQ143" s="30">
        <v>476</v>
      </c>
      <c r="AR143" s="30">
        <v>289</v>
      </c>
      <c r="AS143" s="30">
        <v>289</v>
      </c>
      <c r="AT143" s="30">
        <v>520</v>
      </c>
      <c r="AU143" s="30">
        <v>314</v>
      </c>
      <c r="AV143" s="30">
        <v>314</v>
      </c>
      <c r="AW143" s="30">
        <v>565</v>
      </c>
      <c r="AX143" s="30">
        <v>339</v>
      </c>
      <c r="AY143" s="30">
        <v>339</v>
      </c>
      <c r="AZ143" s="30">
        <v>611</v>
      </c>
      <c r="BA143" s="30">
        <v>366</v>
      </c>
      <c r="BB143" s="30">
        <v>366</v>
      </c>
      <c r="BC143" s="30">
        <v>658</v>
      </c>
      <c r="BD143" s="30">
        <v>393</v>
      </c>
      <c r="BE143" s="30">
        <v>393</v>
      </c>
      <c r="BF143" s="30">
        <v>707</v>
      </c>
      <c r="BG143" s="30">
        <v>421</v>
      </c>
      <c r="BH143" s="30">
        <v>421</v>
      </c>
      <c r="BI143" s="30">
        <v>757</v>
      </c>
      <c r="BJ143" s="30">
        <v>449</v>
      </c>
      <c r="BK143" s="30">
        <v>449</v>
      </c>
      <c r="BL143" s="30">
        <v>808</v>
      </c>
      <c r="BM143" s="30">
        <v>478</v>
      </c>
      <c r="BN143" s="30">
        <v>478</v>
      </c>
      <c r="BO143" s="30">
        <v>860</v>
      </c>
      <c r="BP143" s="30">
        <v>508</v>
      </c>
      <c r="BQ143" s="30">
        <v>508</v>
      </c>
      <c r="BR143" s="30">
        <v>914</v>
      </c>
      <c r="BS143" s="30">
        <v>538</v>
      </c>
      <c r="BT143" s="30">
        <v>538</v>
      </c>
      <c r="BU143" s="30">
        <v>968</v>
      </c>
      <c r="BV143" s="30">
        <v>569</v>
      </c>
      <c r="BW143" s="30">
        <v>569</v>
      </c>
      <c r="BX143" s="30">
        <v>1024</v>
      </c>
      <c r="BY143" s="30">
        <v>600</v>
      </c>
      <c r="BZ143" s="30">
        <v>600</v>
      </c>
      <c r="CA143" s="30">
        <v>1080</v>
      </c>
      <c r="CB143" s="30">
        <v>632</v>
      </c>
      <c r="CC143" s="30">
        <v>632</v>
      </c>
      <c r="CD143" s="30">
        <v>1138</v>
      </c>
      <c r="CE143" s="30">
        <v>665</v>
      </c>
      <c r="CF143" s="30">
        <v>665</v>
      </c>
      <c r="CG143" s="30">
        <v>1196</v>
      </c>
      <c r="CH143" s="30">
        <v>698</v>
      </c>
      <c r="CI143" s="30">
        <v>698</v>
      </c>
      <c r="CJ143" s="30">
        <v>1256</v>
      </c>
      <c r="CK143" s="30">
        <v>731</v>
      </c>
      <c r="CL143" s="30">
        <v>731</v>
      </c>
      <c r="CM143" s="30">
        <v>1316</v>
      </c>
    </row>
    <row r="144" spans="1:91" x14ac:dyDescent="0.25">
      <c r="A144" s="29" t="s">
        <v>89</v>
      </c>
      <c r="B144" s="30">
        <v>70</v>
      </c>
      <c r="C144" s="30">
        <v>25</v>
      </c>
      <c r="D144" s="30">
        <v>25</v>
      </c>
      <c r="E144" s="30">
        <v>77</v>
      </c>
      <c r="F144" s="30">
        <v>28</v>
      </c>
      <c r="G144" s="30">
        <v>28</v>
      </c>
      <c r="H144" s="30">
        <v>90</v>
      </c>
      <c r="I144" s="30">
        <v>32</v>
      </c>
      <c r="J144" s="30">
        <v>32</v>
      </c>
      <c r="K144" s="30">
        <v>106</v>
      </c>
      <c r="L144" s="30">
        <v>38</v>
      </c>
      <c r="M144" s="30">
        <v>38</v>
      </c>
      <c r="N144" s="30">
        <v>125</v>
      </c>
      <c r="O144" s="30">
        <v>45</v>
      </c>
      <c r="P144" s="30">
        <v>45</v>
      </c>
      <c r="Q144" s="30">
        <v>146</v>
      </c>
      <c r="R144" s="30">
        <v>52</v>
      </c>
      <c r="S144" s="30">
        <v>52</v>
      </c>
      <c r="T144" s="30">
        <v>169</v>
      </c>
      <c r="U144" s="30">
        <v>60</v>
      </c>
      <c r="V144" s="30">
        <v>60</v>
      </c>
      <c r="W144" s="30">
        <v>193</v>
      </c>
      <c r="X144" s="30">
        <v>69</v>
      </c>
      <c r="Y144" s="30">
        <v>69</v>
      </c>
      <c r="Z144" s="30">
        <v>219</v>
      </c>
      <c r="AA144" s="30">
        <v>78</v>
      </c>
      <c r="AB144" s="30">
        <v>78</v>
      </c>
      <c r="AC144" s="30">
        <v>247</v>
      </c>
      <c r="AD144" s="30">
        <v>88</v>
      </c>
      <c r="AE144" s="30">
        <v>88</v>
      </c>
      <c r="AF144" s="30">
        <v>276</v>
      </c>
      <c r="AG144" s="30">
        <v>99</v>
      </c>
      <c r="AH144" s="30">
        <v>99</v>
      </c>
      <c r="AI144" s="30">
        <v>306</v>
      </c>
      <c r="AJ144" s="30">
        <v>109</v>
      </c>
      <c r="AK144" s="30">
        <v>109</v>
      </c>
      <c r="AL144" s="30">
        <v>338</v>
      </c>
      <c r="AM144" s="30">
        <v>121</v>
      </c>
      <c r="AN144" s="30">
        <v>121</v>
      </c>
      <c r="AO144" s="30">
        <v>370</v>
      </c>
      <c r="AP144" s="30">
        <v>132</v>
      </c>
      <c r="AQ144" s="30">
        <v>132</v>
      </c>
      <c r="AR144" s="30">
        <v>404</v>
      </c>
      <c r="AS144" s="30">
        <v>144</v>
      </c>
      <c r="AT144" s="30">
        <v>144</v>
      </c>
      <c r="AU144" s="30">
        <v>439</v>
      </c>
      <c r="AV144" s="30">
        <v>157</v>
      </c>
      <c r="AW144" s="30">
        <v>157</v>
      </c>
      <c r="AX144" s="30">
        <v>475</v>
      </c>
      <c r="AY144" s="30">
        <v>170</v>
      </c>
      <c r="AZ144" s="30">
        <v>170</v>
      </c>
      <c r="BA144" s="30">
        <v>512</v>
      </c>
      <c r="BB144" s="30">
        <v>183</v>
      </c>
      <c r="BC144" s="30">
        <v>183</v>
      </c>
      <c r="BD144" s="30">
        <v>550</v>
      </c>
      <c r="BE144" s="30">
        <v>196</v>
      </c>
      <c r="BF144" s="30">
        <v>196</v>
      </c>
      <c r="BG144" s="30">
        <v>589</v>
      </c>
      <c r="BH144" s="30">
        <v>210</v>
      </c>
      <c r="BI144" s="30">
        <v>210</v>
      </c>
      <c r="BJ144" s="30">
        <v>629</v>
      </c>
      <c r="BK144" s="30">
        <v>225</v>
      </c>
      <c r="BL144" s="30">
        <v>225</v>
      </c>
      <c r="BM144" s="30">
        <v>669</v>
      </c>
      <c r="BN144" s="30">
        <v>239</v>
      </c>
      <c r="BO144" s="30">
        <v>239</v>
      </c>
      <c r="BP144" s="30">
        <v>711</v>
      </c>
      <c r="BQ144" s="30">
        <v>254</v>
      </c>
      <c r="BR144" s="30">
        <v>254</v>
      </c>
      <c r="BS144" s="30">
        <v>753</v>
      </c>
      <c r="BT144" s="30">
        <v>269</v>
      </c>
      <c r="BU144" s="30">
        <v>269</v>
      </c>
      <c r="BV144" s="30">
        <v>796</v>
      </c>
      <c r="BW144" s="30">
        <v>284</v>
      </c>
      <c r="BX144" s="30">
        <v>284</v>
      </c>
      <c r="BY144" s="30">
        <v>840</v>
      </c>
      <c r="BZ144" s="30">
        <v>300</v>
      </c>
      <c r="CA144" s="30">
        <v>300</v>
      </c>
      <c r="CB144" s="30">
        <v>885</v>
      </c>
      <c r="CC144" s="30">
        <v>316</v>
      </c>
      <c r="CD144" s="30">
        <v>316</v>
      </c>
      <c r="CE144" s="30">
        <v>931</v>
      </c>
      <c r="CF144" s="30">
        <v>332</v>
      </c>
      <c r="CG144" s="30">
        <v>332</v>
      </c>
      <c r="CH144" s="30">
        <v>977</v>
      </c>
      <c r="CI144" s="30">
        <v>349</v>
      </c>
      <c r="CJ144" s="30">
        <v>349</v>
      </c>
      <c r="CK144" s="30">
        <v>1024</v>
      </c>
      <c r="CL144" s="30">
        <v>366</v>
      </c>
      <c r="CM144" s="30">
        <v>366</v>
      </c>
    </row>
    <row r="145" spans="1:91" x14ac:dyDescent="0.25">
      <c r="A145" s="29" t="s">
        <v>21</v>
      </c>
      <c r="B145" s="30">
        <v>60</v>
      </c>
      <c r="C145" s="30">
        <v>35</v>
      </c>
      <c r="D145" s="30">
        <v>25</v>
      </c>
      <c r="E145" s="30">
        <v>66</v>
      </c>
      <c r="F145" s="30">
        <v>39</v>
      </c>
      <c r="G145" s="30">
        <v>28</v>
      </c>
      <c r="H145" s="30">
        <v>77</v>
      </c>
      <c r="I145" s="30">
        <v>45</v>
      </c>
      <c r="J145" s="30">
        <v>32</v>
      </c>
      <c r="K145" s="30">
        <v>91</v>
      </c>
      <c r="L145" s="30">
        <v>53</v>
      </c>
      <c r="M145" s="30">
        <v>38</v>
      </c>
      <c r="N145" s="30">
        <v>107</v>
      </c>
      <c r="O145" s="30">
        <v>63</v>
      </c>
      <c r="P145" s="30">
        <v>45</v>
      </c>
      <c r="Q145" s="30">
        <v>125</v>
      </c>
      <c r="R145" s="30">
        <v>73</v>
      </c>
      <c r="S145" s="30">
        <v>52</v>
      </c>
      <c r="T145" s="30">
        <v>145</v>
      </c>
      <c r="U145" s="30">
        <v>84</v>
      </c>
      <c r="V145" s="30">
        <v>60</v>
      </c>
      <c r="W145" s="30">
        <v>166</v>
      </c>
      <c r="X145" s="30">
        <v>97</v>
      </c>
      <c r="Y145" s="30">
        <v>69</v>
      </c>
      <c r="Z145" s="30">
        <v>188</v>
      </c>
      <c r="AA145" s="30">
        <v>110</v>
      </c>
      <c r="AB145" s="30">
        <v>78</v>
      </c>
      <c r="AC145" s="30">
        <v>212</v>
      </c>
      <c r="AD145" s="30">
        <v>123</v>
      </c>
      <c r="AE145" s="30">
        <v>88</v>
      </c>
      <c r="AF145" s="30">
        <v>237</v>
      </c>
      <c r="AG145" s="30">
        <v>138</v>
      </c>
      <c r="AH145" s="30">
        <v>99</v>
      </c>
      <c r="AI145" s="30">
        <v>262</v>
      </c>
      <c r="AJ145" s="30">
        <v>153</v>
      </c>
      <c r="AK145" s="30">
        <v>109</v>
      </c>
      <c r="AL145" s="30">
        <v>289</v>
      </c>
      <c r="AM145" s="30">
        <v>169</v>
      </c>
      <c r="AN145" s="30">
        <v>121</v>
      </c>
      <c r="AO145" s="30">
        <v>318</v>
      </c>
      <c r="AP145" s="30">
        <v>185</v>
      </c>
      <c r="AQ145" s="30">
        <v>132</v>
      </c>
      <c r="AR145" s="30">
        <v>346</v>
      </c>
      <c r="AS145" s="30">
        <v>202</v>
      </c>
      <c r="AT145" s="30">
        <v>144</v>
      </c>
      <c r="AU145" s="30">
        <v>376</v>
      </c>
      <c r="AV145" s="30">
        <v>220</v>
      </c>
      <c r="AW145" s="30">
        <v>157</v>
      </c>
      <c r="AX145" s="30">
        <v>407</v>
      </c>
      <c r="AY145" s="30">
        <v>238</v>
      </c>
      <c r="AZ145" s="30">
        <v>170</v>
      </c>
      <c r="BA145" s="30">
        <v>439</v>
      </c>
      <c r="BB145" s="30">
        <v>256</v>
      </c>
      <c r="BC145" s="30">
        <v>183</v>
      </c>
      <c r="BD145" s="30">
        <v>471</v>
      </c>
      <c r="BE145" s="30">
        <v>275</v>
      </c>
      <c r="BF145" s="30">
        <v>196</v>
      </c>
      <c r="BG145" s="30">
        <v>505</v>
      </c>
      <c r="BH145" s="30">
        <v>294</v>
      </c>
      <c r="BI145" s="30">
        <v>210</v>
      </c>
      <c r="BJ145" s="30">
        <v>539</v>
      </c>
      <c r="BK145" s="30">
        <v>314</v>
      </c>
      <c r="BL145" s="30">
        <v>225</v>
      </c>
      <c r="BM145" s="30">
        <v>574</v>
      </c>
      <c r="BN145" s="30">
        <v>335</v>
      </c>
      <c r="BO145" s="30">
        <v>239</v>
      </c>
      <c r="BP145" s="30">
        <v>609</v>
      </c>
      <c r="BQ145" s="30">
        <v>355</v>
      </c>
      <c r="BR145" s="30">
        <v>254</v>
      </c>
      <c r="BS145" s="30">
        <v>645</v>
      </c>
      <c r="BT145" s="30">
        <v>377</v>
      </c>
      <c r="BU145" s="30">
        <v>269</v>
      </c>
      <c r="BV145" s="30">
        <v>683</v>
      </c>
      <c r="BW145" s="30">
        <v>398</v>
      </c>
      <c r="BX145" s="30">
        <v>284</v>
      </c>
      <c r="BY145" s="30">
        <v>720</v>
      </c>
      <c r="BZ145" s="30">
        <v>420</v>
      </c>
      <c r="CA145" s="30">
        <v>300</v>
      </c>
      <c r="CB145" s="30">
        <v>759</v>
      </c>
      <c r="CC145" s="30">
        <v>443</v>
      </c>
      <c r="CD145" s="30">
        <v>316</v>
      </c>
      <c r="CE145" s="30">
        <v>798</v>
      </c>
      <c r="CF145" s="30">
        <v>465</v>
      </c>
      <c r="CG145" s="30">
        <v>332</v>
      </c>
      <c r="CH145" s="30">
        <v>837</v>
      </c>
      <c r="CI145" s="30">
        <v>488</v>
      </c>
      <c r="CJ145" s="30">
        <v>349</v>
      </c>
      <c r="CK145" s="30">
        <v>878</v>
      </c>
      <c r="CL145" s="30">
        <v>512</v>
      </c>
      <c r="CM145" s="30">
        <v>366</v>
      </c>
    </row>
    <row r="146" spans="1:91" x14ac:dyDescent="0.25">
      <c r="A146" s="29" t="s">
        <v>10</v>
      </c>
      <c r="B146" s="30">
        <v>13</v>
      </c>
      <c r="C146" s="30">
        <v>5</v>
      </c>
      <c r="D146" s="30">
        <v>6</v>
      </c>
      <c r="E146" s="30">
        <v>14</v>
      </c>
      <c r="F146" s="30">
        <v>6</v>
      </c>
      <c r="G146" s="30">
        <v>7</v>
      </c>
      <c r="H146" s="30">
        <v>17</v>
      </c>
      <c r="I146" s="30">
        <v>6</v>
      </c>
      <c r="J146" s="30">
        <v>8</v>
      </c>
      <c r="K146" s="30">
        <v>19</v>
      </c>
      <c r="L146" s="30">
        <v>7</v>
      </c>
      <c r="M146" s="30">
        <v>9</v>
      </c>
      <c r="N146" s="30">
        <v>22</v>
      </c>
      <c r="O146" s="30">
        <v>9</v>
      </c>
      <c r="P146" s="30">
        <v>10</v>
      </c>
      <c r="Q146" s="30">
        <v>26</v>
      </c>
      <c r="R146" s="30">
        <v>10</v>
      </c>
      <c r="S146" s="30">
        <v>12</v>
      </c>
      <c r="T146" s="30">
        <v>30</v>
      </c>
      <c r="U146" s="30">
        <v>11</v>
      </c>
      <c r="V146" s="30">
        <v>14</v>
      </c>
      <c r="W146" s="30">
        <v>33</v>
      </c>
      <c r="X146" s="30">
        <v>13</v>
      </c>
      <c r="Y146" s="30">
        <v>15</v>
      </c>
      <c r="Z146" s="30">
        <v>38</v>
      </c>
      <c r="AA146" s="30">
        <v>15</v>
      </c>
      <c r="AB146" s="30">
        <v>17</v>
      </c>
      <c r="AC146" s="30">
        <v>42</v>
      </c>
      <c r="AD146" s="30">
        <v>16</v>
      </c>
      <c r="AE146" s="30">
        <v>19</v>
      </c>
      <c r="AF146" s="30">
        <v>47</v>
      </c>
      <c r="AG146" s="30">
        <v>18</v>
      </c>
      <c r="AH146" s="30">
        <v>22</v>
      </c>
      <c r="AI146" s="30">
        <v>51</v>
      </c>
      <c r="AJ146" s="30">
        <v>20</v>
      </c>
      <c r="AK146" s="30">
        <v>24</v>
      </c>
      <c r="AL146" s="30">
        <v>57</v>
      </c>
      <c r="AM146" s="30">
        <v>22</v>
      </c>
      <c r="AN146" s="30">
        <v>26</v>
      </c>
      <c r="AO146" s="30">
        <v>62</v>
      </c>
      <c r="AP146" s="30">
        <v>24</v>
      </c>
      <c r="AQ146" s="30">
        <v>29</v>
      </c>
      <c r="AR146" s="30">
        <v>67</v>
      </c>
      <c r="AS146" s="30">
        <v>26</v>
      </c>
      <c r="AT146" s="30">
        <v>31</v>
      </c>
      <c r="AU146" s="30">
        <v>73</v>
      </c>
      <c r="AV146" s="30">
        <v>28</v>
      </c>
      <c r="AW146" s="30">
        <v>33</v>
      </c>
      <c r="AX146" s="30">
        <v>78</v>
      </c>
      <c r="AY146" s="30">
        <v>30</v>
      </c>
      <c r="AZ146" s="30">
        <v>36</v>
      </c>
      <c r="BA146" s="30">
        <v>84</v>
      </c>
      <c r="BB146" s="30">
        <v>32</v>
      </c>
      <c r="BC146" s="30">
        <v>39</v>
      </c>
      <c r="BD146" s="30">
        <v>90</v>
      </c>
      <c r="BE146" s="30">
        <v>35</v>
      </c>
      <c r="BF146" s="30">
        <v>41</v>
      </c>
      <c r="BG146" s="30">
        <v>96</v>
      </c>
      <c r="BH146" s="30">
        <v>37</v>
      </c>
      <c r="BI146" s="30">
        <v>44</v>
      </c>
      <c r="BJ146" s="30">
        <v>102</v>
      </c>
      <c r="BK146" s="30">
        <v>39</v>
      </c>
      <c r="BL146" s="30">
        <v>47</v>
      </c>
      <c r="BM146" s="30">
        <v>108</v>
      </c>
      <c r="BN146" s="30">
        <v>42</v>
      </c>
      <c r="BO146" s="30">
        <v>50</v>
      </c>
      <c r="BP146" s="30">
        <v>115</v>
      </c>
      <c r="BQ146" s="30">
        <v>44</v>
      </c>
      <c r="BR146" s="30">
        <v>53</v>
      </c>
      <c r="BS146" s="30">
        <v>121</v>
      </c>
      <c r="BT146" s="30">
        <v>47</v>
      </c>
      <c r="BU146" s="30">
        <v>56</v>
      </c>
      <c r="BV146" s="30">
        <v>128</v>
      </c>
      <c r="BW146" s="30">
        <v>49</v>
      </c>
      <c r="BX146" s="30">
        <v>59</v>
      </c>
      <c r="BY146" s="30">
        <v>135</v>
      </c>
      <c r="BZ146" s="30">
        <v>52</v>
      </c>
      <c r="CA146" s="30">
        <v>62</v>
      </c>
      <c r="CB146" s="30">
        <v>141</v>
      </c>
      <c r="CC146" s="30">
        <v>54</v>
      </c>
      <c r="CD146" s="30">
        <v>65</v>
      </c>
      <c r="CE146" s="30">
        <v>148</v>
      </c>
      <c r="CF146" s="30">
        <v>57</v>
      </c>
      <c r="CG146" s="30">
        <v>69</v>
      </c>
      <c r="CH146" s="30">
        <v>155</v>
      </c>
      <c r="CI146" s="30">
        <v>60</v>
      </c>
      <c r="CJ146" s="30">
        <v>72</v>
      </c>
      <c r="CK146" s="30">
        <v>163</v>
      </c>
      <c r="CL146" s="30">
        <v>63</v>
      </c>
      <c r="CM146" s="30">
        <v>75</v>
      </c>
    </row>
    <row r="147" spans="1:91" x14ac:dyDescent="0.25">
      <c r="A147" s="29" t="s">
        <v>12</v>
      </c>
      <c r="B147" s="30">
        <v>8</v>
      </c>
      <c r="C147" s="30">
        <v>8</v>
      </c>
      <c r="D147" s="30">
        <v>8</v>
      </c>
      <c r="E147" s="30">
        <v>9</v>
      </c>
      <c r="F147" s="30">
        <v>9</v>
      </c>
      <c r="G147" s="30">
        <v>9</v>
      </c>
      <c r="H147" s="30">
        <v>10</v>
      </c>
      <c r="I147" s="30">
        <v>10</v>
      </c>
      <c r="J147" s="30">
        <v>10</v>
      </c>
      <c r="K147" s="30">
        <v>12</v>
      </c>
      <c r="L147" s="30">
        <v>12</v>
      </c>
      <c r="M147" s="30">
        <v>12</v>
      </c>
      <c r="N147" s="30">
        <v>14</v>
      </c>
      <c r="O147" s="30">
        <v>14</v>
      </c>
      <c r="P147" s="30">
        <v>14</v>
      </c>
      <c r="Q147" s="30">
        <v>16</v>
      </c>
      <c r="R147" s="30">
        <v>16</v>
      </c>
      <c r="S147" s="30">
        <v>16</v>
      </c>
      <c r="T147" s="30">
        <v>18</v>
      </c>
      <c r="U147" s="30">
        <v>18</v>
      </c>
      <c r="V147" s="30">
        <v>18</v>
      </c>
      <c r="W147" s="30">
        <v>21</v>
      </c>
      <c r="X147" s="30">
        <v>21</v>
      </c>
      <c r="Y147" s="30">
        <v>21</v>
      </c>
      <c r="Z147" s="30">
        <v>23</v>
      </c>
      <c r="AA147" s="30">
        <v>23</v>
      </c>
      <c r="AB147" s="30">
        <v>23</v>
      </c>
      <c r="AC147" s="30">
        <v>26</v>
      </c>
      <c r="AD147" s="30">
        <v>26</v>
      </c>
      <c r="AE147" s="30">
        <v>26</v>
      </c>
      <c r="AF147" s="30">
        <v>29</v>
      </c>
      <c r="AG147" s="30">
        <v>29</v>
      </c>
      <c r="AH147" s="30">
        <v>29</v>
      </c>
      <c r="AI147" s="30">
        <v>32</v>
      </c>
      <c r="AJ147" s="30">
        <v>32</v>
      </c>
      <c r="AK147" s="30">
        <v>32</v>
      </c>
      <c r="AL147" s="30">
        <v>35</v>
      </c>
      <c r="AM147" s="30">
        <v>35</v>
      </c>
      <c r="AN147" s="30">
        <v>35</v>
      </c>
      <c r="AO147" s="30">
        <v>38</v>
      </c>
      <c r="AP147" s="30">
        <v>38</v>
      </c>
      <c r="AQ147" s="30">
        <v>38</v>
      </c>
      <c r="AR147" s="30">
        <v>41</v>
      </c>
      <c r="AS147" s="30">
        <v>41</v>
      </c>
      <c r="AT147" s="30">
        <v>41</v>
      </c>
      <c r="AU147" s="30">
        <v>45</v>
      </c>
      <c r="AV147" s="30">
        <v>45</v>
      </c>
      <c r="AW147" s="30">
        <v>45</v>
      </c>
      <c r="AX147" s="30">
        <v>48</v>
      </c>
      <c r="AY147" s="30">
        <v>48</v>
      </c>
      <c r="AZ147" s="30">
        <v>48</v>
      </c>
      <c r="BA147" s="30">
        <v>52</v>
      </c>
      <c r="BB147" s="30">
        <v>52</v>
      </c>
      <c r="BC147" s="30">
        <v>52</v>
      </c>
      <c r="BD147" s="30">
        <v>55</v>
      </c>
      <c r="BE147" s="30">
        <v>55</v>
      </c>
      <c r="BF147" s="30">
        <v>55</v>
      </c>
      <c r="BG147" s="30">
        <v>59</v>
      </c>
      <c r="BH147" s="30">
        <v>59</v>
      </c>
      <c r="BI147" s="30">
        <v>59</v>
      </c>
      <c r="BJ147" s="30">
        <v>63</v>
      </c>
      <c r="BK147" s="30">
        <v>63</v>
      </c>
      <c r="BL147" s="30">
        <v>63</v>
      </c>
      <c r="BM147" s="30">
        <v>67</v>
      </c>
      <c r="BN147" s="30">
        <v>67</v>
      </c>
      <c r="BO147" s="30">
        <v>67</v>
      </c>
      <c r="BP147" s="30">
        <v>71</v>
      </c>
      <c r="BQ147" s="30">
        <v>71</v>
      </c>
      <c r="BR147" s="30">
        <v>71</v>
      </c>
      <c r="BS147" s="30">
        <v>75</v>
      </c>
      <c r="BT147" s="30">
        <v>75</v>
      </c>
      <c r="BU147" s="30">
        <v>75</v>
      </c>
      <c r="BV147" s="30">
        <v>79</v>
      </c>
      <c r="BW147" s="30">
        <v>79</v>
      </c>
      <c r="BX147" s="30">
        <v>79</v>
      </c>
      <c r="BY147" s="30">
        <v>83</v>
      </c>
      <c r="BZ147" s="30">
        <v>83</v>
      </c>
      <c r="CA147" s="30">
        <v>83</v>
      </c>
      <c r="CB147" s="30">
        <v>87</v>
      </c>
      <c r="CC147" s="30">
        <v>87</v>
      </c>
      <c r="CD147" s="30">
        <v>87</v>
      </c>
      <c r="CE147" s="30">
        <v>91</v>
      </c>
      <c r="CF147" s="30">
        <v>91</v>
      </c>
      <c r="CG147" s="30">
        <v>91</v>
      </c>
      <c r="CH147" s="30">
        <v>96</v>
      </c>
      <c r="CI147" s="30">
        <v>96</v>
      </c>
      <c r="CJ147" s="30">
        <v>96</v>
      </c>
      <c r="CK147" s="30">
        <v>100</v>
      </c>
      <c r="CL147" s="30">
        <v>100</v>
      </c>
      <c r="CM147" s="30">
        <v>100</v>
      </c>
    </row>
    <row r="148" spans="1:91" x14ac:dyDescent="0.25">
      <c r="A148" s="29" t="s">
        <v>40</v>
      </c>
      <c r="B148" s="30">
        <v>23</v>
      </c>
      <c r="C148" s="30">
        <v>28</v>
      </c>
      <c r="D148" s="30">
        <v>10</v>
      </c>
      <c r="E148" s="30">
        <v>25</v>
      </c>
      <c r="F148" s="30">
        <v>30</v>
      </c>
      <c r="G148" s="30">
        <v>11</v>
      </c>
      <c r="H148" s="30">
        <v>28</v>
      </c>
      <c r="I148" s="30">
        <v>34</v>
      </c>
      <c r="J148" s="30">
        <v>12</v>
      </c>
      <c r="K148" s="30">
        <v>32</v>
      </c>
      <c r="L148" s="30">
        <v>39</v>
      </c>
      <c r="M148" s="30">
        <v>14</v>
      </c>
      <c r="N148" s="30">
        <v>37</v>
      </c>
      <c r="O148" s="30">
        <v>46</v>
      </c>
      <c r="P148" s="30">
        <v>17</v>
      </c>
      <c r="Q148" s="30">
        <v>43</v>
      </c>
      <c r="R148" s="30">
        <v>52</v>
      </c>
      <c r="S148" s="30">
        <v>19</v>
      </c>
      <c r="T148" s="30">
        <v>49</v>
      </c>
      <c r="U148" s="30">
        <v>60</v>
      </c>
      <c r="V148" s="30">
        <v>22</v>
      </c>
      <c r="W148" s="30">
        <v>55</v>
      </c>
      <c r="X148" s="30">
        <v>67</v>
      </c>
      <c r="Y148" s="30">
        <v>25</v>
      </c>
      <c r="Z148" s="30">
        <v>62</v>
      </c>
      <c r="AA148" s="30">
        <v>76</v>
      </c>
      <c r="AB148" s="30">
        <v>28</v>
      </c>
      <c r="AC148" s="30">
        <v>69</v>
      </c>
      <c r="AD148" s="30">
        <v>84</v>
      </c>
      <c r="AE148" s="30">
        <v>31</v>
      </c>
      <c r="AF148" s="30">
        <v>77</v>
      </c>
      <c r="AG148" s="30">
        <v>94</v>
      </c>
      <c r="AH148" s="30">
        <v>34</v>
      </c>
      <c r="AI148" s="30">
        <v>85</v>
      </c>
      <c r="AJ148" s="30">
        <v>103</v>
      </c>
      <c r="AK148" s="30">
        <v>38</v>
      </c>
      <c r="AL148" s="30">
        <v>93</v>
      </c>
      <c r="AM148" s="30">
        <v>113</v>
      </c>
      <c r="AN148" s="30">
        <v>41</v>
      </c>
      <c r="AO148" s="30">
        <v>101</v>
      </c>
      <c r="AP148" s="30">
        <v>124</v>
      </c>
      <c r="AQ148" s="30">
        <v>45</v>
      </c>
      <c r="AR148" s="30">
        <v>110</v>
      </c>
      <c r="AS148" s="30">
        <v>134</v>
      </c>
      <c r="AT148" s="30">
        <v>49</v>
      </c>
      <c r="AU148" s="30">
        <v>119</v>
      </c>
      <c r="AV148" s="30">
        <v>145</v>
      </c>
      <c r="AW148" s="30">
        <v>53</v>
      </c>
      <c r="AX148" s="30">
        <v>128</v>
      </c>
      <c r="AY148" s="30">
        <v>157</v>
      </c>
      <c r="AZ148" s="30">
        <v>57</v>
      </c>
      <c r="BA148" s="30">
        <v>138</v>
      </c>
      <c r="BB148" s="30">
        <v>168</v>
      </c>
      <c r="BC148" s="30">
        <v>61</v>
      </c>
      <c r="BD148" s="30">
        <v>147</v>
      </c>
      <c r="BE148" s="30">
        <v>180</v>
      </c>
      <c r="BF148" s="30">
        <v>65</v>
      </c>
      <c r="BG148" s="30">
        <v>157</v>
      </c>
      <c r="BH148" s="30">
        <v>192</v>
      </c>
      <c r="BI148" s="30">
        <v>70</v>
      </c>
      <c r="BJ148" s="30">
        <v>167</v>
      </c>
      <c r="BK148" s="30">
        <v>205</v>
      </c>
      <c r="BL148" s="30">
        <v>74</v>
      </c>
      <c r="BM148" s="30">
        <v>178</v>
      </c>
      <c r="BN148" s="30">
        <v>217</v>
      </c>
      <c r="BO148" s="30">
        <v>79</v>
      </c>
      <c r="BP148" s="30">
        <v>188</v>
      </c>
      <c r="BQ148" s="30">
        <v>230</v>
      </c>
      <c r="BR148" s="30">
        <v>84</v>
      </c>
      <c r="BS148" s="30">
        <v>199</v>
      </c>
      <c r="BT148" s="30">
        <v>244</v>
      </c>
      <c r="BU148" s="30">
        <v>89</v>
      </c>
      <c r="BV148" s="30">
        <v>210</v>
      </c>
      <c r="BW148" s="30">
        <v>257</v>
      </c>
      <c r="BX148" s="30">
        <v>93</v>
      </c>
      <c r="BY148" s="30">
        <v>221</v>
      </c>
      <c r="BZ148" s="30">
        <v>271</v>
      </c>
      <c r="CA148" s="30">
        <v>98</v>
      </c>
      <c r="CB148" s="30">
        <v>233</v>
      </c>
      <c r="CC148" s="30">
        <v>285</v>
      </c>
      <c r="CD148" s="30">
        <v>104</v>
      </c>
      <c r="CE148" s="30">
        <v>245</v>
      </c>
      <c r="CF148" s="30">
        <v>299</v>
      </c>
      <c r="CG148" s="30">
        <v>109</v>
      </c>
      <c r="CH148" s="30">
        <v>256</v>
      </c>
      <c r="CI148" s="30">
        <v>313</v>
      </c>
      <c r="CJ148" s="30">
        <v>114</v>
      </c>
      <c r="CK148" s="30">
        <v>268</v>
      </c>
      <c r="CL148" s="30">
        <v>328</v>
      </c>
      <c r="CM148" s="30">
        <v>119</v>
      </c>
    </row>
    <row r="149" spans="1:91" x14ac:dyDescent="0.25">
      <c r="A149" s="29" t="s">
        <v>46</v>
      </c>
      <c r="B149" s="30">
        <v>25</v>
      </c>
      <c r="C149" s="30">
        <v>45</v>
      </c>
      <c r="D149" s="30">
        <v>50</v>
      </c>
      <c r="E149" s="30">
        <v>28</v>
      </c>
      <c r="F149" s="30">
        <v>50</v>
      </c>
      <c r="G149" s="30">
        <v>55</v>
      </c>
      <c r="H149" s="30">
        <v>32</v>
      </c>
      <c r="I149" s="30">
        <v>58</v>
      </c>
      <c r="J149" s="30">
        <v>65</v>
      </c>
      <c r="K149" s="30">
        <v>38</v>
      </c>
      <c r="L149" s="30">
        <v>68</v>
      </c>
      <c r="M149" s="30">
        <v>76</v>
      </c>
      <c r="N149" s="30">
        <v>45</v>
      </c>
      <c r="O149" s="30">
        <v>80</v>
      </c>
      <c r="P149" s="30">
        <v>89</v>
      </c>
      <c r="Q149" s="30">
        <v>52</v>
      </c>
      <c r="R149" s="30">
        <v>94</v>
      </c>
      <c r="S149" s="30">
        <v>104</v>
      </c>
      <c r="T149" s="30">
        <v>60</v>
      </c>
      <c r="U149" s="30">
        <v>108</v>
      </c>
      <c r="V149" s="30">
        <v>121</v>
      </c>
      <c r="W149" s="30">
        <v>69</v>
      </c>
      <c r="X149" s="30">
        <v>124</v>
      </c>
      <c r="Y149" s="30">
        <v>138</v>
      </c>
      <c r="Z149" s="30">
        <v>78</v>
      </c>
      <c r="AA149" s="30">
        <v>141</v>
      </c>
      <c r="AB149" s="30">
        <v>157</v>
      </c>
      <c r="AC149" s="30">
        <v>88</v>
      </c>
      <c r="AD149" s="30">
        <v>159</v>
      </c>
      <c r="AE149" s="30">
        <v>176</v>
      </c>
      <c r="AF149" s="30">
        <v>99</v>
      </c>
      <c r="AG149" s="30">
        <v>177</v>
      </c>
      <c r="AH149" s="30">
        <v>197</v>
      </c>
      <c r="AI149" s="30">
        <v>109</v>
      </c>
      <c r="AJ149" s="30">
        <v>197</v>
      </c>
      <c r="AK149" s="30">
        <v>219</v>
      </c>
      <c r="AL149" s="30">
        <v>121</v>
      </c>
      <c r="AM149" s="30">
        <v>217</v>
      </c>
      <c r="AN149" s="30">
        <v>241</v>
      </c>
      <c r="AO149" s="30">
        <v>132</v>
      </c>
      <c r="AP149" s="30">
        <v>238</v>
      </c>
      <c r="AQ149" s="30">
        <v>265</v>
      </c>
      <c r="AR149" s="30">
        <v>144</v>
      </c>
      <c r="AS149" s="30">
        <v>260</v>
      </c>
      <c r="AT149" s="30">
        <v>289</v>
      </c>
      <c r="AU149" s="30">
        <v>157</v>
      </c>
      <c r="AV149" s="30">
        <v>282</v>
      </c>
      <c r="AW149" s="30">
        <v>314</v>
      </c>
      <c r="AX149" s="30">
        <v>170</v>
      </c>
      <c r="AY149" s="30">
        <v>305</v>
      </c>
      <c r="AZ149" s="30">
        <v>339</v>
      </c>
      <c r="BA149" s="30">
        <v>183</v>
      </c>
      <c r="BB149" s="30">
        <v>329</v>
      </c>
      <c r="BC149" s="30">
        <v>366</v>
      </c>
      <c r="BD149" s="30">
        <v>196</v>
      </c>
      <c r="BE149" s="30">
        <v>354</v>
      </c>
      <c r="BF149" s="30">
        <v>393</v>
      </c>
      <c r="BG149" s="30">
        <v>210</v>
      </c>
      <c r="BH149" s="30">
        <v>379</v>
      </c>
      <c r="BI149" s="30">
        <v>421</v>
      </c>
      <c r="BJ149" s="30">
        <v>225</v>
      </c>
      <c r="BK149" s="30">
        <v>404</v>
      </c>
      <c r="BL149" s="30">
        <v>449</v>
      </c>
      <c r="BM149" s="30">
        <v>239</v>
      </c>
      <c r="BN149" s="30">
        <v>430</v>
      </c>
      <c r="BO149" s="30">
        <v>478</v>
      </c>
      <c r="BP149" s="30">
        <v>254</v>
      </c>
      <c r="BQ149" s="30">
        <v>457</v>
      </c>
      <c r="BR149" s="30">
        <v>508</v>
      </c>
      <c r="BS149" s="30">
        <v>269</v>
      </c>
      <c r="BT149" s="30">
        <v>484</v>
      </c>
      <c r="BU149" s="30">
        <v>538</v>
      </c>
      <c r="BV149" s="30">
        <v>284</v>
      </c>
      <c r="BW149" s="30">
        <v>512</v>
      </c>
      <c r="BX149" s="30">
        <v>569</v>
      </c>
      <c r="BY149" s="30">
        <v>300</v>
      </c>
      <c r="BZ149" s="30">
        <v>540</v>
      </c>
      <c r="CA149" s="30">
        <v>600</v>
      </c>
      <c r="CB149" s="30">
        <v>316</v>
      </c>
      <c r="CC149" s="30">
        <v>569</v>
      </c>
      <c r="CD149" s="30">
        <v>632</v>
      </c>
      <c r="CE149" s="30">
        <v>332</v>
      </c>
      <c r="CF149" s="30">
        <v>598</v>
      </c>
      <c r="CG149" s="30">
        <v>665</v>
      </c>
      <c r="CH149" s="30">
        <v>349</v>
      </c>
      <c r="CI149" s="30">
        <v>628</v>
      </c>
      <c r="CJ149" s="30">
        <v>698</v>
      </c>
      <c r="CK149" s="30">
        <v>366</v>
      </c>
      <c r="CL149" s="30">
        <v>658</v>
      </c>
      <c r="CM149" s="30">
        <v>731</v>
      </c>
    </row>
    <row r="150" spans="1:91" x14ac:dyDescent="0.25">
      <c r="A150" s="29" t="s">
        <v>33</v>
      </c>
      <c r="B150" s="30">
        <v>10</v>
      </c>
      <c r="C150" s="30">
        <v>30</v>
      </c>
      <c r="D150" s="30">
        <v>20</v>
      </c>
      <c r="E150" s="30">
        <v>11</v>
      </c>
      <c r="F150" s="30">
        <v>33</v>
      </c>
      <c r="G150" s="30">
        <v>22</v>
      </c>
      <c r="H150" s="30">
        <v>12</v>
      </c>
      <c r="I150" s="30">
        <v>37</v>
      </c>
      <c r="J150" s="30">
        <v>25</v>
      </c>
      <c r="K150" s="30">
        <v>14</v>
      </c>
      <c r="L150" s="30">
        <v>43</v>
      </c>
      <c r="M150" s="30">
        <v>29</v>
      </c>
      <c r="N150" s="30">
        <v>17</v>
      </c>
      <c r="O150" s="30">
        <v>50</v>
      </c>
      <c r="P150" s="30">
        <v>33</v>
      </c>
      <c r="Q150" s="30">
        <v>19</v>
      </c>
      <c r="R150" s="30">
        <v>57</v>
      </c>
      <c r="S150" s="30">
        <v>38</v>
      </c>
      <c r="T150" s="30">
        <v>22</v>
      </c>
      <c r="U150" s="30">
        <v>65</v>
      </c>
      <c r="V150" s="30">
        <v>43</v>
      </c>
      <c r="W150" s="30">
        <v>25</v>
      </c>
      <c r="X150" s="30">
        <v>74</v>
      </c>
      <c r="Y150" s="30">
        <v>49</v>
      </c>
      <c r="Z150" s="30">
        <v>28</v>
      </c>
      <c r="AA150" s="30">
        <v>83</v>
      </c>
      <c r="AB150" s="30">
        <v>55</v>
      </c>
      <c r="AC150" s="30">
        <v>31</v>
      </c>
      <c r="AD150" s="30">
        <v>92</v>
      </c>
      <c r="AE150" s="30">
        <v>61</v>
      </c>
      <c r="AF150" s="30">
        <v>34</v>
      </c>
      <c r="AG150" s="30">
        <v>102</v>
      </c>
      <c r="AH150" s="30">
        <v>68</v>
      </c>
      <c r="AI150" s="30">
        <v>38</v>
      </c>
      <c r="AJ150" s="30">
        <v>113</v>
      </c>
      <c r="AK150" s="30">
        <v>75</v>
      </c>
      <c r="AL150" s="30">
        <v>41</v>
      </c>
      <c r="AM150" s="30">
        <v>124</v>
      </c>
      <c r="AN150" s="30">
        <v>82</v>
      </c>
      <c r="AO150" s="30">
        <v>45</v>
      </c>
      <c r="AP150" s="30">
        <v>135</v>
      </c>
      <c r="AQ150" s="30">
        <v>90</v>
      </c>
      <c r="AR150" s="30">
        <v>49</v>
      </c>
      <c r="AS150" s="30">
        <v>147</v>
      </c>
      <c r="AT150" s="30">
        <v>98</v>
      </c>
      <c r="AU150" s="30">
        <v>53</v>
      </c>
      <c r="AV150" s="30">
        <v>159</v>
      </c>
      <c r="AW150" s="30">
        <v>106</v>
      </c>
      <c r="AX150" s="30">
        <v>57</v>
      </c>
      <c r="AY150" s="30">
        <v>171</v>
      </c>
      <c r="AZ150" s="30">
        <v>114</v>
      </c>
      <c r="BA150" s="30">
        <v>61</v>
      </c>
      <c r="BB150" s="30">
        <v>183</v>
      </c>
      <c r="BC150" s="30">
        <v>122</v>
      </c>
      <c r="BD150" s="30">
        <v>65</v>
      </c>
      <c r="BE150" s="30">
        <v>196</v>
      </c>
      <c r="BF150" s="30">
        <v>131</v>
      </c>
      <c r="BG150" s="30">
        <v>70</v>
      </c>
      <c r="BH150" s="30">
        <v>210</v>
      </c>
      <c r="BI150" s="30">
        <v>140</v>
      </c>
      <c r="BJ150" s="30">
        <v>74</v>
      </c>
      <c r="BK150" s="30">
        <v>223</v>
      </c>
      <c r="BL150" s="30">
        <v>149</v>
      </c>
      <c r="BM150" s="30">
        <v>79</v>
      </c>
      <c r="BN150" s="30">
        <v>237</v>
      </c>
      <c r="BO150" s="30">
        <v>158</v>
      </c>
      <c r="BP150" s="30">
        <v>84</v>
      </c>
      <c r="BQ150" s="30">
        <v>251</v>
      </c>
      <c r="BR150" s="30">
        <v>168</v>
      </c>
      <c r="BS150" s="30">
        <v>89</v>
      </c>
      <c r="BT150" s="30">
        <v>266</v>
      </c>
      <c r="BU150" s="30">
        <v>177</v>
      </c>
      <c r="BV150" s="30">
        <v>93</v>
      </c>
      <c r="BW150" s="30">
        <v>280</v>
      </c>
      <c r="BX150" s="30">
        <v>187</v>
      </c>
      <c r="BY150" s="30">
        <v>98</v>
      </c>
      <c r="BZ150" s="30">
        <v>295</v>
      </c>
      <c r="CA150" s="30">
        <v>197</v>
      </c>
      <c r="CB150" s="30">
        <v>104</v>
      </c>
      <c r="CC150" s="30">
        <v>311</v>
      </c>
      <c r="CD150" s="30">
        <v>207</v>
      </c>
      <c r="CE150" s="30">
        <v>109</v>
      </c>
      <c r="CF150" s="30">
        <v>326</v>
      </c>
      <c r="CG150" s="30">
        <v>217</v>
      </c>
      <c r="CH150" s="30">
        <v>114</v>
      </c>
      <c r="CI150" s="30">
        <v>342</v>
      </c>
      <c r="CJ150" s="30">
        <v>228</v>
      </c>
      <c r="CK150" s="30">
        <v>119</v>
      </c>
      <c r="CL150" s="30">
        <v>358</v>
      </c>
      <c r="CM150" s="30">
        <v>238</v>
      </c>
    </row>
    <row r="151" spans="1:91" x14ac:dyDescent="0.25">
      <c r="A151" s="29" t="s">
        <v>871</v>
      </c>
      <c r="B151" s="30">
        <v>45</v>
      </c>
      <c r="C151" s="30">
        <v>45</v>
      </c>
      <c r="D151" s="30">
        <v>45</v>
      </c>
      <c r="E151" s="30">
        <v>50</v>
      </c>
      <c r="F151" s="30">
        <v>50</v>
      </c>
      <c r="G151" s="30">
        <v>50</v>
      </c>
      <c r="H151" s="30">
        <v>58</v>
      </c>
      <c r="I151" s="30">
        <v>58</v>
      </c>
      <c r="J151" s="30">
        <v>58</v>
      </c>
      <c r="K151" s="30">
        <v>68</v>
      </c>
      <c r="L151" s="30">
        <v>68</v>
      </c>
      <c r="M151" s="30">
        <v>68</v>
      </c>
      <c r="N151" s="30">
        <v>80</v>
      </c>
      <c r="O151" s="30">
        <v>80</v>
      </c>
      <c r="P151" s="30">
        <v>80</v>
      </c>
      <c r="Q151" s="30">
        <v>94</v>
      </c>
      <c r="R151" s="30">
        <v>94</v>
      </c>
      <c r="S151" s="30">
        <v>94</v>
      </c>
      <c r="T151" s="30">
        <v>108</v>
      </c>
      <c r="U151" s="30">
        <v>108</v>
      </c>
      <c r="V151" s="30">
        <v>108</v>
      </c>
      <c r="W151" s="30">
        <v>124</v>
      </c>
      <c r="X151" s="30">
        <v>124</v>
      </c>
      <c r="Y151" s="30">
        <v>124</v>
      </c>
      <c r="Z151" s="30">
        <v>141</v>
      </c>
      <c r="AA151" s="30">
        <v>141</v>
      </c>
      <c r="AB151" s="30">
        <v>141</v>
      </c>
      <c r="AC151" s="30">
        <v>159</v>
      </c>
      <c r="AD151" s="30">
        <v>159</v>
      </c>
      <c r="AE151" s="30">
        <v>159</v>
      </c>
      <c r="AF151" s="30">
        <v>177</v>
      </c>
      <c r="AG151" s="30">
        <v>177</v>
      </c>
      <c r="AH151" s="30">
        <v>177</v>
      </c>
      <c r="AI151" s="30">
        <v>197</v>
      </c>
      <c r="AJ151" s="30">
        <v>197</v>
      </c>
      <c r="AK151" s="30">
        <v>197</v>
      </c>
      <c r="AL151" s="30">
        <v>217</v>
      </c>
      <c r="AM151" s="30">
        <v>217</v>
      </c>
      <c r="AN151" s="30">
        <v>217</v>
      </c>
      <c r="AO151" s="30">
        <v>238</v>
      </c>
      <c r="AP151" s="30">
        <v>238</v>
      </c>
      <c r="AQ151" s="30">
        <v>238</v>
      </c>
      <c r="AR151" s="30">
        <v>260</v>
      </c>
      <c r="AS151" s="30">
        <v>260</v>
      </c>
      <c r="AT151" s="30">
        <v>260</v>
      </c>
      <c r="AU151" s="30">
        <v>282</v>
      </c>
      <c r="AV151" s="30">
        <v>282</v>
      </c>
      <c r="AW151" s="30">
        <v>282</v>
      </c>
      <c r="AX151" s="30">
        <v>305</v>
      </c>
      <c r="AY151" s="30">
        <v>305</v>
      </c>
      <c r="AZ151" s="30">
        <v>305</v>
      </c>
      <c r="BA151" s="30">
        <v>329</v>
      </c>
      <c r="BB151" s="30">
        <v>329</v>
      </c>
      <c r="BC151" s="30">
        <v>329</v>
      </c>
      <c r="BD151" s="30">
        <v>354</v>
      </c>
      <c r="BE151" s="30">
        <v>354</v>
      </c>
      <c r="BF151" s="30">
        <v>354</v>
      </c>
      <c r="BG151" s="30">
        <v>379</v>
      </c>
      <c r="BH151" s="30">
        <v>379</v>
      </c>
      <c r="BI151" s="30">
        <v>379</v>
      </c>
      <c r="BJ151" s="30">
        <v>404</v>
      </c>
      <c r="BK151" s="30">
        <v>404</v>
      </c>
      <c r="BL151" s="30">
        <v>404</v>
      </c>
      <c r="BM151" s="30">
        <v>430</v>
      </c>
      <c r="BN151" s="30">
        <v>430</v>
      </c>
      <c r="BO151" s="30">
        <v>430</v>
      </c>
      <c r="BP151" s="30">
        <v>457</v>
      </c>
      <c r="BQ151" s="30">
        <v>457</v>
      </c>
      <c r="BR151" s="30">
        <v>457</v>
      </c>
      <c r="BS151" s="30">
        <v>484</v>
      </c>
      <c r="BT151" s="30">
        <v>484</v>
      </c>
      <c r="BU151" s="30">
        <v>484</v>
      </c>
      <c r="BV151" s="30">
        <v>512</v>
      </c>
      <c r="BW151" s="30">
        <v>512</v>
      </c>
      <c r="BX151" s="30">
        <v>512</v>
      </c>
      <c r="BY151" s="30">
        <v>540</v>
      </c>
      <c r="BZ151" s="30">
        <v>540</v>
      </c>
      <c r="CA151" s="30">
        <v>540</v>
      </c>
      <c r="CB151" s="30">
        <v>569</v>
      </c>
      <c r="CC151" s="30">
        <v>569</v>
      </c>
      <c r="CD151" s="30">
        <v>569</v>
      </c>
      <c r="CE151" s="30">
        <v>598</v>
      </c>
      <c r="CF151" s="30">
        <v>598</v>
      </c>
      <c r="CG151" s="30">
        <v>598</v>
      </c>
      <c r="CH151" s="30">
        <v>628</v>
      </c>
      <c r="CI151" s="30">
        <v>628</v>
      </c>
      <c r="CJ151" s="30">
        <v>628</v>
      </c>
      <c r="CK151" s="30">
        <v>658</v>
      </c>
      <c r="CL151" s="30">
        <v>658</v>
      </c>
      <c r="CM151" s="30">
        <v>658</v>
      </c>
    </row>
    <row r="152" spans="1:91" x14ac:dyDescent="0.25">
      <c r="A152" s="29" t="s">
        <v>918</v>
      </c>
      <c r="B152" s="30">
        <v>192</v>
      </c>
      <c r="C152" s="30">
        <v>48</v>
      </c>
      <c r="D152" s="30">
        <v>48</v>
      </c>
      <c r="E152" s="30">
        <v>208</v>
      </c>
      <c r="F152" s="30">
        <v>52</v>
      </c>
      <c r="G152" s="30">
        <v>52</v>
      </c>
      <c r="H152" s="30">
        <v>235</v>
      </c>
      <c r="I152" s="30">
        <v>59</v>
      </c>
      <c r="J152" s="30">
        <v>59</v>
      </c>
      <c r="K152" s="30">
        <v>268</v>
      </c>
      <c r="L152" s="30">
        <v>67</v>
      </c>
      <c r="M152" s="30">
        <v>67</v>
      </c>
      <c r="N152" s="30">
        <v>306</v>
      </c>
      <c r="O152" s="30">
        <v>77</v>
      </c>
      <c r="P152" s="30">
        <v>77</v>
      </c>
      <c r="Q152" s="30">
        <v>348</v>
      </c>
      <c r="R152" s="30">
        <v>87</v>
      </c>
      <c r="S152" s="30">
        <v>87</v>
      </c>
      <c r="T152" s="30">
        <v>393</v>
      </c>
      <c r="U152" s="30">
        <v>98</v>
      </c>
      <c r="V152" s="30">
        <v>98</v>
      </c>
      <c r="W152" s="30">
        <v>442</v>
      </c>
      <c r="X152" s="30">
        <v>110</v>
      </c>
      <c r="Y152" s="30">
        <v>110</v>
      </c>
      <c r="Z152" s="30">
        <v>493</v>
      </c>
      <c r="AA152" s="30">
        <v>123</v>
      </c>
      <c r="AB152" s="30">
        <v>123</v>
      </c>
      <c r="AC152" s="30">
        <v>547</v>
      </c>
      <c r="AD152" s="30">
        <v>137</v>
      </c>
      <c r="AE152" s="30">
        <v>137</v>
      </c>
      <c r="AF152" s="30">
        <v>604</v>
      </c>
      <c r="AG152" s="30">
        <v>151</v>
      </c>
      <c r="AH152" s="30">
        <v>151</v>
      </c>
      <c r="AI152" s="30">
        <v>662</v>
      </c>
      <c r="AJ152" s="30">
        <v>166</v>
      </c>
      <c r="AK152" s="30">
        <v>166</v>
      </c>
      <c r="AL152" s="30">
        <v>723</v>
      </c>
      <c r="AM152" s="30">
        <v>181</v>
      </c>
      <c r="AN152" s="30">
        <v>181</v>
      </c>
      <c r="AO152" s="30">
        <v>786</v>
      </c>
      <c r="AP152" s="30">
        <v>197</v>
      </c>
      <c r="AQ152" s="30">
        <v>197</v>
      </c>
      <c r="AR152" s="30">
        <v>851</v>
      </c>
      <c r="AS152" s="30">
        <v>213</v>
      </c>
      <c r="AT152" s="30">
        <v>213</v>
      </c>
      <c r="AU152" s="30">
        <v>918</v>
      </c>
      <c r="AV152" s="30">
        <v>230</v>
      </c>
      <c r="AW152" s="30">
        <v>230</v>
      </c>
      <c r="AX152" s="30">
        <v>987</v>
      </c>
      <c r="AY152" s="30">
        <v>247</v>
      </c>
      <c r="AZ152" s="30">
        <v>247</v>
      </c>
      <c r="BA152" s="30">
        <v>1057</v>
      </c>
      <c r="BB152" s="30">
        <v>264</v>
      </c>
      <c r="BC152" s="30">
        <v>264</v>
      </c>
      <c r="BD152" s="30">
        <v>1129</v>
      </c>
      <c r="BE152" s="30">
        <v>282</v>
      </c>
      <c r="BF152" s="30">
        <v>282</v>
      </c>
      <c r="BG152" s="30">
        <v>1203</v>
      </c>
      <c r="BH152" s="30">
        <v>301</v>
      </c>
      <c r="BI152" s="30">
        <v>301</v>
      </c>
      <c r="BJ152" s="30">
        <v>1278</v>
      </c>
      <c r="BK152" s="30">
        <v>320</v>
      </c>
      <c r="BL152" s="30">
        <v>320</v>
      </c>
      <c r="BM152" s="30">
        <v>1355</v>
      </c>
      <c r="BN152" s="30">
        <v>339</v>
      </c>
      <c r="BO152" s="30">
        <v>339</v>
      </c>
      <c r="BP152" s="30">
        <v>1433</v>
      </c>
      <c r="BQ152" s="30">
        <v>358</v>
      </c>
      <c r="BR152" s="30">
        <v>358</v>
      </c>
      <c r="BS152" s="30">
        <v>1513</v>
      </c>
      <c r="BT152" s="30">
        <v>378</v>
      </c>
      <c r="BU152" s="30">
        <v>378</v>
      </c>
      <c r="BV152" s="30">
        <v>1594</v>
      </c>
      <c r="BW152" s="30">
        <v>398</v>
      </c>
      <c r="BX152" s="30">
        <v>398</v>
      </c>
      <c r="BY152" s="30">
        <v>1676</v>
      </c>
      <c r="BZ152" s="30">
        <v>419</v>
      </c>
      <c r="CA152" s="30">
        <v>419</v>
      </c>
      <c r="CB152" s="30">
        <v>1760</v>
      </c>
      <c r="CC152" s="30">
        <v>440</v>
      </c>
      <c r="CD152" s="30">
        <v>440</v>
      </c>
      <c r="CE152" s="30">
        <v>1845</v>
      </c>
      <c r="CF152" s="30">
        <v>461</v>
      </c>
      <c r="CG152" s="30">
        <v>461</v>
      </c>
      <c r="CH152" s="30">
        <v>1932</v>
      </c>
      <c r="CI152" s="30">
        <v>483</v>
      </c>
      <c r="CJ152" s="30">
        <v>483</v>
      </c>
      <c r="CK152" s="30">
        <v>2019</v>
      </c>
      <c r="CL152" s="30">
        <v>505</v>
      </c>
      <c r="CM152" s="30">
        <v>505</v>
      </c>
    </row>
    <row r="153" spans="1:91" x14ac:dyDescent="0.25">
      <c r="A153" s="29" t="s">
        <v>1357</v>
      </c>
      <c r="B153" s="340">
        <v>55</v>
      </c>
      <c r="C153" s="340">
        <v>55</v>
      </c>
      <c r="D153" s="340">
        <v>10</v>
      </c>
      <c r="E153" s="340">
        <v>60.5</v>
      </c>
      <c r="F153" s="340">
        <v>60.5</v>
      </c>
      <c r="G153" s="340">
        <v>11</v>
      </c>
      <c r="H153" s="340">
        <v>71.041666666666657</v>
      </c>
      <c r="I153" s="340">
        <v>71.041666666666657</v>
      </c>
      <c r="J153" s="340">
        <v>12.916666666666666</v>
      </c>
      <c r="K153" s="340">
        <v>83.416666666666657</v>
      </c>
      <c r="L153" s="340">
        <v>83.416666666666657</v>
      </c>
      <c r="M153" s="340">
        <v>15.166666666666666</v>
      </c>
      <c r="N153" s="340">
        <v>98.541666666666657</v>
      </c>
      <c r="O153" s="340">
        <v>98.541666666666657</v>
      </c>
      <c r="P153" s="340">
        <v>17.916666666666664</v>
      </c>
      <c r="Q153" s="340">
        <v>115.04166666666666</v>
      </c>
      <c r="R153" s="340">
        <v>115.04166666666666</v>
      </c>
      <c r="S153" s="340">
        <v>20.916666666666664</v>
      </c>
      <c r="T153" s="340">
        <v>132.45833333333331</v>
      </c>
      <c r="U153" s="340">
        <v>132.45833333333331</v>
      </c>
      <c r="V153" s="340">
        <v>24.083333333333332</v>
      </c>
      <c r="W153" s="340">
        <v>151.70833333333331</v>
      </c>
      <c r="X153" s="340">
        <v>151.70833333333331</v>
      </c>
      <c r="Y153" s="340">
        <v>27.583333333333332</v>
      </c>
      <c r="Z153" s="340">
        <v>172.33333333333331</v>
      </c>
      <c r="AA153" s="340">
        <v>172.33333333333331</v>
      </c>
      <c r="AB153" s="340">
        <v>31.333333333333332</v>
      </c>
      <c r="AC153" s="340">
        <v>194.33333333333331</v>
      </c>
      <c r="AD153" s="340">
        <v>194.33333333333331</v>
      </c>
      <c r="AE153" s="340">
        <v>35.333333333333329</v>
      </c>
      <c r="AF153" s="340">
        <v>216.79166666666666</v>
      </c>
      <c r="AG153" s="340">
        <v>216.79166666666666</v>
      </c>
      <c r="AH153" s="340">
        <v>39.416666666666664</v>
      </c>
      <c r="AI153" s="340">
        <v>240.16666666666666</v>
      </c>
      <c r="AJ153" s="340">
        <v>240.16666666666666</v>
      </c>
      <c r="AK153" s="340">
        <v>43.666666666666664</v>
      </c>
      <c r="AL153" s="340">
        <v>265.375</v>
      </c>
      <c r="AM153" s="340">
        <v>265.375</v>
      </c>
      <c r="AN153" s="340">
        <v>48.25</v>
      </c>
      <c r="AO153" s="340">
        <v>291.04166666666663</v>
      </c>
      <c r="AP153" s="340">
        <v>291.04166666666663</v>
      </c>
      <c r="AQ153" s="340">
        <v>52.916666666666664</v>
      </c>
      <c r="AR153" s="340">
        <v>317.16666666666663</v>
      </c>
      <c r="AS153" s="340">
        <v>317.16666666666663</v>
      </c>
      <c r="AT153" s="340">
        <v>57.666666666666664</v>
      </c>
      <c r="AU153" s="340">
        <v>344.66666666666663</v>
      </c>
      <c r="AV153" s="340">
        <v>344.66666666666663</v>
      </c>
      <c r="AW153" s="340">
        <v>62.666666666666664</v>
      </c>
      <c r="AX153" s="340">
        <v>373.54166666666663</v>
      </c>
      <c r="AY153" s="340">
        <v>373.54166666666663</v>
      </c>
      <c r="AZ153" s="340">
        <v>67.916666666666657</v>
      </c>
      <c r="BA153" s="340">
        <v>401.95833333333331</v>
      </c>
      <c r="BB153" s="340">
        <v>401.95833333333331</v>
      </c>
      <c r="BC153" s="340">
        <v>73.083333333333329</v>
      </c>
      <c r="BD153" s="340">
        <v>432.20833333333331</v>
      </c>
      <c r="BE153" s="340">
        <v>432.20833333333331</v>
      </c>
      <c r="BF153" s="340">
        <v>78.583333333333329</v>
      </c>
      <c r="BG153" s="340">
        <v>462.45833333333331</v>
      </c>
      <c r="BH153" s="340">
        <v>462.45833333333331</v>
      </c>
      <c r="BI153" s="340">
        <v>84.083333333333329</v>
      </c>
      <c r="BJ153" s="340">
        <v>494.08333333333331</v>
      </c>
      <c r="BK153" s="340">
        <v>494.08333333333331</v>
      </c>
      <c r="BL153" s="340">
        <v>89.833333333333329</v>
      </c>
      <c r="BM153" s="340">
        <v>525.70833333333326</v>
      </c>
      <c r="BN153" s="340">
        <v>525.70833333333326</v>
      </c>
      <c r="BO153" s="340">
        <v>95.583333333333329</v>
      </c>
      <c r="BP153" s="340">
        <v>558.70833333333326</v>
      </c>
      <c r="BQ153" s="340">
        <v>558.70833333333326</v>
      </c>
      <c r="BR153" s="340">
        <v>101.58333333333333</v>
      </c>
      <c r="BS153" s="340">
        <v>591.70833333333326</v>
      </c>
      <c r="BT153" s="340">
        <v>591.70833333333326</v>
      </c>
      <c r="BU153" s="340">
        <v>107.58333333333333</v>
      </c>
      <c r="BV153" s="340">
        <v>625.625</v>
      </c>
      <c r="BW153" s="340">
        <v>625.625</v>
      </c>
      <c r="BX153" s="340">
        <v>113.75</v>
      </c>
      <c r="BY153" s="340">
        <v>660</v>
      </c>
      <c r="BZ153" s="340">
        <v>660</v>
      </c>
      <c r="CA153" s="340">
        <v>120</v>
      </c>
      <c r="CB153" s="340">
        <v>695.29166666666663</v>
      </c>
      <c r="CC153" s="340">
        <v>695.29166666666663</v>
      </c>
      <c r="CD153" s="340">
        <v>126.41666666666666</v>
      </c>
      <c r="CE153" s="340">
        <v>731.5</v>
      </c>
      <c r="CF153" s="340">
        <v>731.5</v>
      </c>
      <c r="CG153" s="340">
        <v>133</v>
      </c>
      <c r="CH153" s="340">
        <v>767.70833333333326</v>
      </c>
      <c r="CI153" s="340">
        <v>767.70833333333326</v>
      </c>
      <c r="CJ153" s="340">
        <v>139.58333333333331</v>
      </c>
      <c r="CK153" s="340">
        <v>804.83333333333326</v>
      </c>
      <c r="CL153" s="340">
        <v>804.83333333333326</v>
      </c>
      <c r="CM153" s="340">
        <v>146.33333333333331</v>
      </c>
    </row>
    <row r="154" spans="1:91" x14ac:dyDescent="0.25">
      <c r="A154" s="29" t="s">
        <v>41</v>
      </c>
      <c r="B154" s="30">
        <v>23</v>
      </c>
      <c r="C154" s="30">
        <v>30</v>
      </c>
      <c r="D154" s="30">
        <v>8</v>
      </c>
      <c r="E154" s="30">
        <v>25</v>
      </c>
      <c r="F154" s="30">
        <v>33</v>
      </c>
      <c r="G154" s="30">
        <v>8</v>
      </c>
      <c r="H154" s="30">
        <v>28</v>
      </c>
      <c r="I154" s="30">
        <v>37</v>
      </c>
      <c r="J154" s="30">
        <v>9</v>
      </c>
      <c r="K154" s="30">
        <v>32</v>
      </c>
      <c r="L154" s="30">
        <v>43</v>
      </c>
      <c r="M154" s="30">
        <v>11</v>
      </c>
      <c r="N154" s="30">
        <v>37</v>
      </c>
      <c r="O154" s="30">
        <v>50</v>
      </c>
      <c r="P154" s="30">
        <v>12</v>
      </c>
      <c r="Q154" s="30">
        <v>43</v>
      </c>
      <c r="R154" s="30">
        <v>57</v>
      </c>
      <c r="S154" s="30">
        <v>14</v>
      </c>
      <c r="T154" s="30">
        <v>49</v>
      </c>
      <c r="U154" s="30">
        <v>65</v>
      </c>
      <c r="V154" s="30">
        <v>16</v>
      </c>
      <c r="W154" s="30">
        <v>55</v>
      </c>
      <c r="X154" s="30">
        <v>74</v>
      </c>
      <c r="Y154" s="30">
        <v>18</v>
      </c>
      <c r="Z154" s="30">
        <v>62</v>
      </c>
      <c r="AA154" s="30">
        <v>83</v>
      </c>
      <c r="AB154" s="30">
        <v>21</v>
      </c>
      <c r="AC154" s="30">
        <v>69</v>
      </c>
      <c r="AD154" s="30">
        <v>92</v>
      </c>
      <c r="AE154" s="30">
        <v>23</v>
      </c>
      <c r="AF154" s="30">
        <v>77</v>
      </c>
      <c r="AG154" s="30">
        <v>102</v>
      </c>
      <c r="AH154" s="30">
        <v>26</v>
      </c>
      <c r="AI154" s="30">
        <v>85</v>
      </c>
      <c r="AJ154" s="30">
        <v>113</v>
      </c>
      <c r="AK154" s="30">
        <v>28</v>
      </c>
      <c r="AL154" s="30">
        <v>93</v>
      </c>
      <c r="AM154" s="30">
        <v>124</v>
      </c>
      <c r="AN154" s="30">
        <v>31</v>
      </c>
      <c r="AO154" s="30">
        <v>101</v>
      </c>
      <c r="AP154" s="30">
        <v>135</v>
      </c>
      <c r="AQ154" s="30">
        <v>34</v>
      </c>
      <c r="AR154" s="30">
        <v>110</v>
      </c>
      <c r="AS154" s="30">
        <v>147</v>
      </c>
      <c r="AT154" s="30">
        <v>37</v>
      </c>
      <c r="AU154" s="30">
        <v>119</v>
      </c>
      <c r="AV154" s="30">
        <v>159</v>
      </c>
      <c r="AW154" s="30">
        <v>40</v>
      </c>
      <c r="AX154" s="30">
        <v>128</v>
      </c>
      <c r="AY154" s="30">
        <v>171</v>
      </c>
      <c r="AZ154" s="30">
        <v>43</v>
      </c>
      <c r="BA154" s="30">
        <v>138</v>
      </c>
      <c r="BB154" s="30">
        <v>183</v>
      </c>
      <c r="BC154" s="30">
        <v>46</v>
      </c>
      <c r="BD154" s="30">
        <v>147</v>
      </c>
      <c r="BE154" s="30">
        <v>196</v>
      </c>
      <c r="BF154" s="30">
        <v>49</v>
      </c>
      <c r="BG154" s="30">
        <v>157</v>
      </c>
      <c r="BH154" s="30">
        <v>210</v>
      </c>
      <c r="BI154" s="30">
        <v>52</v>
      </c>
      <c r="BJ154" s="30">
        <v>167</v>
      </c>
      <c r="BK154" s="30">
        <v>223</v>
      </c>
      <c r="BL154" s="30">
        <v>56</v>
      </c>
      <c r="BM154" s="30">
        <v>178</v>
      </c>
      <c r="BN154" s="30">
        <v>237</v>
      </c>
      <c r="BO154" s="30">
        <v>59</v>
      </c>
      <c r="BP154" s="30">
        <v>188</v>
      </c>
      <c r="BQ154" s="30">
        <v>251</v>
      </c>
      <c r="BR154" s="30">
        <v>63</v>
      </c>
      <c r="BS154" s="30">
        <v>199</v>
      </c>
      <c r="BT154" s="30">
        <v>266</v>
      </c>
      <c r="BU154" s="30">
        <v>66</v>
      </c>
      <c r="BV154" s="30">
        <v>210</v>
      </c>
      <c r="BW154" s="30">
        <v>280</v>
      </c>
      <c r="BX154" s="30">
        <v>70</v>
      </c>
      <c r="BY154" s="30">
        <v>221</v>
      </c>
      <c r="BZ154" s="30">
        <v>295</v>
      </c>
      <c r="CA154" s="30">
        <v>74</v>
      </c>
      <c r="CB154" s="30">
        <v>233</v>
      </c>
      <c r="CC154" s="30">
        <v>311</v>
      </c>
      <c r="CD154" s="30">
        <v>78</v>
      </c>
      <c r="CE154" s="30">
        <v>245</v>
      </c>
      <c r="CF154" s="30">
        <v>326</v>
      </c>
      <c r="CG154" s="30">
        <v>82</v>
      </c>
      <c r="CH154" s="30">
        <v>256</v>
      </c>
      <c r="CI154" s="30">
        <v>342</v>
      </c>
      <c r="CJ154" s="30">
        <v>85</v>
      </c>
      <c r="CK154" s="30">
        <v>268</v>
      </c>
      <c r="CL154" s="30">
        <v>358</v>
      </c>
      <c r="CM154" s="30">
        <v>89</v>
      </c>
    </row>
    <row r="155" spans="1:91" x14ac:dyDescent="0.25">
      <c r="A155" s="29" t="s">
        <v>53</v>
      </c>
      <c r="B155" s="30">
        <v>23</v>
      </c>
      <c r="C155" s="30">
        <v>5</v>
      </c>
      <c r="D155" s="30">
        <v>33</v>
      </c>
      <c r="E155" s="30">
        <v>25</v>
      </c>
      <c r="F155" s="30">
        <v>5</v>
      </c>
      <c r="G155" s="30">
        <v>35</v>
      </c>
      <c r="H155" s="30">
        <v>28</v>
      </c>
      <c r="I155" s="30">
        <v>6</v>
      </c>
      <c r="J155" s="30">
        <v>40</v>
      </c>
      <c r="K155" s="30">
        <v>32</v>
      </c>
      <c r="L155" s="30">
        <v>7</v>
      </c>
      <c r="M155" s="30">
        <v>47</v>
      </c>
      <c r="N155" s="30">
        <v>37</v>
      </c>
      <c r="O155" s="30">
        <v>8</v>
      </c>
      <c r="P155" s="30">
        <v>54</v>
      </c>
      <c r="Q155" s="30">
        <v>43</v>
      </c>
      <c r="R155" s="30">
        <v>10</v>
      </c>
      <c r="S155" s="30">
        <v>62</v>
      </c>
      <c r="T155" s="30">
        <v>49</v>
      </c>
      <c r="U155" s="30">
        <v>11</v>
      </c>
      <c r="V155" s="30">
        <v>70</v>
      </c>
      <c r="W155" s="30">
        <v>55</v>
      </c>
      <c r="X155" s="30">
        <v>12</v>
      </c>
      <c r="Y155" s="30">
        <v>80</v>
      </c>
      <c r="Z155" s="30">
        <v>62</v>
      </c>
      <c r="AA155" s="30">
        <v>14</v>
      </c>
      <c r="AB155" s="30">
        <v>90</v>
      </c>
      <c r="AC155" s="30">
        <v>69</v>
      </c>
      <c r="AD155" s="30">
        <v>15</v>
      </c>
      <c r="AE155" s="30">
        <v>100</v>
      </c>
      <c r="AF155" s="30">
        <v>77</v>
      </c>
      <c r="AG155" s="30">
        <v>17</v>
      </c>
      <c r="AH155" s="30">
        <v>111</v>
      </c>
      <c r="AI155" s="30">
        <v>85</v>
      </c>
      <c r="AJ155" s="30">
        <v>19</v>
      </c>
      <c r="AK155" s="30">
        <v>122</v>
      </c>
      <c r="AL155" s="30">
        <v>93</v>
      </c>
      <c r="AM155" s="30">
        <v>21</v>
      </c>
      <c r="AN155" s="30">
        <v>134</v>
      </c>
      <c r="AO155" s="30">
        <v>101</v>
      </c>
      <c r="AP155" s="30">
        <v>22</v>
      </c>
      <c r="AQ155" s="30">
        <v>146</v>
      </c>
      <c r="AR155" s="30">
        <v>110</v>
      </c>
      <c r="AS155" s="30">
        <v>24</v>
      </c>
      <c r="AT155" s="30">
        <v>159</v>
      </c>
      <c r="AU155" s="30">
        <v>119</v>
      </c>
      <c r="AV155" s="30">
        <v>26</v>
      </c>
      <c r="AW155" s="30">
        <v>172</v>
      </c>
      <c r="AX155" s="30">
        <v>128</v>
      </c>
      <c r="AY155" s="30">
        <v>28</v>
      </c>
      <c r="AZ155" s="30">
        <v>185</v>
      </c>
      <c r="BA155" s="30">
        <v>138</v>
      </c>
      <c r="BB155" s="30">
        <v>31</v>
      </c>
      <c r="BC155" s="30">
        <v>199</v>
      </c>
      <c r="BD155" s="30">
        <v>147</v>
      </c>
      <c r="BE155" s="30">
        <v>33</v>
      </c>
      <c r="BF155" s="30">
        <v>213</v>
      </c>
      <c r="BG155" s="30">
        <v>157</v>
      </c>
      <c r="BH155" s="30">
        <v>35</v>
      </c>
      <c r="BI155" s="30">
        <v>227</v>
      </c>
      <c r="BJ155" s="30">
        <v>167</v>
      </c>
      <c r="BK155" s="30">
        <v>37</v>
      </c>
      <c r="BL155" s="30">
        <v>242</v>
      </c>
      <c r="BM155" s="30">
        <v>178</v>
      </c>
      <c r="BN155" s="30">
        <v>40</v>
      </c>
      <c r="BO155" s="30">
        <v>257</v>
      </c>
      <c r="BP155" s="30">
        <v>188</v>
      </c>
      <c r="BQ155" s="30">
        <v>42</v>
      </c>
      <c r="BR155" s="30">
        <v>272</v>
      </c>
      <c r="BS155" s="30">
        <v>199</v>
      </c>
      <c r="BT155" s="30">
        <v>44</v>
      </c>
      <c r="BU155" s="30">
        <v>288</v>
      </c>
      <c r="BV155" s="30">
        <v>210</v>
      </c>
      <c r="BW155" s="30">
        <v>47</v>
      </c>
      <c r="BX155" s="30">
        <v>304</v>
      </c>
      <c r="BY155" s="30">
        <v>221</v>
      </c>
      <c r="BZ155" s="30">
        <v>49</v>
      </c>
      <c r="CA155" s="30">
        <v>320</v>
      </c>
      <c r="CB155" s="30">
        <v>233</v>
      </c>
      <c r="CC155" s="30">
        <v>52</v>
      </c>
      <c r="CD155" s="30">
        <v>336</v>
      </c>
      <c r="CE155" s="30">
        <v>245</v>
      </c>
      <c r="CF155" s="30">
        <v>54</v>
      </c>
      <c r="CG155" s="30">
        <v>353</v>
      </c>
      <c r="CH155" s="30">
        <v>256</v>
      </c>
      <c r="CI155" s="30">
        <v>57</v>
      </c>
      <c r="CJ155" s="30">
        <v>370</v>
      </c>
      <c r="CK155" s="30">
        <v>268</v>
      </c>
      <c r="CL155" s="30">
        <v>60</v>
      </c>
      <c r="CM155" s="30">
        <v>387</v>
      </c>
    </row>
    <row r="156" spans="1:91" x14ac:dyDescent="0.25">
      <c r="A156" s="29" t="s">
        <v>65</v>
      </c>
      <c r="B156" s="30">
        <v>65</v>
      </c>
      <c r="C156" s="30">
        <v>45</v>
      </c>
      <c r="D156" s="30">
        <v>10</v>
      </c>
      <c r="E156" s="30">
        <v>72</v>
      </c>
      <c r="F156" s="30">
        <v>50</v>
      </c>
      <c r="G156" s="30">
        <v>11</v>
      </c>
      <c r="H156" s="30">
        <v>84</v>
      </c>
      <c r="I156" s="30">
        <v>58</v>
      </c>
      <c r="J156" s="30">
        <v>13</v>
      </c>
      <c r="K156" s="30">
        <v>99</v>
      </c>
      <c r="L156" s="30">
        <v>68</v>
      </c>
      <c r="M156" s="30">
        <v>15</v>
      </c>
      <c r="N156" s="30">
        <v>116</v>
      </c>
      <c r="O156" s="30">
        <v>80</v>
      </c>
      <c r="P156" s="30">
        <v>18</v>
      </c>
      <c r="Q156" s="30">
        <v>135</v>
      </c>
      <c r="R156" s="30">
        <v>94</v>
      </c>
      <c r="S156" s="30">
        <v>21</v>
      </c>
      <c r="T156" s="30">
        <v>157</v>
      </c>
      <c r="U156" s="30">
        <v>108</v>
      </c>
      <c r="V156" s="30">
        <v>24</v>
      </c>
      <c r="W156" s="30">
        <v>179</v>
      </c>
      <c r="X156" s="30">
        <v>124</v>
      </c>
      <c r="Y156" s="30">
        <v>28</v>
      </c>
      <c r="Z156" s="30">
        <v>204</v>
      </c>
      <c r="AA156" s="30">
        <v>141</v>
      </c>
      <c r="AB156" s="30">
        <v>31</v>
      </c>
      <c r="AC156" s="30">
        <v>229</v>
      </c>
      <c r="AD156" s="30">
        <v>159</v>
      </c>
      <c r="AE156" s="30">
        <v>35</v>
      </c>
      <c r="AF156" s="30">
        <v>256</v>
      </c>
      <c r="AG156" s="30">
        <v>177</v>
      </c>
      <c r="AH156" s="30">
        <v>39</v>
      </c>
      <c r="AI156" s="30">
        <v>284</v>
      </c>
      <c r="AJ156" s="30">
        <v>197</v>
      </c>
      <c r="AK156" s="30">
        <v>44</v>
      </c>
      <c r="AL156" s="30">
        <v>314</v>
      </c>
      <c r="AM156" s="30">
        <v>217</v>
      </c>
      <c r="AN156" s="30">
        <v>48</v>
      </c>
      <c r="AO156" s="30">
        <v>344</v>
      </c>
      <c r="AP156" s="30">
        <v>238</v>
      </c>
      <c r="AQ156" s="30">
        <v>53</v>
      </c>
      <c r="AR156" s="30">
        <v>375</v>
      </c>
      <c r="AS156" s="30">
        <v>260</v>
      </c>
      <c r="AT156" s="30">
        <v>58</v>
      </c>
      <c r="AU156" s="30">
        <v>408</v>
      </c>
      <c r="AV156" s="30">
        <v>282</v>
      </c>
      <c r="AW156" s="30">
        <v>63</v>
      </c>
      <c r="AX156" s="30">
        <v>441</v>
      </c>
      <c r="AY156" s="30">
        <v>305</v>
      </c>
      <c r="AZ156" s="30">
        <v>68</v>
      </c>
      <c r="BA156" s="30">
        <v>475</v>
      </c>
      <c r="BB156" s="30">
        <v>329</v>
      </c>
      <c r="BC156" s="30">
        <v>73</v>
      </c>
      <c r="BD156" s="30">
        <v>511</v>
      </c>
      <c r="BE156" s="30">
        <v>354</v>
      </c>
      <c r="BF156" s="30">
        <v>79</v>
      </c>
      <c r="BG156" s="30">
        <v>547</v>
      </c>
      <c r="BH156" s="30">
        <v>379</v>
      </c>
      <c r="BI156" s="30">
        <v>84</v>
      </c>
      <c r="BJ156" s="30">
        <v>584</v>
      </c>
      <c r="BK156" s="30">
        <v>404</v>
      </c>
      <c r="BL156" s="30">
        <v>90</v>
      </c>
      <c r="BM156" s="30">
        <v>621</v>
      </c>
      <c r="BN156" s="30">
        <v>430</v>
      </c>
      <c r="BO156" s="30">
        <v>96</v>
      </c>
      <c r="BP156" s="30">
        <v>660</v>
      </c>
      <c r="BQ156" s="30">
        <v>457</v>
      </c>
      <c r="BR156" s="30">
        <v>102</v>
      </c>
      <c r="BS156" s="30">
        <v>699</v>
      </c>
      <c r="BT156" s="30">
        <v>484</v>
      </c>
      <c r="BU156" s="30">
        <v>108</v>
      </c>
      <c r="BV156" s="30">
        <v>739</v>
      </c>
      <c r="BW156" s="30">
        <v>512</v>
      </c>
      <c r="BX156" s="30">
        <v>114</v>
      </c>
      <c r="BY156" s="30">
        <v>780</v>
      </c>
      <c r="BZ156" s="30">
        <v>540</v>
      </c>
      <c r="CA156" s="30">
        <v>120</v>
      </c>
      <c r="CB156" s="30">
        <v>822</v>
      </c>
      <c r="CC156" s="30">
        <v>569</v>
      </c>
      <c r="CD156" s="30">
        <v>126</v>
      </c>
      <c r="CE156" s="30">
        <v>864</v>
      </c>
      <c r="CF156" s="30">
        <v>598</v>
      </c>
      <c r="CG156" s="30">
        <v>133</v>
      </c>
      <c r="CH156" s="30">
        <v>907</v>
      </c>
      <c r="CI156" s="30">
        <v>628</v>
      </c>
      <c r="CJ156" s="30">
        <v>140</v>
      </c>
      <c r="CK156" s="30">
        <v>951</v>
      </c>
      <c r="CL156" s="30">
        <v>658</v>
      </c>
      <c r="CM156" s="30">
        <v>146</v>
      </c>
    </row>
    <row r="157" spans="1:91" x14ac:dyDescent="0.25">
      <c r="A157" s="29" t="s">
        <v>54</v>
      </c>
      <c r="B157" s="30">
        <v>5</v>
      </c>
      <c r="C157" s="30">
        <v>3</v>
      </c>
      <c r="D157" s="30">
        <v>16</v>
      </c>
      <c r="E157" s="30">
        <v>6</v>
      </c>
      <c r="F157" s="30">
        <v>3</v>
      </c>
      <c r="G157" s="30">
        <v>18</v>
      </c>
      <c r="H157" s="30">
        <v>6</v>
      </c>
      <c r="I157" s="30">
        <v>4</v>
      </c>
      <c r="J157" s="30">
        <v>20</v>
      </c>
      <c r="K157" s="30">
        <v>7</v>
      </c>
      <c r="L157" s="30">
        <v>4</v>
      </c>
      <c r="M157" s="30">
        <v>24</v>
      </c>
      <c r="N157" s="30">
        <v>9</v>
      </c>
      <c r="O157" s="30">
        <v>5</v>
      </c>
      <c r="P157" s="30">
        <v>28</v>
      </c>
      <c r="Q157" s="30">
        <v>10</v>
      </c>
      <c r="R157" s="30">
        <v>6</v>
      </c>
      <c r="S157" s="30">
        <v>32</v>
      </c>
      <c r="T157" s="30">
        <v>11</v>
      </c>
      <c r="U157" s="30">
        <v>7</v>
      </c>
      <c r="V157" s="30">
        <v>36</v>
      </c>
      <c r="W157" s="30">
        <v>13</v>
      </c>
      <c r="X157" s="30">
        <v>8</v>
      </c>
      <c r="Y157" s="30">
        <v>41</v>
      </c>
      <c r="Z157" s="30">
        <v>15</v>
      </c>
      <c r="AA157" s="30">
        <v>9</v>
      </c>
      <c r="AB157" s="30">
        <v>46</v>
      </c>
      <c r="AC157" s="30">
        <v>16</v>
      </c>
      <c r="AD157" s="30">
        <v>10</v>
      </c>
      <c r="AE157" s="30">
        <v>52</v>
      </c>
      <c r="AF157" s="30">
        <v>18</v>
      </c>
      <c r="AG157" s="30">
        <v>11</v>
      </c>
      <c r="AH157" s="30">
        <v>57</v>
      </c>
      <c r="AI157" s="30">
        <v>20</v>
      </c>
      <c r="AJ157" s="30">
        <v>12</v>
      </c>
      <c r="AK157" s="30">
        <v>63</v>
      </c>
      <c r="AL157" s="30">
        <v>22</v>
      </c>
      <c r="AM157" s="30">
        <v>13</v>
      </c>
      <c r="AN157" s="30">
        <v>70</v>
      </c>
      <c r="AO157" s="30">
        <v>24</v>
      </c>
      <c r="AP157" s="30">
        <v>14</v>
      </c>
      <c r="AQ157" s="30">
        <v>76</v>
      </c>
      <c r="AR157" s="30">
        <v>26</v>
      </c>
      <c r="AS157" s="30">
        <v>15</v>
      </c>
      <c r="AT157" s="30">
        <v>82</v>
      </c>
      <c r="AU157" s="30">
        <v>28</v>
      </c>
      <c r="AV157" s="30">
        <v>17</v>
      </c>
      <c r="AW157" s="30">
        <v>89</v>
      </c>
      <c r="AX157" s="30">
        <v>30</v>
      </c>
      <c r="AY157" s="30">
        <v>18</v>
      </c>
      <c r="AZ157" s="30">
        <v>96</v>
      </c>
      <c r="BA157" s="30">
        <v>32</v>
      </c>
      <c r="BB157" s="30">
        <v>19</v>
      </c>
      <c r="BC157" s="30">
        <v>103</v>
      </c>
      <c r="BD157" s="30">
        <v>35</v>
      </c>
      <c r="BE157" s="30">
        <v>21</v>
      </c>
      <c r="BF157" s="30">
        <v>111</v>
      </c>
      <c r="BG157" s="30">
        <v>37</v>
      </c>
      <c r="BH157" s="30">
        <v>22</v>
      </c>
      <c r="BI157" s="30">
        <v>118</v>
      </c>
      <c r="BJ157" s="30">
        <v>39</v>
      </c>
      <c r="BK157" s="30">
        <v>24</v>
      </c>
      <c r="BL157" s="30">
        <v>126</v>
      </c>
      <c r="BM157" s="30">
        <v>42</v>
      </c>
      <c r="BN157" s="30">
        <v>25</v>
      </c>
      <c r="BO157" s="30">
        <v>133</v>
      </c>
      <c r="BP157" s="30">
        <v>44</v>
      </c>
      <c r="BQ157" s="30">
        <v>26</v>
      </c>
      <c r="BR157" s="30">
        <v>141</v>
      </c>
      <c r="BS157" s="30">
        <v>47</v>
      </c>
      <c r="BT157" s="30">
        <v>28</v>
      </c>
      <c r="BU157" s="30">
        <v>149</v>
      </c>
      <c r="BV157" s="30">
        <v>49</v>
      </c>
      <c r="BW157" s="30">
        <v>30</v>
      </c>
      <c r="BX157" s="30">
        <v>157</v>
      </c>
      <c r="BY157" s="30">
        <v>52</v>
      </c>
      <c r="BZ157" s="30">
        <v>31</v>
      </c>
      <c r="CA157" s="30">
        <v>166</v>
      </c>
      <c r="CB157" s="30">
        <v>54</v>
      </c>
      <c r="CC157" s="30">
        <v>33</v>
      </c>
      <c r="CD157" s="30">
        <v>174</v>
      </c>
      <c r="CE157" s="30">
        <v>57</v>
      </c>
      <c r="CF157" s="30">
        <v>34</v>
      </c>
      <c r="CG157" s="30">
        <v>183</v>
      </c>
      <c r="CH157" s="30">
        <v>60</v>
      </c>
      <c r="CI157" s="30">
        <v>36</v>
      </c>
      <c r="CJ157" s="30">
        <v>191</v>
      </c>
      <c r="CK157" s="30">
        <v>63</v>
      </c>
      <c r="CL157" s="30">
        <v>38</v>
      </c>
      <c r="CM157" s="30">
        <v>200</v>
      </c>
    </row>
    <row r="158" spans="1:91" x14ac:dyDescent="0.25">
      <c r="A158" s="29" t="s">
        <v>42</v>
      </c>
      <c r="B158" s="30">
        <v>20</v>
      </c>
      <c r="C158" s="30">
        <v>33</v>
      </c>
      <c r="D158" s="30">
        <v>8</v>
      </c>
      <c r="E158" s="30">
        <v>22</v>
      </c>
      <c r="F158" s="30">
        <v>35</v>
      </c>
      <c r="G158" s="30">
        <v>8</v>
      </c>
      <c r="H158" s="30">
        <v>25</v>
      </c>
      <c r="I158" s="30">
        <v>40</v>
      </c>
      <c r="J158" s="30">
        <v>9</v>
      </c>
      <c r="K158" s="30">
        <v>29</v>
      </c>
      <c r="L158" s="30">
        <v>47</v>
      </c>
      <c r="M158" s="30">
        <v>11</v>
      </c>
      <c r="N158" s="30">
        <v>33</v>
      </c>
      <c r="O158" s="30">
        <v>54</v>
      </c>
      <c r="P158" s="30">
        <v>12</v>
      </c>
      <c r="Q158" s="30">
        <v>38</v>
      </c>
      <c r="R158" s="30">
        <v>62</v>
      </c>
      <c r="S158" s="30">
        <v>14</v>
      </c>
      <c r="T158" s="30">
        <v>43</v>
      </c>
      <c r="U158" s="30">
        <v>70</v>
      </c>
      <c r="V158" s="30">
        <v>16</v>
      </c>
      <c r="W158" s="30">
        <v>49</v>
      </c>
      <c r="X158" s="30">
        <v>80</v>
      </c>
      <c r="Y158" s="30">
        <v>18</v>
      </c>
      <c r="Z158" s="30">
        <v>55</v>
      </c>
      <c r="AA158" s="30">
        <v>90</v>
      </c>
      <c r="AB158" s="30">
        <v>21</v>
      </c>
      <c r="AC158" s="30">
        <v>61</v>
      </c>
      <c r="AD158" s="30">
        <v>100</v>
      </c>
      <c r="AE158" s="30">
        <v>23</v>
      </c>
      <c r="AF158" s="30">
        <v>68</v>
      </c>
      <c r="AG158" s="30">
        <v>111</v>
      </c>
      <c r="AH158" s="30">
        <v>26</v>
      </c>
      <c r="AI158" s="30">
        <v>75</v>
      </c>
      <c r="AJ158" s="30">
        <v>122</v>
      </c>
      <c r="AK158" s="30">
        <v>28</v>
      </c>
      <c r="AL158" s="30">
        <v>82</v>
      </c>
      <c r="AM158" s="30">
        <v>134</v>
      </c>
      <c r="AN158" s="30">
        <v>31</v>
      </c>
      <c r="AO158" s="30">
        <v>90</v>
      </c>
      <c r="AP158" s="30">
        <v>146</v>
      </c>
      <c r="AQ158" s="30">
        <v>34</v>
      </c>
      <c r="AR158" s="30">
        <v>98</v>
      </c>
      <c r="AS158" s="30">
        <v>159</v>
      </c>
      <c r="AT158" s="30">
        <v>37</v>
      </c>
      <c r="AU158" s="30">
        <v>106</v>
      </c>
      <c r="AV158" s="30">
        <v>172</v>
      </c>
      <c r="AW158" s="30">
        <v>40</v>
      </c>
      <c r="AX158" s="30">
        <v>114</v>
      </c>
      <c r="AY158" s="30">
        <v>185</v>
      </c>
      <c r="AZ158" s="30">
        <v>43</v>
      </c>
      <c r="BA158" s="30">
        <v>122</v>
      </c>
      <c r="BB158" s="30">
        <v>199</v>
      </c>
      <c r="BC158" s="30">
        <v>46</v>
      </c>
      <c r="BD158" s="30">
        <v>131</v>
      </c>
      <c r="BE158" s="30">
        <v>213</v>
      </c>
      <c r="BF158" s="30">
        <v>49</v>
      </c>
      <c r="BG158" s="30">
        <v>140</v>
      </c>
      <c r="BH158" s="30">
        <v>227</v>
      </c>
      <c r="BI158" s="30">
        <v>52</v>
      </c>
      <c r="BJ158" s="30">
        <v>149</v>
      </c>
      <c r="BK158" s="30">
        <v>242</v>
      </c>
      <c r="BL158" s="30">
        <v>56</v>
      </c>
      <c r="BM158" s="30">
        <v>158</v>
      </c>
      <c r="BN158" s="30">
        <v>257</v>
      </c>
      <c r="BO158" s="30">
        <v>59</v>
      </c>
      <c r="BP158" s="30">
        <v>168</v>
      </c>
      <c r="BQ158" s="30">
        <v>272</v>
      </c>
      <c r="BR158" s="30">
        <v>63</v>
      </c>
      <c r="BS158" s="30">
        <v>177</v>
      </c>
      <c r="BT158" s="30">
        <v>288</v>
      </c>
      <c r="BU158" s="30">
        <v>66</v>
      </c>
      <c r="BV158" s="30">
        <v>187</v>
      </c>
      <c r="BW158" s="30">
        <v>304</v>
      </c>
      <c r="BX158" s="30">
        <v>70</v>
      </c>
      <c r="BY158" s="30">
        <v>197</v>
      </c>
      <c r="BZ158" s="30">
        <v>320</v>
      </c>
      <c r="CA158" s="30">
        <v>74</v>
      </c>
      <c r="CB158" s="30">
        <v>207</v>
      </c>
      <c r="CC158" s="30">
        <v>336</v>
      </c>
      <c r="CD158" s="30">
        <v>78</v>
      </c>
      <c r="CE158" s="30">
        <v>217</v>
      </c>
      <c r="CF158" s="30">
        <v>353</v>
      </c>
      <c r="CG158" s="30">
        <v>82</v>
      </c>
      <c r="CH158" s="30">
        <v>228</v>
      </c>
      <c r="CI158" s="30">
        <v>370</v>
      </c>
      <c r="CJ158" s="30">
        <v>85</v>
      </c>
      <c r="CK158" s="30">
        <v>238</v>
      </c>
      <c r="CL158" s="30">
        <v>387</v>
      </c>
      <c r="CM158" s="30">
        <v>89</v>
      </c>
    </row>
  </sheetData>
  <sortState ref="A1:CM141">
    <sortCondition ref="A1"/>
  </sortState>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158"/>
  <sheetViews>
    <sheetView zoomScaleNormal="100" workbookViewId="0">
      <selection sqref="A1:U158"/>
    </sheetView>
  </sheetViews>
  <sheetFormatPr defaultColWidth="4.140625" defaultRowHeight="15" customHeight="1" x14ac:dyDescent="0.25"/>
  <cols>
    <col min="1" max="1" width="17.42578125" style="56" bestFit="1" customWidth="1"/>
    <col min="2" max="19" width="4.140625" style="56"/>
    <col min="20" max="20" width="157.42578125" style="56" bestFit="1" customWidth="1"/>
    <col min="21" max="21" width="20.140625" style="56" customWidth="1"/>
    <col min="22" max="16384" width="4.140625" style="56"/>
  </cols>
  <sheetData>
    <row r="1" spans="1:20" ht="15" customHeight="1" x14ac:dyDescent="0.25">
      <c r="A1" s="57" t="s">
        <v>47</v>
      </c>
      <c r="B1" s="56" t="s">
        <v>218</v>
      </c>
      <c r="C1" s="56">
        <v>5</v>
      </c>
      <c r="D1" s="56">
        <v>5</v>
      </c>
      <c r="E1" s="56">
        <v>5</v>
      </c>
      <c r="F1" s="56">
        <v>5</v>
      </c>
      <c r="G1" s="56">
        <v>5</v>
      </c>
      <c r="H1" s="56">
        <v>5</v>
      </c>
      <c r="I1" s="56">
        <v>5</v>
      </c>
      <c r="J1" s="56">
        <v>5</v>
      </c>
      <c r="K1" s="56">
        <v>5</v>
      </c>
      <c r="L1" s="56">
        <v>5</v>
      </c>
      <c r="M1" s="56">
        <v>5</v>
      </c>
      <c r="N1" s="56">
        <v>5</v>
      </c>
      <c r="O1" s="56">
        <v>5</v>
      </c>
      <c r="P1" s="56">
        <v>5</v>
      </c>
      <c r="Q1" s="56">
        <v>5</v>
      </c>
      <c r="R1" s="56">
        <v>5</v>
      </c>
      <c r="S1" s="56">
        <v>5</v>
      </c>
      <c r="T1" s="56" t="s">
        <v>219</v>
      </c>
    </row>
    <row r="2" spans="1:20" ht="15" customHeight="1" x14ac:dyDescent="0.25">
      <c r="A2" s="56" t="s">
        <v>102</v>
      </c>
      <c r="B2" s="56" t="s">
        <v>220</v>
      </c>
      <c r="C2" s="56">
        <v>5</v>
      </c>
      <c r="D2" s="56">
        <v>3</v>
      </c>
      <c r="E2" s="56">
        <v>5</v>
      </c>
      <c r="F2" s="56">
        <v>5</v>
      </c>
      <c r="G2" s="56">
        <v>5</v>
      </c>
      <c r="H2" s="56">
        <v>4</v>
      </c>
      <c r="I2" s="56">
        <v>5</v>
      </c>
      <c r="J2" s="56">
        <v>4.5</v>
      </c>
      <c r="K2" s="56">
        <v>5</v>
      </c>
      <c r="L2" s="56">
        <v>3</v>
      </c>
      <c r="M2" s="56">
        <v>5</v>
      </c>
      <c r="N2" s="56">
        <v>5</v>
      </c>
      <c r="O2" s="56">
        <v>5</v>
      </c>
      <c r="P2" s="56">
        <v>3</v>
      </c>
      <c r="Q2" s="56">
        <v>5</v>
      </c>
      <c r="R2" s="56">
        <v>4</v>
      </c>
      <c r="S2" s="56">
        <v>4</v>
      </c>
      <c r="T2" s="56" t="s">
        <v>635</v>
      </c>
    </row>
    <row r="3" spans="1:20" ht="15" customHeight="1" x14ac:dyDescent="0.25">
      <c r="A3" s="56" t="s">
        <v>84</v>
      </c>
      <c r="B3" s="56" t="s">
        <v>218</v>
      </c>
      <c r="C3" s="56">
        <v>3</v>
      </c>
      <c r="D3" s="56">
        <v>2</v>
      </c>
      <c r="E3" s="56">
        <v>2</v>
      </c>
      <c r="F3" s="56">
        <v>3</v>
      </c>
      <c r="G3" s="56">
        <v>5</v>
      </c>
      <c r="H3" s="56">
        <v>2</v>
      </c>
      <c r="I3" s="56">
        <v>1</v>
      </c>
      <c r="J3" s="56">
        <v>2.5</v>
      </c>
      <c r="K3" s="56">
        <v>5</v>
      </c>
      <c r="L3" s="56">
        <v>4</v>
      </c>
      <c r="M3" s="56">
        <v>5</v>
      </c>
      <c r="N3" s="56">
        <v>5</v>
      </c>
      <c r="O3" s="56">
        <v>5</v>
      </c>
      <c r="P3" s="56">
        <v>3</v>
      </c>
      <c r="Q3" s="56">
        <v>5</v>
      </c>
      <c r="R3" s="56">
        <v>4.5</v>
      </c>
      <c r="S3" s="56">
        <v>3.5</v>
      </c>
      <c r="T3" s="56" t="s">
        <v>265</v>
      </c>
    </row>
    <row r="4" spans="1:20" ht="15" customHeight="1" x14ac:dyDescent="0.25">
      <c r="A4" s="56" t="s">
        <v>31</v>
      </c>
      <c r="B4" s="56" t="s">
        <v>218</v>
      </c>
      <c r="C4" s="56">
        <v>5</v>
      </c>
      <c r="D4" s="56">
        <v>5</v>
      </c>
      <c r="E4" s="56">
        <v>5</v>
      </c>
      <c r="F4" s="56">
        <v>5</v>
      </c>
      <c r="G4" s="56">
        <v>5</v>
      </c>
      <c r="H4" s="56">
        <v>5</v>
      </c>
      <c r="I4" s="56">
        <v>5</v>
      </c>
      <c r="J4" s="56">
        <v>5</v>
      </c>
      <c r="K4" s="56">
        <v>5</v>
      </c>
      <c r="L4" s="56">
        <v>5</v>
      </c>
      <c r="M4" s="56">
        <v>5</v>
      </c>
      <c r="N4" s="56">
        <v>5</v>
      </c>
      <c r="O4" s="56">
        <v>5</v>
      </c>
      <c r="P4" s="56">
        <v>5</v>
      </c>
      <c r="Q4" s="56">
        <v>5</v>
      </c>
      <c r="R4" s="56">
        <v>5</v>
      </c>
      <c r="S4" s="56">
        <v>5</v>
      </c>
      <c r="T4" s="56" t="s">
        <v>266</v>
      </c>
    </row>
    <row r="5" spans="1:20" ht="15" customHeight="1" x14ac:dyDescent="0.25">
      <c r="A5" s="56" t="s">
        <v>29</v>
      </c>
      <c r="B5" s="56" t="s">
        <v>218</v>
      </c>
      <c r="C5" s="56">
        <v>5</v>
      </c>
      <c r="D5" s="56">
        <v>5</v>
      </c>
      <c r="E5" s="56">
        <v>5</v>
      </c>
      <c r="F5" s="56">
        <v>5</v>
      </c>
      <c r="G5" s="56">
        <v>5</v>
      </c>
      <c r="H5" s="56">
        <v>5</v>
      </c>
      <c r="I5" s="56">
        <v>5</v>
      </c>
      <c r="J5" s="56">
        <v>5</v>
      </c>
      <c r="K5" s="56">
        <v>5</v>
      </c>
      <c r="L5" s="56">
        <v>5</v>
      </c>
      <c r="M5" s="56">
        <v>5</v>
      </c>
      <c r="N5" s="56">
        <v>5</v>
      </c>
      <c r="O5" s="56">
        <v>5</v>
      </c>
      <c r="P5" s="56">
        <v>5</v>
      </c>
      <c r="Q5" s="56">
        <v>5</v>
      </c>
      <c r="R5" s="56">
        <v>5</v>
      </c>
      <c r="S5" s="56">
        <v>5</v>
      </c>
      <c r="T5" s="56" t="s">
        <v>1533</v>
      </c>
    </row>
    <row r="6" spans="1:20" ht="15" customHeight="1" x14ac:dyDescent="0.25">
      <c r="A6" s="56" t="s">
        <v>1973</v>
      </c>
      <c r="B6" s="56" t="s">
        <v>220</v>
      </c>
      <c r="D6" s="56">
        <v>1</v>
      </c>
      <c r="E6" s="56">
        <v>1</v>
      </c>
      <c r="H6" s="56">
        <v>1</v>
      </c>
      <c r="I6" s="56">
        <v>1</v>
      </c>
      <c r="J6" s="56">
        <v>1</v>
      </c>
      <c r="L6" s="56">
        <v>3</v>
      </c>
      <c r="M6" s="56">
        <v>3</v>
      </c>
      <c r="P6" s="56">
        <v>3</v>
      </c>
      <c r="Q6" s="56">
        <v>5</v>
      </c>
      <c r="R6" s="56">
        <v>3.5</v>
      </c>
      <c r="S6" s="56">
        <v>2</v>
      </c>
      <c r="T6" s="56" t="s">
        <v>1974</v>
      </c>
    </row>
    <row r="7" spans="1:20" ht="15" customHeight="1" x14ac:dyDescent="0.25">
      <c r="A7" s="56" t="s">
        <v>22</v>
      </c>
      <c r="B7" s="56" t="s">
        <v>220</v>
      </c>
      <c r="C7" s="56">
        <v>4</v>
      </c>
      <c r="D7" s="56">
        <v>5</v>
      </c>
      <c r="E7" s="56">
        <v>4</v>
      </c>
      <c r="F7" s="56">
        <v>4</v>
      </c>
      <c r="G7" s="56">
        <v>5</v>
      </c>
      <c r="H7" s="56">
        <v>4</v>
      </c>
      <c r="I7" s="56">
        <v>5</v>
      </c>
      <c r="J7" s="56">
        <v>4</v>
      </c>
      <c r="K7" s="56">
        <v>4</v>
      </c>
      <c r="L7" s="56">
        <v>4</v>
      </c>
      <c r="M7" s="56">
        <v>4</v>
      </c>
      <c r="N7" s="56">
        <v>4</v>
      </c>
      <c r="O7" s="56">
        <v>5</v>
      </c>
      <c r="P7" s="56">
        <v>4</v>
      </c>
      <c r="Q7" s="56">
        <v>3</v>
      </c>
      <c r="R7" s="56">
        <v>4</v>
      </c>
      <c r="S7" s="56">
        <v>4</v>
      </c>
      <c r="T7" s="56" t="s">
        <v>1930</v>
      </c>
    </row>
    <row r="8" spans="1:20" ht="15" customHeight="1" x14ac:dyDescent="0.25">
      <c r="A8" s="56" t="s">
        <v>1939</v>
      </c>
      <c r="B8" s="56" t="s">
        <v>220</v>
      </c>
      <c r="C8" s="56">
        <v>3</v>
      </c>
      <c r="D8" s="56">
        <v>2</v>
      </c>
      <c r="E8" s="56">
        <v>2</v>
      </c>
      <c r="H8" s="56">
        <v>3</v>
      </c>
      <c r="I8" s="56">
        <v>1</v>
      </c>
      <c r="J8" s="56">
        <v>2</v>
      </c>
      <c r="K8" s="56">
        <v>2</v>
      </c>
      <c r="L8" s="56">
        <v>2</v>
      </c>
      <c r="M8" s="56">
        <v>2</v>
      </c>
      <c r="P8" s="56">
        <v>2</v>
      </c>
      <c r="Q8" s="56">
        <v>2</v>
      </c>
      <c r="R8" s="56">
        <v>2</v>
      </c>
      <c r="S8" s="56">
        <v>2</v>
      </c>
      <c r="T8" s="56" t="s">
        <v>1932</v>
      </c>
    </row>
    <row r="9" spans="1:20" ht="15" customHeight="1" x14ac:dyDescent="0.25">
      <c r="A9" s="56" t="s">
        <v>1938</v>
      </c>
      <c r="B9" s="56" t="s">
        <v>220</v>
      </c>
      <c r="C9" s="56">
        <v>5</v>
      </c>
      <c r="D9" s="56">
        <v>3</v>
      </c>
      <c r="E9" s="56">
        <v>3</v>
      </c>
      <c r="H9" s="56">
        <v>3</v>
      </c>
      <c r="I9" s="56">
        <v>5</v>
      </c>
      <c r="J9" s="56">
        <v>3.5</v>
      </c>
      <c r="K9" s="56">
        <v>2</v>
      </c>
      <c r="L9" s="56">
        <v>2</v>
      </c>
      <c r="M9" s="56">
        <v>2</v>
      </c>
      <c r="P9" s="56">
        <v>2</v>
      </c>
      <c r="Q9" s="56">
        <v>3</v>
      </c>
      <c r="R9" s="56">
        <v>2</v>
      </c>
      <c r="S9" s="56">
        <v>2.5</v>
      </c>
      <c r="T9" s="56" t="s">
        <v>1931</v>
      </c>
    </row>
    <row r="10" spans="1:20" ht="15" customHeight="1" x14ac:dyDescent="0.25">
      <c r="A10" s="56" t="s">
        <v>2291</v>
      </c>
      <c r="B10" s="56" t="s">
        <v>218</v>
      </c>
      <c r="T10" s="56" t="s">
        <v>2292</v>
      </c>
    </row>
    <row r="11" spans="1:20" ht="15" customHeight="1" x14ac:dyDescent="0.25">
      <c r="A11" s="56" t="s">
        <v>43</v>
      </c>
      <c r="B11" s="56" t="s">
        <v>220</v>
      </c>
      <c r="C11" s="56">
        <v>2</v>
      </c>
      <c r="D11" s="56">
        <v>2</v>
      </c>
      <c r="E11" s="56">
        <v>2</v>
      </c>
      <c r="F11" s="56">
        <v>3</v>
      </c>
      <c r="G11" s="56">
        <v>1</v>
      </c>
      <c r="H11" s="56">
        <v>2</v>
      </c>
      <c r="I11" s="56">
        <v>2</v>
      </c>
      <c r="J11" s="56">
        <v>2</v>
      </c>
      <c r="K11" s="56">
        <v>4</v>
      </c>
      <c r="L11" s="56">
        <v>4</v>
      </c>
      <c r="M11" s="56">
        <v>4</v>
      </c>
      <c r="N11" s="56">
        <v>2</v>
      </c>
      <c r="O11" s="56">
        <v>4</v>
      </c>
      <c r="P11" s="56">
        <v>3</v>
      </c>
      <c r="Q11" s="56">
        <v>4</v>
      </c>
      <c r="R11" s="56">
        <v>3.5</v>
      </c>
      <c r="S11" s="56">
        <v>2.5</v>
      </c>
      <c r="T11" s="56" t="s">
        <v>625</v>
      </c>
    </row>
    <row r="12" spans="1:20" ht="15" customHeight="1" x14ac:dyDescent="0.25">
      <c r="A12" s="56" t="s">
        <v>2293</v>
      </c>
      <c r="B12" s="56" t="s">
        <v>222</v>
      </c>
      <c r="T12" s="56" t="s">
        <v>2294</v>
      </c>
    </row>
    <row r="13" spans="1:20" ht="15" customHeight="1" x14ac:dyDescent="0.25">
      <c r="A13" s="56" t="s">
        <v>731</v>
      </c>
      <c r="B13" s="56" t="s">
        <v>220</v>
      </c>
      <c r="C13" s="56">
        <v>1</v>
      </c>
      <c r="D13" s="56">
        <v>1</v>
      </c>
      <c r="E13" s="56">
        <v>1</v>
      </c>
      <c r="F13" s="56">
        <v>1</v>
      </c>
      <c r="H13" s="56">
        <v>1</v>
      </c>
      <c r="I13" s="56">
        <v>1</v>
      </c>
      <c r="J13" s="56">
        <v>1</v>
      </c>
      <c r="K13" s="56">
        <v>2</v>
      </c>
      <c r="L13" s="56">
        <v>2</v>
      </c>
      <c r="M13" s="56">
        <v>2</v>
      </c>
      <c r="N13" s="56">
        <v>2</v>
      </c>
      <c r="P13" s="56">
        <v>2</v>
      </c>
      <c r="Q13" s="56">
        <v>1</v>
      </c>
      <c r="R13" s="56">
        <v>1.5</v>
      </c>
      <c r="S13" s="56">
        <v>1</v>
      </c>
      <c r="T13" s="56" t="s">
        <v>866</v>
      </c>
    </row>
    <row r="14" spans="1:20" ht="15" customHeight="1" x14ac:dyDescent="0.25">
      <c r="A14" s="56" t="s">
        <v>44</v>
      </c>
      <c r="B14" s="56" t="s">
        <v>220</v>
      </c>
      <c r="C14" s="56">
        <v>1</v>
      </c>
      <c r="D14" s="56">
        <v>2</v>
      </c>
      <c r="E14" s="56">
        <v>2</v>
      </c>
      <c r="F14" s="56">
        <v>1</v>
      </c>
      <c r="G14" s="56">
        <v>3</v>
      </c>
      <c r="H14" s="56">
        <v>1</v>
      </c>
      <c r="I14" s="56">
        <v>2</v>
      </c>
      <c r="J14" s="56">
        <v>1.5</v>
      </c>
      <c r="K14" s="56">
        <v>1</v>
      </c>
      <c r="L14" s="56">
        <v>1</v>
      </c>
      <c r="M14" s="56">
        <v>1</v>
      </c>
      <c r="N14" s="56">
        <v>1</v>
      </c>
      <c r="O14" s="56">
        <v>2</v>
      </c>
      <c r="P14" s="56">
        <v>1</v>
      </c>
      <c r="Q14" s="56">
        <v>2</v>
      </c>
      <c r="R14" s="56">
        <v>1</v>
      </c>
      <c r="S14" s="56">
        <v>1</v>
      </c>
      <c r="T14" s="56" t="s">
        <v>669</v>
      </c>
    </row>
    <row r="15" spans="1:20" ht="15" customHeight="1" x14ac:dyDescent="0.25">
      <c r="A15" s="56" t="s">
        <v>2295</v>
      </c>
      <c r="B15" s="56" t="s">
        <v>220</v>
      </c>
      <c r="T15" s="56" t="s">
        <v>2385</v>
      </c>
    </row>
    <row r="16" spans="1:20" ht="15" customHeight="1" x14ac:dyDescent="0.25">
      <c r="A16" s="56" t="s">
        <v>13</v>
      </c>
      <c r="B16" s="56" t="s">
        <v>223</v>
      </c>
      <c r="C16" s="56">
        <v>1</v>
      </c>
      <c r="D16" s="56">
        <v>1</v>
      </c>
      <c r="E16" s="56">
        <v>1</v>
      </c>
      <c r="F16" s="56">
        <v>2</v>
      </c>
      <c r="G16" s="56">
        <v>5</v>
      </c>
      <c r="H16" s="56">
        <v>1</v>
      </c>
      <c r="I16" s="56">
        <v>5</v>
      </c>
      <c r="J16" s="56">
        <v>2</v>
      </c>
      <c r="K16" s="56">
        <v>1</v>
      </c>
      <c r="L16" s="56">
        <v>1</v>
      </c>
      <c r="M16" s="56">
        <v>1</v>
      </c>
      <c r="N16" s="56">
        <v>1</v>
      </c>
      <c r="O16" s="56">
        <v>2</v>
      </c>
      <c r="P16" s="56">
        <v>1</v>
      </c>
      <c r="Q16" s="56">
        <v>5</v>
      </c>
      <c r="R16" s="56">
        <v>1.5</v>
      </c>
      <c r="S16" s="56">
        <v>1.5</v>
      </c>
      <c r="T16" s="56" t="s">
        <v>267</v>
      </c>
    </row>
    <row r="17" spans="1:20" ht="15" customHeight="1" x14ac:dyDescent="0.25">
      <c r="A17" s="56" t="s">
        <v>14</v>
      </c>
      <c r="B17" s="56" t="s">
        <v>223</v>
      </c>
      <c r="C17" s="56">
        <v>2</v>
      </c>
      <c r="D17" s="56">
        <v>2</v>
      </c>
      <c r="E17" s="56">
        <v>2</v>
      </c>
      <c r="F17" s="56">
        <v>1</v>
      </c>
      <c r="G17" s="56">
        <v>2</v>
      </c>
      <c r="H17" s="56">
        <v>1</v>
      </c>
      <c r="I17" s="56">
        <v>1</v>
      </c>
      <c r="J17" s="56">
        <v>1.5</v>
      </c>
      <c r="K17" s="56">
        <v>2</v>
      </c>
      <c r="L17" s="56">
        <v>1</v>
      </c>
      <c r="M17" s="56">
        <v>2</v>
      </c>
      <c r="N17" s="56">
        <v>1</v>
      </c>
      <c r="O17" s="56">
        <v>2</v>
      </c>
      <c r="P17" s="56">
        <v>1</v>
      </c>
      <c r="Q17" s="56">
        <v>1</v>
      </c>
      <c r="R17" s="56">
        <v>1</v>
      </c>
      <c r="S17" s="56">
        <v>1</v>
      </c>
      <c r="T17" s="56" t="s">
        <v>268</v>
      </c>
    </row>
    <row r="18" spans="1:20" ht="15" customHeight="1" x14ac:dyDescent="0.25">
      <c r="A18" s="56" t="s">
        <v>15</v>
      </c>
      <c r="B18" s="56" t="s">
        <v>223</v>
      </c>
      <c r="C18" s="56">
        <v>1</v>
      </c>
      <c r="D18" s="56">
        <v>1</v>
      </c>
      <c r="E18" s="56">
        <v>1</v>
      </c>
      <c r="F18" s="56">
        <v>2</v>
      </c>
      <c r="G18" s="56">
        <v>3</v>
      </c>
      <c r="H18" s="56">
        <v>2</v>
      </c>
      <c r="I18" s="56">
        <v>1</v>
      </c>
      <c r="J18" s="56">
        <v>1.5</v>
      </c>
      <c r="K18" s="56">
        <v>1</v>
      </c>
      <c r="L18" s="56">
        <v>1</v>
      </c>
      <c r="M18" s="56">
        <v>1</v>
      </c>
      <c r="N18" s="56">
        <v>1</v>
      </c>
      <c r="O18" s="56">
        <v>2</v>
      </c>
      <c r="P18" s="56">
        <v>1</v>
      </c>
      <c r="Q18" s="56">
        <v>1</v>
      </c>
      <c r="R18" s="56">
        <v>1</v>
      </c>
      <c r="S18" s="56">
        <v>1</v>
      </c>
      <c r="T18" s="56" t="s">
        <v>1845</v>
      </c>
    </row>
    <row r="19" spans="1:20" ht="15" customHeight="1" x14ac:dyDescent="0.25">
      <c r="A19" s="56" t="s">
        <v>18</v>
      </c>
      <c r="B19" s="56" t="s">
        <v>223</v>
      </c>
      <c r="C19" s="56">
        <v>5</v>
      </c>
      <c r="D19" s="56">
        <v>5</v>
      </c>
      <c r="E19" s="56">
        <v>5</v>
      </c>
      <c r="F19" s="56">
        <v>4</v>
      </c>
      <c r="G19" s="56">
        <v>5</v>
      </c>
      <c r="H19" s="56">
        <v>4</v>
      </c>
      <c r="I19" s="56">
        <v>5</v>
      </c>
      <c r="J19" s="56">
        <v>4.5</v>
      </c>
      <c r="K19" s="56">
        <v>5</v>
      </c>
      <c r="L19" s="56">
        <v>5</v>
      </c>
      <c r="M19" s="56">
        <v>5</v>
      </c>
      <c r="N19" s="56">
        <v>5</v>
      </c>
      <c r="O19" s="56">
        <v>5</v>
      </c>
      <c r="P19" s="56">
        <v>5</v>
      </c>
      <c r="Q19" s="56">
        <v>5</v>
      </c>
      <c r="R19" s="56">
        <v>5</v>
      </c>
      <c r="S19" s="56">
        <v>4.5</v>
      </c>
      <c r="T19" s="56" t="s">
        <v>269</v>
      </c>
    </row>
    <row r="20" spans="1:20" ht="15" customHeight="1" x14ac:dyDescent="0.25">
      <c r="A20" s="56" t="s">
        <v>17</v>
      </c>
      <c r="B20" s="56" t="s">
        <v>223</v>
      </c>
      <c r="C20" s="56">
        <v>1</v>
      </c>
      <c r="D20" s="56">
        <v>1</v>
      </c>
      <c r="E20" s="56">
        <v>1</v>
      </c>
      <c r="F20" s="56">
        <v>1</v>
      </c>
      <c r="G20" s="56">
        <v>1</v>
      </c>
      <c r="H20" s="56">
        <v>1</v>
      </c>
      <c r="I20" s="56">
        <v>1</v>
      </c>
      <c r="J20" s="56">
        <v>1</v>
      </c>
      <c r="K20" s="56">
        <v>1</v>
      </c>
      <c r="L20" s="56">
        <v>1</v>
      </c>
      <c r="M20" s="56">
        <v>1</v>
      </c>
      <c r="N20" s="56">
        <v>1</v>
      </c>
      <c r="O20" s="56">
        <v>2</v>
      </c>
      <c r="P20" s="56">
        <v>1</v>
      </c>
      <c r="Q20" s="56">
        <v>1</v>
      </c>
      <c r="R20" s="56">
        <v>1</v>
      </c>
      <c r="S20" s="56">
        <v>1</v>
      </c>
      <c r="T20" s="56" t="s">
        <v>270</v>
      </c>
    </row>
    <row r="21" spans="1:20" ht="15" customHeight="1" x14ac:dyDescent="0.25">
      <c r="A21" s="56" t="s">
        <v>97</v>
      </c>
      <c r="B21" s="56" t="s">
        <v>220</v>
      </c>
      <c r="C21" s="56">
        <v>2</v>
      </c>
      <c r="D21" s="56">
        <v>2</v>
      </c>
      <c r="E21" s="56">
        <v>2</v>
      </c>
      <c r="F21" s="56">
        <v>2</v>
      </c>
      <c r="G21" s="56">
        <v>3</v>
      </c>
      <c r="H21" s="56">
        <v>2</v>
      </c>
      <c r="I21" s="56">
        <v>3</v>
      </c>
      <c r="J21" s="56">
        <v>2</v>
      </c>
      <c r="K21" s="56">
        <v>3</v>
      </c>
      <c r="L21" s="56">
        <v>3</v>
      </c>
      <c r="M21" s="56">
        <v>2</v>
      </c>
      <c r="N21" s="56">
        <v>3</v>
      </c>
      <c r="O21" s="56">
        <v>3</v>
      </c>
      <c r="P21" s="56">
        <v>2</v>
      </c>
      <c r="Q21" s="56">
        <v>3</v>
      </c>
      <c r="R21" s="56">
        <v>2.5</v>
      </c>
      <c r="S21" s="56">
        <v>2</v>
      </c>
      <c r="T21" s="56" t="s">
        <v>636</v>
      </c>
    </row>
    <row r="22" spans="1:20" ht="15" customHeight="1" x14ac:dyDescent="0.25">
      <c r="A22" s="56" t="s">
        <v>71</v>
      </c>
      <c r="B22" s="56" t="s">
        <v>222</v>
      </c>
      <c r="C22" s="56">
        <v>3</v>
      </c>
      <c r="D22" s="56">
        <v>2</v>
      </c>
      <c r="E22" s="56">
        <v>3</v>
      </c>
      <c r="F22" s="56">
        <v>4</v>
      </c>
      <c r="G22" s="56">
        <v>4</v>
      </c>
      <c r="H22" s="56">
        <v>3</v>
      </c>
      <c r="I22" s="56">
        <v>3</v>
      </c>
      <c r="J22" s="56">
        <v>3</v>
      </c>
      <c r="K22" s="56">
        <v>3</v>
      </c>
      <c r="L22" s="56">
        <v>3</v>
      </c>
      <c r="M22" s="56">
        <v>3</v>
      </c>
      <c r="N22" s="56">
        <v>3</v>
      </c>
      <c r="O22" s="56">
        <v>4</v>
      </c>
      <c r="P22" s="56">
        <v>3</v>
      </c>
      <c r="Q22" s="56">
        <v>3</v>
      </c>
      <c r="R22" s="56">
        <v>3</v>
      </c>
      <c r="S22" s="56">
        <v>3</v>
      </c>
      <c r="T22" s="56" t="s">
        <v>271</v>
      </c>
    </row>
    <row r="23" spans="1:20" ht="15" customHeight="1" x14ac:dyDescent="0.25">
      <c r="A23" s="56" t="s">
        <v>2178</v>
      </c>
      <c r="B23" s="56" t="s">
        <v>220</v>
      </c>
      <c r="D23" s="56">
        <v>1</v>
      </c>
      <c r="H23" s="56">
        <v>1</v>
      </c>
      <c r="J23" s="56">
        <v>1</v>
      </c>
      <c r="L23" s="56">
        <v>1</v>
      </c>
      <c r="P23" s="56">
        <v>1</v>
      </c>
      <c r="R23" s="56">
        <v>1</v>
      </c>
      <c r="S23" s="56">
        <v>1</v>
      </c>
      <c r="T23" s="56" t="s">
        <v>2179</v>
      </c>
    </row>
    <row r="24" spans="1:20" ht="15" customHeight="1" x14ac:dyDescent="0.25">
      <c r="A24" s="56" t="s">
        <v>45</v>
      </c>
      <c r="B24" s="56" t="s">
        <v>220</v>
      </c>
      <c r="C24" s="56">
        <v>5</v>
      </c>
      <c r="D24" s="56">
        <v>4</v>
      </c>
      <c r="E24" s="56">
        <v>4</v>
      </c>
      <c r="F24" s="56">
        <v>5</v>
      </c>
      <c r="G24" s="56">
        <v>5</v>
      </c>
      <c r="H24" s="56">
        <v>5</v>
      </c>
      <c r="I24" s="56">
        <v>4</v>
      </c>
      <c r="J24" s="56">
        <v>4.5</v>
      </c>
      <c r="K24" s="56">
        <v>3</v>
      </c>
      <c r="L24" s="56">
        <v>4</v>
      </c>
      <c r="M24" s="56">
        <v>3</v>
      </c>
      <c r="N24" s="56">
        <v>3</v>
      </c>
      <c r="O24" s="56">
        <v>4</v>
      </c>
      <c r="P24" s="56">
        <v>3</v>
      </c>
      <c r="Q24" s="56">
        <v>3</v>
      </c>
      <c r="R24" s="56">
        <v>3</v>
      </c>
      <c r="S24" s="56">
        <v>3.5</v>
      </c>
      <c r="T24" s="56" t="s">
        <v>272</v>
      </c>
    </row>
    <row r="25" spans="1:20" ht="15" customHeight="1" x14ac:dyDescent="0.25">
      <c r="A25" s="56" t="s">
        <v>80</v>
      </c>
      <c r="B25" s="56" t="s">
        <v>222</v>
      </c>
      <c r="C25" s="56">
        <v>3</v>
      </c>
      <c r="D25" s="56">
        <v>2</v>
      </c>
      <c r="E25" s="56">
        <v>4</v>
      </c>
      <c r="F25" s="56">
        <v>3</v>
      </c>
      <c r="G25" s="56">
        <v>4</v>
      </c>
      <c r="H25" s="56">
        <v>2</v>
      </c>
      <c r="I25" s="56">
        <v>4</v>
      </c>
      <c r="J25" s="56">
        <v>3</v>
      </c>
      <c r="K25" s="56">
        <v>1</v>
      </c>
      <c r="L25" s="56">
        <v>1</v>
      </c>
      <c r="M25" s="56">
        <v>1</v>
      </c>
      <c r="N25" s="56">
        <v>2</v>
      </c>
      <c r="O25" s="56">
        <v>1</v>
      </c>
      <c r="P25" s="56">
        <v>2</v>
      </c>
      <c r="Q25" s="56">
        <v>1</v>
      </c>
      <c r="R25" s="56">
        <v>1</v>
      </c>
      <c r="S25" s="56">
        <v>2</v>
      </c>
      <c r="T25" s="56" t="s">
        <v>273</v>
      </c>
    </row>
    <row r="26" spans="1:20" ht="15" customHeight="1" x14ac:dyDescent="0.25">
      <c r="A26" s="56" t="s">
        <v>20</v>
      </c>
      <c r="B26" s="56" t="s">
        <v>218</v>
      </c>
      <c r="C26" s="56">
        <v>1</v>
      </c>
      <c r="D26" s="56">
        <v>1</v>
      </c>
      <c r="E26" s="56">
        <v>1</v>
      </c>
      <c r="F26" s="56">
        <v>1</v>
      </c>
      <c r="G26" s="56">
        <v>2</v>
      </c>
      <c r="H26" s="56">
        <v>1</v>
      </c>
      <c r="I26" s="56">
        <v>1</v>
      </c>
      <c r="J26" s="56">
        <v>1</v>
      </c>
      <c r="K26" s="56">
        <v>1</v>
      </c>
      <c r="L26" s="56">
        <v>1</v>
      </c>
      <c r="M26" s="56">
        <v>1</v>
      </c>
      <c r="N26" s="56">
        <v>1</v>
      </c>
      <c r="O26" s="56">
        <v>1</v>
      </c>
      <c r="P26" s="56">
        <v>1</v>
      </c>
      <c r="Q26" s="56">
        <v>1</v>
      </c>
      <c r="R26" s="56">
        <v>1</v>
      </c>
      <c r="S26" s="56">
        <v>1</v>
      </c>
      <c r="T26" s="56" t="s">
        <v>274</v>
      </c>
    </row>
    <row r="27" spans="1:20" ht="15" customHeight="1" x14ac:dyDescent="0.25">
      <c r="A27" s="56" t="s">
        <v>85</v>
      </c>
      <c r="B27" s="56" t="s">
        <v>218</v>
      </c>
      <c r="C27" s="56">
        <v>3</v>
      </c>
      <c r="D27" s="56">
        <v>2</v>
      </c>
      <c r="E27" s="56">
        <v>2</v>
      </c>
      <c r="F27" s="56">
        <v>2</v>
      </c>
      <c r="G27" s="56">
        <v>5</v>
      </c>
      <c r="H27" s="56">
        <v>2</v>
      </c>
      <c r="I27" s="56">
        <v>1</v>
      </c>
      <c r="J27" s="56">
        <v>2</v>
      </c>
      <c r="K27" s="56">
        <v>3</v>
      </c>
      <c r="L27" s="56">
        <v>2</v>
      </c>
      <c r="M27" s="56">
        <v>2</v>
      </c>
      <c r="N27" s="56">
        <v>3</v>
      </c>
      <c r="O27" s="56">
        <v>3</v>
      </c>
      <c r="P27" s="56">
        <v>3</v>
      </c>
      <c r="Q27" s="56">
        <v>2</v>
      </c>
      <c r="R27" s="56">
        <v>2.5</v>
      </c>
      <c r="S27" s="56">
        <v>2</v>
      </c>
      <c r="T27" s="56" t="s">
        <v>275</v>
      </c>
    </row>
    <row r="28" spans="1:20" ht="15" customHeight="1" x14ac:dyDescent="0.25">
      <c r="A28" s="56" t="s">
        <v>34</v>
      </c>
      <c r="B28" s="56" t="s">
        <v>218</v>
      </c>
      <c r="C28" s="56">
        <v>4</v>
      </c>
      <c r="D28" s="56">
        <v>3</v>
      </c>
      <c r="E28" s="56">
        <v>3</v>
      </c>
      <c r="F28" s="56">
        <v>3</v>
      </c>
      <c r="G28" s="56">
        <v>4</v>
      </c>
      <c r="H28" s="56">
        <v>2</v>
      </c>
      <c r="I28" s="56">
        <v>4</v>
      </c>
      <c r="J28" s="56">
        <v>3</v>
      </c>
      <c r="K28" s="56">
        <v>2</v>
      </c>
      <c r="L28" s="56">
        <v>1</v>
      </c>
      <c r="M28" s="56">
        <v>3</v>
      </c>
      <c r="N28" s="56">
        <v>2</v>
      </c>
      <c r="O28" s="56">
        <v>2</v>
      </c>
      <c r="P28" s="56">
        <v>2</v>
      </c>
      <c r="Q28" s="56">
        <v>2</v>
      </c>
      <c r="R28" s="56">
        <v>2</v>
      </c>
      <c r="S28" s="56">
        <v>2.5</v>
      </c>
      <c r="T28" s="56" t="s">
        <v>1650</v>
      </c>
    </row>
    <row r="29" spans="1:20" ht="15" customHeight="1" x14ac:dyDescent="0.25">
      <c r="A29" s="56" t="s">
        <v>91</v>
      </c>
      <c r="B29" s="56" t="s">
        <v>223</v>
      </c>
      <c r="C29" s="56">
        <v>5</v>
      </c>
      <c r="D29" s="56">
        <v>3</v>
      </c>
      <c r="E29" s="56">
        <v>5</v>
      </c>
      <c r="F29" s="56">
        <v>4</v>
      </c>
      <c r="G29" s="56">
        <v>5</v>
      </c>
      <c r="H29" s="56">
        <v>4</v>
      </c>
      <c r="I29" s="56">
        <v>5</v>
      </c>
      <c r="J29" s="56">
        <v>4</v>
      </c>
      <c r="K29" s="56">
        <v>5</v>
      </c>
      <c r="L29" s="56">
        <v>3</v>
      </c>
      <c r="M29" s="56">
        <v>5</v>
      </c>
      <c r="N29" s="56">
        <v>5</v>
      </c>
      <c r="O29" s="56">
        <v>5</v>
      </c>
      <c r="P29" s="56">
        <v>5</v>
      </c>
      <c r="Q29" s="56">
        <v>5</v>
      </c>
      <c r="R29" s="56">
        <v>4.5</v>
      </c>
      <c r="S29" s="56">
        <v>4</v>
      </c>
      <c r="T29" s="56" t="s">
        <v>276</v>
      </c>
    </row>
    <row r="30" spans="1:20" ht="15" customHeight="1" x14ac:dyDescent="0.25">
      <c r="A30" s="56" t="s">
        <v>732</v>
      </c>
      <c r="B30" s="56" t="s">
        <v>222</v>
      </c>
      <c r="C30" s="56">
        <v>4</v>
      </c>
      <c r="D30" s="56">
        <v>4</v>
      </c>
      <c r="E30" s="56">
        <v>4</v>
      </c>
      <c r="F30" s="56">
        <v>4</v>
      </c>
      <c r="H30" s="56">
        <v>4</v>
      </c>
      <c r="I30" s="56">
        <v>5</v>
      </c>
      <c r="J30" s="56">
        <v>4</v>
      </c>
      <c r="K30" s="56">
        <v>4</v>
      </c>
      <c r="L30" s="56">
        <v>4</v>
      </c>
      <c r="M30" s="56">
        <v>4</v>
      </c>
      <c r="N30" s="56">
        <v>3</v>
      </c>
      <c r="P30" s="56">
        <v>4</v>
      </c>
      <c r="Q30" s="56">
        <v>3</v>
      </c>
      <c r="R30" s="56">
        <v>3.5</v>
      </c>
      <c r="S30" s="56">
        <v>3.5</v>
      </c>
      <c r="T30" s="56" t="s">
        <v>867</v>
      </c>
    </row>
    <row r="31" spans="1:20" ht="15" customHeight="1" x14ac:dyDescent="0.25">
      <c r="A31" s="56" t="s">
        <v>1354</v>
      </c>
      <c r="B31" s="56" t="s">
        <v>222</v>
      </c>
      <c r="C31" s="56">
        <v>2</v>
      </c>
      <c r="D31" s="56">
        <v>2</v>
      </c>
      <c r="E31" s="56">
        <v>1</v>
      </c>
      <c r="H31" s="56">
        <v>2</v>
      </c>
      <c r="I31" s="56">
        <v>3</v>
      </c>
      <c r="J31" s="56">
        <v>2</v>
      </c>
      <c r="K31" s="56">
        <v>4</v>
      </c>
      <c r="L31" s="56">
        <v>3</v>
      </c>
      <c r="M31" s="56">
        <v>3</v>
      </c>
      <c r="P31" s="56">
        <v>3</v>
      </c>
      <c r="Q31" s="56">
        <v>5</v>
      </c>
      <c r="R31" s="56">
        <v>3.5</v>
      </c>
      <c r="S31" s="56">
        <v>2.5</v>
      </c>
      <c r="T31" s="56" t="s">
        <v>1355</v>
      </c>
    </row>
    <row r="32" spans="1:20" ht="15" customHeight="1" x14ac:dyDescent="0.25">
      <c r="A32" s="56" t="s">
        <v>48</v>
      </c>
      <c r="B32" s="56" t="s">
        <v>220</v>
      </c>
      <c r="C32" s="56">
        <v>2</v>
      </c>
      <c r="D32" s="56">
        <v>2</v>
      </c>
      <c r="E32" s="56">
        <v>2</v>
      </c>
      <c r="F32" s="56">
        <v>2</v>
      </c>
      <c r="G32" s="56">
        <v>3</v>
      </c>
      <c r="H32" s="56">
        <v>2</v>
      </c>
      <c r="I32" s="56">
        <v>3</v>
      </c>
      <c r="J32" s="56">
        <v>2</v>
      </c>
      <c r="K32" s="56">
        <v>1</v>
      </c>
      <c r="L32" s="56">
        <v>1</v>
      </c>
      <c r="M32" s="56">
        <v>1</v>
      </c>
      <c r="N32" s="56">
        <v>2</v>
      </c>
      <c r="O32" s="56">
        <v>3</v>
      </c>
      <c r="P32" s="56">
        <v>1</v>
      </c>
      <c r="Q32" s="56">
        <v>2</v>
      </c>
      <c r="R32" s="56">
        <v>1.5</v>
      </c>
      <c r="S32" s="56">
        <v>1.5</v>
      </c>
      <c r="T32" s="56" t="s">
        <v>277</v>
      </c>
    </row>
    <row r="33" spans="1:20" ht="15" customHeight="1" x14ac:dyDescent="0.25">
      <c r="A33" s="56" t="s">
        <v>19</v>
      </c>
      <c r="B33" s="56" t="s">
        <v>223</v>
      </c>
      <c r="C33" s="56">
        <v>2</v>
      </c>
      <c r="D33" s="56">
        <v>2</v>
      </c>
      <c r="E33" s="56">
        <v>2</v>
      </c>
      <c r="F33" s="56">
        <v>3</v>
      </c>
      <c r="G33" s="56">
        <v>5</v>
      </c>
      <c r="H33" s="56">
        <v>3</v>
      </c>
      <c r="I33" s="56">
        <v>2</v>
      </c>
      <c r="J33" s="56">
        <v>2.5</v>
      </c>
      <c r="K33" s="56">
        <v>4</v>
      </c>
      <c r="L33" s="56">
        <v>4</v>
      </c>
      <c r="M33" s="56">
        <v>4</v>
      </c>
      <c r="N33" s="56">
        <v>4</v>
      </c>
      <c r="O33" s="56">
        <v>5</v>
      </c>
      <c r="P33" s="56">
        <v>4</v>
      </c>
      <c r="Q33" s="56">
        <v>5</v>
      </c>
      <c r="R33" s="56">
        <v>4</v>
      </c>
      <c r="S33" s="56">
        <v>3</v>
      </c>
      <c r="T33" s="56" t="s">
        <v>278</v>
      </c>
    </row>
    <row r="34" spans="1:20" ht="15" customHeight="1" x14ac:dyDescent="0.25">
      <c r="A34" s="56" t="s">
        <v>254</v>
      </c>
      <c r="B34" s="56" t="s">
        <v>220</v>
      </c>
      <c r="C34" s="56">
        <v>3</v>
      </c>
      <c r="D34" s="56">
        <v>3</v>
      </c>
      <c r="E34" s="56">
        <v>3</v>
      </c>
      <c r="F34" s="56">
        <v>3</v>
      </c>
      <c r="H34" s="56">
        <v>3</v>
      </c>
      <c r="I34" s="56">
        <v>4</v>
      </c>
      <c r="J34" s="56">
        <v>3</v>
      </c>
      <c r="K34" s="56">
        <v>1</v>
      </c>
      <c r="L34" s="56">
        <v>1</v>
      </c>
      <c r="M34" s="56">
        <v>2</v>
      </c>
      <c r="N34" s="56">
        <v>3</v>
      </c>
      <c r="P34" s="56">
        <v>1</v>
      </c>
      <c r="Q34" s="56">
        <v>4</v>
      </c>
      <c r="R34" s="56">
        <v>2</v>
      </c>
      <c r="S34" s="56">
        <v>2.5</v>
      </c>
      <c r="T34" s="56" t="s">
        <v>626</v>
      </c>
    </row>
    <row r="35" spans="1:20" ht="15" customHeight="1" x14ac:dyDescent="0.25">
      <c r="A35" s="56" t="s">
        <v>1644</v>
      </c>
      <c r="B35" s="56" t="s">
        <v>218</v>
      </c>
      <c r="C35" s="56">
        <v>3</v>
      </c>
      <c r="D35" s="56">
        <v>3</v>
      </c>
      <c r="E35" s="56">
        <v>3</v>
      </c>
      <c r="F35" s="56">
        <v>3</v>
      </c>
      <c r="G35" s="56">
        <v>3</v>
      </c>
      <c r="H35" s="56">
        <v>3</v>
      </c>
      <c r="I35" s="56">
        <v>3</v>
      </c>
      <c r="J35" s="56">
        <v>3</v>
      </c>
      <c r="K35" s="56">
        <v>4</v>
      </c>
      <c r="L35" s="56">
        <v>4</v>
      </c>
      <c r="M35" s="56">
        <v>4</v>
      </c>
      <c r="N35" s="56">
        <v>3</v>
      </c>
      <c r="O35" s="56">
        <v>4</v>
      </c>
      <c r="P35" s="56">
        <v>3</v>
      </c>
      <c r="Q35" s="56">
        <v>4</v>
      </c>
      <c r="R35" s="56">
        <v>3.5</v>
      </c>
      <c r="S35" s="56">
        <v>3</v>
      </c>
      <c r="T35" s="56" t="s">
        <v>263</v>
      </c>
    </row>
    <row r="36" spans="1:20" ht="15" customHeight="1" x14ac:dyDescent="0.25">
      <c r="A36" s="56" t="s">
        <v>1651</v>
      </c>
      <c r="B36" s="56" t="s">
        <v>222</v>
      </c>
      <c r="C36" s="56">
        <v>1</v>
      </c>
      <c r="D36" s="56">
        <v>1</v>
      </c>
      <c r="E36" s="56">
        <v>1</v>
      </c>
      <c r="H36" s="56">
        <v>1</v>
      </c>
      <c r="I36" s="56">
        <v>1</v>
      </c>
      <c r="J36" s="56">
        <v>1</v>
      </c>
      <c r="K36" s="56">
        <v>5</v>
      </c>
      <c r="L36" s="56">
        <v>4</v>
      </c>
      <c r="M36" s="56">
        <v>4</v>
      </c>
      <c r="P36" s="56">
        <v>4</v>
      </c>
      <c r="Q36" s="56">
        <v>5</v>
      </c>
      <c r="R36" s="56">
        <v>4</v>
      </c>
      <c r="S36" s="56">
        <v>2.5</v>
      </c>
      <c r="T36" s="56" t="s">
        <v>1652</v>
      </c>
    </row>
    <row r="37" spans="1:20" ht="15" customHeight="1" x14ac:dyDescent="0.25">
      <c r="A37" s="56" t="s">
        <v>96</v>
      </c>
      <c r="B37" s="56" t="s">
        <v>220</v>
      </c>
      <c r="C37" s="56">
        <v>3</v>
      </c>
      <c r="D37" s="56">
        <v>3</v>
      </c>
      <c r="E37" s="56">
        <v>2</v>
      </c>
      <c r="F37" s="56">
        <v>3</v>
      </c>
      <c r="G37" s="56">
        <v>3</v>
      </c>
      <c r="H37" s="56">
        <v>3</v>
      </c>
      <c r="I37" s="56">
        <v>1</v>
      </c>
      <c r="J37" s="56">
        <v>2.5</v>
      </c>
      <c r="K37" s="56">
        <v>3</v>
      </c>
      <c r="L37" s="56">
        <v>3</v>
      </c>
      <c r="M37" s="56">
        <v>3</v>
      </c>
      <c r="N37" s="56">
        <v>4</v>
      </c>
      <c r="O37" s="56">
        <v>3</v>
      </c>
      <c r="P37" s="56">
        <v>3</v>
      </c>
      <c r="Q37" s="56">
        <v>4</v>
      </c>
      <c r="R37" s="56">
        <v>3</v>
      </c>
      <c r="S37" s="56">
        <v>2.5</v>
      </c>
      <c r="T37" s="56" t="s">
        <v>680</v>
      </c>
    </row>
    <row r="38" spans="1:20" ht="15" customHeight="1" x14ac:dyDescent="0.25">
      <c r="A38" s="56" t="s">
        <v>107</v>
      </c>
      <c r="B38" s="56" t="s">
        <v>222</v>
      </c>
      <c r="C38" s="56">
        <v>3</v>
      </c>
      <c r="D38" s="56">
        <v>3</v>
      </c>
      <c r="E38" s="56">
        <v>3</v>
      </c>
      <c r="F38" s="56">
        <v>3</v>
      </c>
      <c r="G38" s="56">
        <v>4</v>
      </c>
      <c r="H38" s="56">
        <v>3</v>
      </c>
      <c r="I38" s="56">
        <v>4</v>
      </c>
      <c r="J38" s="56">
        <v>3</v>
      </c>
      <c r="K38" s="56">
        <v>3</v>
      </c>
      <c r="L38" s="56">
        <v>3</v>
      </c>
      <c r="M38" s="56">
        <v>3</v>
      </c>
      <c r="N38" s="56">
        <v>3</v>
      </c>
      <c r="O38" s="56">
        <v>4</v>
      </c>
      <c r="P38" s="56">
        <v>2</v>
      </c>
      <c r="Q38" s="56">
        <v>4</v>
      </c>
      <c r="R38" s="56">
        <v>3</v>
      </c>
      <c r="S38" s="56">
        <v>3</v>
      </c>
      <c r="T38" s="56" t="s">
        <v>681</v>
      </c>
    </row>
    <row r="39" spans="1:20" ht="15" customHeight="1" x14ac:dyDescent="0.25">
      <c r="A39" s="56" t="s">
        <v>1975</v>
      </c>
      <c r="B39" s="56" t="s">
        <v>220</v>
      </c>
      <c r="D39" s="56">
        <v>1</v>
      </c>
      <c r="E39" s="56">
        <v>1</v>
      </c>
      <c r="H39" s="56">
        <v>1</v>
      </c>
      <c r="I39" s="56">
        <v>1</v>
      </c>
      <c r="J39" s="56">
        <v>1</v>
      </c>
      <c r="L39" s="56">
        <v>4</v>
      </c>
      <c r="M39" s="56">
        <v>4</v>
      </c>
      <c r="P39" s="56">
        <v>3</v>
      </c>
      <c r="Q39" s="56">
        <v>4</v>
      </c>
      <c r="R39" s="56">
        <v>3.5</v>
      </c>
      <c r="S39" s="56">
        <v>2</v>
      </c>
      <c r="T39" s="56" t="s">
        <v>1976</v>
      </c>
    </row>
    <row r="40" spans="1:20" ht="15" customHeight="1" x14ac:dyDescent="0.25">
      <c r="A40" s="56" t="s">
        <v>1640</v>
      </c>
      <c r="B40" s="56" t="s">
        <v>222</v>
      </c>
      <c r="C40" s="56">
        <v>1</v>
      </c>
      <c r="D40" s="56">
        <v>1</v>
      </c>
      <c r="E40" s="56">
        <v>1</v>
      </c>
      <c r="F40" s="56">
        <v>1</v>
      </c>
      <c r="G40" s="56">
        <v>1</v>
      </c>
      <c r="H40" s="56">
        <v>1</v>
      </c>
      <c r="I40" s="56">
        <v>1</v>
      </c>
      <c r="J40" s="56">
        <v>1</v>
      </c>
      <c r="K40" s="56">
        <v>1</v>
      </c>
      <c r="L40" s="56">
        <v>2</v>
      </c>
      <c r="M40" s="56">
        <v>1</v>
      </c>
      <c r="N40" s="56">
        <v>2</v>
      </c>
      <c r="O40" s="56">
        <v>2</v>
      </c>
      <c r="P40" s="56">
        <v>1</v>
      </c>
      <c r="Q40" s="56">
        <v>1</v>
      </c>
      <c r="R40" s="56">
        <v>1</v>
      </c>
      <c r="S40" s="56">
        <v>1</v>
      </c>
      <c r="T40" s="56" t="s">
        <v>261</v>
      </c>
    </row>
    <row r="41" spans="1:20" ht="15" customHeight="1" x14ac:dyDescent="0.25">
      <c r="A41" s="56" t="s">
        <v>1638</v>
      </c>
      <c r="B41" s="56" t="s">
        <v>222</v>
      </c>
      <c r="C41" s="56">
        <v>1</v>
      </c>
      <c r="D41" s="56">
        <v>1</v>
      </c>
      <c r="E41" s="56">
        <v>1</v>
      </c>
      <c r="H41" s="56">
        <v>1</v>
      </c>
      <c r="I41" s="56">
        <v>1</v>
      </c>
      <c r="J41" s="56">
        <v>1</v>
      </c>
      <c r="K41" s="56">
        <v>1</v>
      </c>
      <c r="L41" s="56">
        <v>1</v>
      </c>
      <c r="M41" s="56">
        <v>1</v>
      </c>
      <c r="P41" s="56">
        <v>1</v>
      </c>
      <c r="Q41" s="56">
        <v>1</v>
      </c>
      <c r="R41" s="56">
        <v>1</v>
      </c>
      <c r="S41" s="56">
        <v>1</v>
      </c>
      <c r="T41" s="56" t="s">
        <v>1563</v>
      </c>
    </row>
    <row r="42" spans="1:20" ht="15" customHeight="1" x14ac:dyDescent="0.25">
      <c r="A42" s="56" t="s">
        <v>5</v>
      </c>
      <c r="B42" s="56" t="s">
        <v>223</v>
      </c>
      <c r="C42" s="56">
        <v>4</v>
      </c>
      <c r="D42" s="56">
        <v>3</v>
      </c>
      <c r="E42" s="56">
        <v>4</v>
      </c>
      <c r="F42" s="56">
        <v>3</v>
      </c>
      <c r="G42" s="56">
        <v>4</v>
      </c>
      <c r="H42" s="56">
        <v>3</v>
      </c>
      <c r="I42" s="56">
        <v>4</v>
      </c>
      <c r="J42" s="56">
        <v>3.5</v>
      </c>
      <c r="K42" s="56">
        <v>2</v>
      </c>
      <c r="L42" s="56">
        <v>2</v>
      </c>
      <c r="M42" s="56">
        <v>2</v>
      </c>
      <c r="N42" s="56">
        <v>2</v>
      </c>
      <c r="O42" s="56">
        <v>3</v>
      </c>
      <c r="P42" s="56">
        <v>2</v>
      </c>
      <c r="Q42" s="56">
        <v>1</v>
      </c>
      <c r="R42" s="56">
        <v>2</v>
      </c>
      <c r="S42" s="56">
        <v>2.5</v>
      </c>
      <c r="T42" s="56" t="s">
        <v>224</v>
      </c>
    </row>
    <row r="43" spans="1:20" ht="15" customHeight="1" x14ac:dyDescent="0.25">
      <c r="A43" s="56" t="s">
        <v>733</v>
      </c>
      <c r="B43" s="56" t="s">
        <v>222</v>
      </c>
      <c r="C43" s="56">
        <v>4</v>
      </c>
      <c r="D43" s="56">
        <v>3</v>
      </c>
      <c r="E43" s="56">
        <v>4</v>
      </c>
      <c r="F43" s="56">
        <v>3</v>
      </c>
      <c r="H43" s="56">
        <v>4</v>
      </c>
      <c r="I43" s="56">
        <v>1</v>
      </c>
      <c r="J43" s="56">
        <v>3</v>
      </c>
      <c r="K43" s="56">
        <v>5</v>
      </c>
      <c r="L43" s="56">
        <v>3</v>
      </c>
      <c r="M43" s="56">
        <v>4</v>
      </c>
      <c r="N43" s="56">
        <v>3</v>
      </c>
      <c r="P43" s="56">
        <v>4</v>
      </c>
      <c r="Q43" s="56">
        <v>5</v>
      </c>
      <c r="R43" s="56">
        <v>4</v>
      </c>
      <c r="S43" s="56">
        <v>3.5</v>
      </c>
      <c r="T43" s="56" t="s">
        <v>868</v>
      </c>
    </row>
    <row r="44" spans="1:20" ht="15" customHeight="1" x14ac:dyDescent="0.25">
      <c r="A44" s="56" t="s">
        <v>108</v>
      </c>
      <c r="B44" s="56" t="s">
        <v>222</v>
      </c>
      <c r="C44" s="56">
        <v>1</v>
      </c>
      <c r="D44" s="56">
        <v>1</v>
      </c>
      <c r="E44" s="56">
        <v>1</v>
      </c>
      <c r="F44" s="56">
        <v>1</v>
      </c>
      <c r="G44" s="56">
        <v>2</v>
      </c>
      <c r="H44" s="56">
        <v>1</v>
      </c>
      <c r="I44" s="56">
        <v>1</v>
      </c>
      <c r="J44" s="56">
        <v>1</v>
      </c>
      <c r="K44" s="56">
        <v>1</v>
      </c>
      <c r="L44" s="56">
        <v>1</v>
      </c>
      <c r="M44" s="56">
        <v>1</v>
      </c>
      <c r="N44" s="56">
        <v>1</v>
      </c>
      <c r="O44" s="56">
        <v>1</v>
      </c>
      <c r="P44" s="56">
        <v>1</v>
      </c>
      <c r="Q44" s="56">
        <v>1</v>
      </c>
      <c r="R44" s="56">
        <v>1</v>
      </c>
      <c r="S44" s="56">
        <v>1</v>
      </c>
      <c r="T44" s="56" t="s">
        <v>279</v>
      </c>
    </row>
    <row r="45" spans="1:20" ht="15" customHeight="1" x14ac:dyDescent="0.25">
      <c r="A45" s="56" t="s">
        <v>1846</v>
      </c>
      <c r="B45" s="56" t="s">
        <v>222</v>
      </c>
      <c r="C45" s="56">
        <v>1</v>
      </c>
      <c r="D45" s="56">
        <v>1</v>
      </c>
      <c r="E45" s="56">
        <v>1</v>
      </c>
      <c r="H45" s="56">
        <v>1</v>
      </c>
      <c r="I45" s="56">
        <v>1</v>
      </c>
      <c r="J45" s="56">
        <v>1</v>
      </c>
      <c r="K45" s="56">
        <v>1</v>
      </c>
      <c r="L45" s="56">
        <v>1</v>
      </c>
      <c r="M45" s="56">
        <v>1</v>
      </c>
      <c r="P45" s="56">
        <v>1</v>
      </c>
      <c r="Q45" s="56">
        <v>3</v>
      </c>
      <c r="R45" s="56">
        <v>1</v>
      </c>
      <c r="S45" s="56">
        <v>1</v>
      </c>
      <c r="T45" s="56" t="s">
        <v>1847</v>
      </c>
    </row>
    <row r="46" spans="1:20" ht="15" customHeight="1" x14ac:dyDescent="0.25">
      <c r="A46" s="56" t="s">
        <v>28</v>
      </c>
      <c r="B46" s="56" t="s">
        <v>218</v>
      </c>
      <c r="C46" s="56">
        <v>3</v>
      </c>
      <c r="D46" s="56">
        <v>5</v>
      </c>
      <c r="E46" s="56">
        <v>5</v>
      </c>
      <c r="F46" s="56">
        <v>4</v>
      </c>
      <c r="G46" s="56">
        <v>5</v>
      </c>
      <c r="H46" s="56">
        <v>4</v>
      </c>
      <c r="I46" s="56">
        <v>5</v>
      </c>
      <c r="J46" s="56">
        <v>4</v>
      </c>
      <c r="K46" s="56">
        <v>4</v>
      </c>
      <c r="L46" s="56">
        <v>4</v>
      </c>
      <c r="M46" s="56">
        <v>4</v>
      </c>
      <c r="N46" s="56">
        <v>4</v>
      </c>
      <c r="O46" s="56">
        <v>5</v>
      </c>
      <c r="P46" s="56">
        <v>4</v>
      </c>
      <c r="Q46" s="56">
        <v>5</v>
      </c>
      <c r="R46" s="56">
        <v>4</v>
      </c>
      <c r="S46" s="56">
        <v>4</v>
      </c>
      <c r="T46" s="56" t="s">
        <v>280</v>
      </c>
    </row>
    <row r="47" spans="1:20" ht="15" customHeight="1" x14ac:dyDescent="0.25">
      <c r="A47" s="56" t="s">
        <v>95</v>
      </c>
      <c r="B47" s="56" t="s">
        <v>218</v>
      </c>
      <c r="C47" s="56">
        <v>4</v>
      </c>
      <c r="D47" s="56">
        <v>2</v>
      </c>
      <c r="E47" s="56">
        <v>2</v>
      </c>
      <c r="F47" s="56">
        <v>4</v>
      </c>
      <c r="G47" s="56">
        <v>4</v>
      </c>
      <c r="H47" s="56">
        <v>4</v>
      </c>
      <c r="I47" s="56">
        <v>1</v>
      </c>
      <c r="J47" s="56">
        <v>3</v>
      </c>
      <c r="K47" s="56">
        <v>5</v>
      </c>
      <c r="L47" s="56">
        <v>3</v>
      </c>
      <c r="M47" s="56">
        <v>5</v>
      </c>
      <c r="N47" s="56">
        <v>3</v>
      </c>
      <c r="O47" s="56">
        <v>4</v>
      </c>
      <c r="P47" s="56">
        <v>4</v>
      </c>
      <c r="Q47" s="56">
        <v>2</v>
      </c>
      <c r="R47" s="56">
        <v>3.5</v>
      </c>
      <c r="S47" s="56">
        <v>3</v>
      </c>
      <c r="T47" s="56" t="s">
        <v>281</v>
      </c>
    </row>
    <row r="48" spans="1:20" ht="15" customHeight="1" x14ac:dyDescent="0.25">
      <c r="A48" s="56" t="s">
        <v>67</v>
      </c>
      <c r="B48" s="56" t="s">
        <v>222</v>
      </c>
      <c r="C48" s="56">
        <v>2</v>
      </c>
      <c r="D48" s="56">
        <v>2</v>
      </c>
      <c r="E48" s="56">
        <v>1</v>
      </c>
      <c r="F48" s="56">
        <v>2</v>
      </c>
      <c r="G48" s="56">
        <v>3</v>
      </c>
      <c r="H48" s="56">
        <v>2</v>
      </c>
      <c r="I48" s="56">
        <v>2</v>
      </c>
      <c r="J48" s="56">
        <v>2</v>
      </c>
      <c r="K48" s="56">
        <v>2</v>
      </c>
      <c r="L48" s="56">
        <v>2</v>
      </c>
      <c r="M48" s="56">
        <v>2</v>
      </c>
      <c r="N48" s="56">
        <v>2</v>
      </c>
      <c r="O48" s="56">
        <v>3</v>
      </c>
      <c r="P48" s="56">
        <v>2</v>
      </c>
      <c r="Q48" s="56">
        <v>1</v>
      </c>
      <c r="R48" s="56">
        <v>2</v>
      </c>
      <c r="S48" s="56">
        <v>2</v>
      </c>
      <c r="T48" s="56" t="s">
        <v>282</v>
      </c>
    </row>
    <row r="49" spans="1:20" ht="15" customHeight="1" x14ac:dyDescent="0.25">
      <c r="A49" s="56" t="s">
        <v>1848</v>
      </c>
      <c r="B49" s="56" t="s">
        <v>220</v>
      </c>
      <c r="C49" s="56">
        <v>4</v>
      </c>
      <c r="D49" s="56">
        <v>3</v>
      </c>
      <c r="E49" s="56">
        <v>4</v>
      </c>
      <c r="H49" s="56">
        <v>4</v>
      </c>
      <c r="I49" s="56">
        <v>3</v>
      </c>
      <c r="J49" s="56">
        <v>3.5</v>
      </c>
      <c r="K49" s="56">
        <v>3</v>
      </c>
      <c r="L49" s="56">
        <v>3</v>
      </c>
      <c r="M49" s="56">
        <v>3</v>
      </c>
      <c r="P49" s="56">
        <v>3</v>
      </c>
      <c r="Q49" s="56">
        <v>3</v>
      </c>
      <c r="R49" s="56">
        <v>3</v>
      </c>
      <c r="S49" s="56">
        <v>3</v>
      </c>
      <c r="T49" s="56" t="s">
        <v>1933</v>
      </c>
    </row>
    <row r="50" spans="1:20" ht="15" customHeight="1" x14ac:dyDescent="0.25">
      <c r="A50" s="56" t="s">
        <v>73</v>
      </c>
      <c r="B50" s="56" t="s">
        <v>223</v>
      </c>
      <c r="C50" s="56">
        <v>5</v>
      </c>
      <c r="D50" s="56">
        <v>3</v>
      </c>
      <c r="E50" s="56">
        <v>3</v>
      </c>
      <c r="F50" s="56">
        <v>5</v>
      </c>
      <c r="G50" s="56">
        <v>4</v>
      </c>
      <c r="H50" s="56">
        <v>3</v>
      </c>
      <c r="I50" s="56">
        <v>3</v>
      </c>
      <c r="J50" s="56">
        <v>3.5</v>
      </c>
      <c r="K50" s="56">
        <v>5</v>
      </c>
      <c r="L50" s="56">
        <v>3</v>
      </c>
      <c r="M50" s="56">
        <v>5</v>
      </c>
      <c r="N50" s="56">
        <v>5</v>
      </c>
      <c r="O50" s="56">
        <v>5</v>
      </c>
      <c r="P50" s="56">
        <v>5</v>
      </c>
      <c r="Q50" s="56">
        <v>5</v>
      </c>
      <c r="R50" s="56">
        <v>4.5</v>
      </c>
      <c r="S50" s="56">
        <v>4</v>
      </c>
      <c r="T50" s="56" t="s">
        <v>283</v>
      </c>
    </row>
    <row r="51" spans="1:20" ht="15" customHeight="1" x14ac:dyDescent="0.25">
      <c r="A51" s="56" t="s">
        <v>98</v>
      </c>
      <c r="B51" s="56" t="s">
        <v>220</v>
      </c>
      <c r="C51" s="56">
        <v>1</v>
      </c>
      <c r="D51" s="56">
        <v>1</v>
      </c>
      <c r="E51" s="56">
        <v>1</v>
      </c>
      <c r="F51" s="56">
        <v>1</v>
      </c>
      <c r="G51" s="56">
        <v>1</v>
      </c>
      <c r="H51" s="56">
        <v>1</v>
      </c>
      <c r="I51" s="56">
        <v>1</v>
      </c>
      <c r="J51" s="56">
        <v>1</v>
      </c>
      <c r="K51" s="56">
        <v>1</v>
      </c>
      <c r="L51" s="56">
        <v>2</v>
      </c>
      <c r="M51" s="56">
        <v>1</v>
      </c>
      <c r="N51" s="56">
        <v>2</v>
      </c>
      <c r="O51" s="56">
        <v>1</v>
      </c>
      <c r="P51" s="56">
        <v>1</v>
      </c>
      <c r="Q51" s="56">
        <v>1</v>
      </c>
      <c r="R51" s="56">
        <v>1</v>
      </c>
      <c r="S51" s="56">
        <v>1</v>
      </c>
      <c r="T51" s="56" t="s">
        <v>284</v>
      </c>
    </row>
    <row r="52" spans="1:20" ht="15" customHeight="1" x14ac:dyDescent="0.25">
      <c r="A52" s="56" t="s">
        <v>109</v>
      </c>
      <c r="B52" s="56" t="s">
        <v>222</v>
      </c>
      <c r="C52" s="56">
        <v>4</v>
      </c>
      <c r="D52" s="56">
        <v>3</v>
      </c>
      <c r="E52" s="56">
        <v>3</v>
      </c>
      <c r="F52" s="56">
        <v>3</v>
      </c>
      <c r="G52" s="56">
        <v>4</v>
      </c>
      <c r="H52" s="56">
        <v>3</v>
      </c>
      <c r="I52" s="56">
        <v>4</v>
      </c>
      <c r="J52" s="56">
        <v>3</v>
      </c>
      <c r="K52" s="56">
        <v>4</v>
      </c>
      <c r="L52" s="56">
        <v>3</v>
      </c>
      <c r="M52" s="56">
        <v>3</v>
      </c>
      <c r="N52" s="56">
        <v>3</v>
      </c>
      <c r="O52" s="56">
        <v>4</v>
      </c>
      <c r="P52" s="56">
        <v>3</v>
      </c>
      <c r="Q52" s="56">
        <v>4</v>
      </c>
      <c r="R52" s="56">
        <v>3</v>
      </c>
      <c r="S52" s="56">
        <v>3</v>
      </c>
      <c r="T52" s="56" t="s">
        <v>627</v>
      </c>
    </row>
    <row r="53" spans="1:20" ht="15" customHeight="1" x14ac:dyDescent="0.25">
      <c r="A53" s="56" t="s">
        <v>4</v>
      </c>
      <c r="B53" s="56" t="s">
        <v>223</v>
      </c>
      <c r="C53" s="56">
        <v>2</v>
      </c>
      <c r="D53" s="56">
        <v>3</v>
      </c>
      <c r="E53" s="56">
        <v>2</v>
      </c>
      <c r="F53" s="56">
        <v>3</v>
      </c>
      <c r="G53" s="56">
        <v>5</v>
      </c>
      <c r="H53" s="56">
        <v>2</v>
      </c>
      <c r="I53" s="56">
        <v>1</v>
      </c>
      <c r="J53" s="56">
        <v>2.5</v>
      </c>
      <c r="K53" s="56">
        <v>4</v>
      </c>
      <c r="L53" s="56">
        <v>4</v>
      </c>
      <c r="M53" s="56">
        <v>4</v>
      </c>
      <c r="N53" s="56">
        <v>5</v>
      </c>
      <c r="O53" s="56">
        <v>5</v>
      </c>
      <c r="P53" s="56">
        <v>4</v>
      </c>
      <c r="Q53" s="56">
        <v>5</v>
      </c>
      <c r="R53" s="56">
        <v>4</v>
      </c>
      <c r="S53" s="56">
        <v>3</v>
      </c>
      <c r="T53" s="56" t="s">
        <v>225</v>
      </c>
    </row>
    <row r="54" spans="1:20" ht="15" customHeight="1" x14ac:dyDescent="0.25">
      <c r="A54" s="56" t="s">
        <v>93</v>
      </c>
      <c r="B54" s="56" t="s">
        <v>218</v>
      </c>
      <c r="C54" s="56">
        <v>5</v>
      </c>
      <c r="D54" s="56">
        <v>3</v>
      </c>
      <c r="E54" s="56">
        <v>3</v>
      </c>
      <c r="F54" s="56">
        <v>4</v>
      </c>
      <c r="G54" s="56">
        <v>4</v>
      </c>
      <c r="H54" s="56">
        <v>3</v>
      </c>
      <c r="I54" s="56">
        <v>4</v>
      </c>
      <c r="J54" s="56">
        <v>3.5</v>
      </c>
      <c r="K54" s="56">
        <v>5</v>
      </c>
      <c r="L54" s="56">
        <v>3</v>
      </c>
      <c r="M54" s="56">
        <v>5</v>
      </c>
      <c r="N54" s="56">
        <v>5</v>
      </c>
      <c r="O54" s="56">
        <v>5</v>
      </c>
      <c r="P54" s="56">
        <v>5</v>
      </c>
      <c r="Q54" s="56">
        <v>5</v>
      </c>
      <c r="R54" s="56">
        <v>4.5</v>
      </c>
      <c r="S54" s="56">
        <v>4</v>
      </c>
      <c r="T54" s="56" t="s">
        <v>283</v>
      </c>
    </row>
    <row r="55" spans="1:20" ht="15" customHeight="1" x14ac:dyDescent="0.25">
      <c r="A55" s="56" t="s">
        <v>1564</v>
      </c>
      <c r="B55" s="56" t="s">
        <v>222</v>
      </c>
      <c r="C55" s="56">
        <v>1</v>
      </c>
      <c r="D55" s="56">
        <v>1</v>
      </c>
      <c r="E55" s="56">
        <v>1</v>
      </c>
      <c r="H55" s="56">
        <v>1</v>
      </c>
      <c r="I55" s="56">
        <v>1</v>
      </c>
      <c r="J55" s="56">
        <v>1</v>
      </c>
      <c r="K55" s="56">
        <v>1</v>
      </c>
      <c r="L55" s="56">
        <v>1</v>
      </c>
      <c r="M55" s="56">
        <v>1</v>
      </c>
      <c r="P55" s="56">
        <v>1</v>
      </c>
      <c r="Q55" s="56">
        <v>1</v>
      </c>
      <c r="R55" s="56">
        <v>1</v>
      </c>
      <c r="S55" s="56">
        <v>1</v>
      </c>
      <c r="T55" s="56" t="s">
        <v>1565</v>
      </c>
    </row>
    <row r="56" spans="1:20" ht="15" customHeight="1" x14ac:dyDescent="0.25">
      <c r="A56" s="56" t="s">
        <v>16</v>
      </c>
      <c r="B56" s="56" t="s">
        <v>223</v>
      </c>
      <c r="C56" s="56">
        <v>4</v>
      </c>
      <c r="D56" s="56">
        <v>3</v>
      </c>
      <c r="E56" s="56">
        <v>4</v>
      </c>
      <c r="F56" s="56">
        <v>3</v>
      </c>
      <c r="G56" s="56">
        <v>5</v>
      </c>
      <c r="H56" s="56">
        <v>3</v>
      </c>
      <c r="I56" s="56">
        <v>4</v>
      </c>
      <c r="J56" s="56">
        <v>3.5</v>
      </c>
      <c r="K56" s="56">
        <v>3</v>
      </c>
      <c r="L56" s="56">
        <v>4</v>
      </c>
      <c r="M56" s="56">
        <v>4</v>
      </c>
      <c r="N56" s="56">
        <v>3</v>
      </c>
      <c r="O56" s="56">
        <v>5</v>
      </c>
      <c r="P56" s="56">
        <v>3</v>
      </c>
      <c r="Q56" s="56">
        <v>5</v>
      </c>
      <c r="R56" s="56">
        <v>3.5</v>
      </c>
      <c r="S56" s="56">
        <v>3.5</v>
      </c>
      <c r="T56" s="56" t="s">
        <v>285</v>
      </c>
    </row>
    <row r="57" spans="1:20" ht="15" customHeight="1" x14ac:dyDescent="0.25">
      <c r="A57" s="56" t="s">
        <v>122</v>
      </c>
      <c r="B57" s="56" t="s">
        <v>218</v>
      </c>
      <c r="C57" s="56">
        <v>5</v>
      </c>
      <c r="D57" s="56">
        <v>5</v>
      </c>
      <c r="E57" s="56">
        <v>4</v>
      </c>
      <c r="F57" s="56">
        <v>4</v>
      </c>
      <c r="G57" s="56">
        <v>5</v>
      </c>
      <c r="H57" s="56">
        <v>3</v>
      </c>
      <c r="I57" s="56">
        <v>4</v>
      </c>
      <c r="J57" s="56">
        <v>4</v>
      </c>
      <c r="K57" s="56">
        <v>5</v>
      </c>
      <c r="L57" s="56">
        <v>3</v>
      </c>
      <c r="M57" s="56">
        <v>4</v>
      </c>
      <c r="N57" s="56">
        <v>4</v>
      </c>
      <c r="O57" s="56">
        <v>5</v>
      </c>
      <c r="P57" s="56">
        <v>3</v>
      </c>
      <c r="Q57" s="56">
        <v>5</v>
      </c>
      <c r="R57" s="56">
        <v>4</v>
      </c>
      <c r="S57" s="56">
        <v>4</v>
      </c>
      <c r="T57" s="56" t="s">
        <v>286</v>
      </c>
    </row>
    <row r="58" spans="1:20" ht="15" customHeight="1" x14ac:dyDescent="0.25">
      <c r="A58" s="56" t="s">
        <v>104</v>
      </c>
      <c r="B58" s="56" t="s">
        <v>222</v>
      </c>
      <c r="C58" s="56">
        <v>2</v>
      </c>
      <c r="D58" s="56">
        <v>2</v>
      </c>
      <c r="E58" s="56">
        <v>2</v>
      </c>
      <c r="F58" s="56">
        <v>2</v>
      </c>
      <c r="H58" s="56">
        <v>2</v>
      </c>
      <c r="I58" s="56">
        <v>3</v>
      </c>
      <c r="J58" s="56">
        <v>2</v>
      </c>
      <c r="K58" s="56">
        <v>2</v>
      </c>
      <c r="L58" s="56">
        <v>2</v>
      </c>
      <c r="M58" s="56">
        <v>2</v>
      </c>
      <c r="N58" s="56">
        <v>2</v>
      </c>
      <c r="P58" s="56">
        <v>2</v>
      </c>
      <c r="Q58" s="56">
        <v>3</v>
      </c>
      <c r="R58" s="56">
        <v>2</v>
      </c>
      <c r="S58" s="56">
        <v>2</v>
      </c>
      <c r="T58" s="56" t="s">
        <v>1641</v>
      </c>
    </row>
    <row r="59" spans="1:20" ht="15" customHeight="1" x14ac:dyDescent="0.25">
      <c r="A59" s="56" t="s">
        <v>869</v>
      </c>
      <c r="B59" s="56" t="s">
        <v>222</v>
      </c>
      <c r="C59" s="56">
        <v>1</v>
      </c>
      <c r="D59" s="56">
        <v>1</v>
      </c>
      <c r="E59" s="56">
        <v>1</v>
      </c>
      <c r="F59" s="56">
        <v>1</v>
      </c>
      <c r="G59" s="56">
        <v>1</v>
      </c>
      <c r="H59" s="56">
        <v>1</v>
      </c>
      <c r="I59" s="56">
        <v>1</v>
      </c>
      <c r="J59" s="56">
        <v>1</v>
      </c>
      <c r="K59" s="56">
        <v>2</v>
      </c>
      <c r="L59" s="56">
        <v>2</v>
      </c>
      <c r="M59" s="56">
        <v>3</v>
      </c>
      <c r="N59" s="56">
        <v>2</v>
      </c>
      <c r="O59" s="56">
        <v>3</v>
      </c>
      <c r="P59" s="56">
        <v>2</v>
      </c>
      <c r="Q59" s="56">
        <v>3</v>
      </c>
      <c r="R59" s="56">
        <v>2</v>
      </c>
      <c r="S59" s="56">
        <v>1.5</v>
      </c>
      <c r="T59" s="56" t="s">
        <v>870</v>
      </c>
    </row>
    <row r="60" spans="1:20" ht="15" customHeight="1" x14ac:dyDescent="0.25">
      <c r="A60" s="56" t="s">
        <v>59</v>
      </c>
      <c r="B60" s="56" t="s">
        <v>220</v>
      </c>
      <c r="C60" s="56">
        <v>3</v>
      </c>
      <c r="D60" s="56">
        <v>3</v>
      </c>
      <c r="E60" s="56">
        <v>2</v>
      </c>
      <c r="F60" s="56">
        <v>3</v>
      </c>
      <c r="G60" s="56">
        <v>4</v>
      </c>
      <c r="H60" s="56">
        <v>2</v>
      </c>
      <c r="I60" s="56">
        <v>3</v>
      </c>
      <c r="J60" s="56">
        <v>2.5</v>
      </c>
      <c r="K60" s="56">
        <v>4</v>
      </c>
      <c r="L60" s="56">
        <v>4</v>
      </c>
      <c r="M60" s="56">
        <v>4</v>
      </c>
      <c r="N60" s="56">
        <v>4</v>
      </c>
      <c r="O60" s="56">
        <v>5</v>
      </c>
      <c r="P60" s="56">
        <v>3</v>
      </c>
      <c r="Q60" s="56">
        <v>4</v>
      </c>
      <c r="R60" s="56">
        <v>4</v>
      </c>
      <c r="S60" s="56">
        <v>3</v>
      </c>
      <c r="T60" s="56" t="s">
        <v>287</v>
      </c>
    </row>
    <row r="61" spans="1:20" ht="15" customHeight="1" x14ac:dyDescent="0.25">
      <c r="A61" s="56" t="s">
        <v>32</v>
      </c>
      <c r="B61" s="56" t="s">
        <v>218</v>
      </c>
      <c r="C61" s="56">
        <v>3</v>
      </c>
      <c r="D61" s="56">
        <v>1</v>
      </c>
      <c r="E61" s="56">
        <v>2</v>
      </c>
      <c r="F61" s="56">
        <v>3</v>
      </c>
      <c r="G61" s="56">
        <v>1</v>
      </c>
      <c r="H61" s="56">
        <v>2</v>
      </c>
      <c r="I61" s="56">
        <v>1</v>
      </c>
      <c r="J61" s="56">
        <v>1.5</v>
      </c>
      <c r="K61" s="56">
        <v>4</v>
      </c>
      <c r="L61" s="56">
        <v>2</v>
      </c>
      <c r="M61" s="56">
        <v>3</v>
      </c>
      <c r="N61" s="56">
        <v>4</v>
      </c>
      <c r="O61" s="56">
        <v>5</v>
      </c>
      <c r="P61" s="56">
        <v>3</v>
      </c>
      <c r="Q61" s="56">
        <v>4</v>
      </c>
      <c r="R61" s="56">
        <v>3.5</v>
      </c>
      <c r="S61" s="56">
        <v>2.5</v>
      </c>
      <c r="T61" s="56" t="s">
        <v>288</v>
      </c>
    </row>
    <row r="62" spans="1:20" ht="15" customHeight="1" x14ac:dyDescent="0.25">
      <c r="A62" s="56" t="s">
        <v>6</v>
      </c>
      <c r="B62" s="56" t="s">
        <v>223</v>
      </c>
      <c r="C62" s="56">
        <v>5</v>
      </c>
      <c r="D62" s="56">
        <v>5</v>
      </c>
      <c r="E62" s="56">
        <v>5</v>
      </c>
      <c r="F62" s="56">
        <v>5</v>
      </c>
      <c r="G62" s="56">
        <v>5</v>
      </c>
      <c r="H62" s="56">
        <v>5</v>
      </c>
      <c r="I62" s="56">
        <v>5</v>
      </c>
      <c r="J62" s="56">
        <v>5</v>
      </c>
      <c r="K62" s="56">
        <v>5</v>
      </c>
      <c r="L62" s="56">
        <v>5</v>
      </c>
      <c r="M62" s="56">
        <v>5</v>
      </c>
      <c r="N62" s="56">
        <v>5</v>
      </c>
      <c r="O62" s="56">
        <v>5</v>
      </c>
      <c r="P62" s="56">
        <v>5</v>
      </c>
      <c r="Q62" s="56">
        <v>5</v>
      </c>
      <c r="R62" s="56">
        <v>5</v>
      </c>
      <c r="S62" s="56">
        <v>5</v>
      </c>
      <c r="T62" s="56" t="s">
        <v>699</v>
      </c>
    </row>
    <row r="63" spans="1:20" ht="15" customHeight="1" x14ac:dyDescent="0.25">
      <c r="A63" s="56" t="s">
        <v>70</v>
      </c>
      <c r="B63" s="56" t="s">
        <v>222</v>
      </c>
      <c r="C63" s="56">
        <v>3</v>
      </c>
      <c r="D63" s="56">
        <v>4</v>
      </c>
      <c r="E63" s="56">
        <v>3</v>
      </c>
      <c r="F63" s="56">
        <v>3</v>
      </c>
      <c r="G63" s="56">
        <v>3</v>
      </c>
      <c r="H63" s="56">
        <v>3</v>
      </c>
      <c r="I63" s="56">
        <v>4</v>
      </c>
      <c r="J63" s="56">
        <v>3</v>
      </c>
      <c r="K63" s="56">
        <v>2</v>
      </c>
      <c r="L63" s="56">
        <v>2</v>
      </c>
      <c r="M63" s="56">
        <v>2</v>
      </c>
      <c r="N63" s="56">
        <v>2</v>
      </c>
      <c r="O63" s="56">
        <v>2</v>
      </c>
      <c r="P63" s="56">
        <v>2</v>
      </c>
      <c r="Q63" s="56">
        <v>2</v>
      </c>
      <c r="R63" s="56">
        <v>2</v>
      </c>
      <c r="S63" s="56">
        <v>2.5</v>
      </c>
      <c r="T63" s="56" t="s">
        <v>645</v>
      </c>
    </row>
    <row r="64" spans="1:20" ht="15" customHeight="1" x14ac:dyDescent="0.25">
      <c r="A64" s="56" t="s">
        <v>56</v>
      </c>
      <c r="B64" s="56" t="s">
        <v>218</v>
      </c>
      <c r="C64" s="56">
        <v>4</v>
      </c>
      <c r="D64" s="56">
        <v>4</v>
      </c>
      <c r="E64" s="56">
        <v>4</v>
      </c>
      <c r="F64" s="56">
        <v>4</v>
      </c>
      <c r="G64" s="56">
        <v>4</v>
      </c>
      <c r="H64" s="56">
        <v>4</v>
      </c>
      <c r="I64" s="56">
        <v>4</v>
      </c>
      <c r="J64" s="56">
        <v>4</v>
      </c>
      <c r="K64" s="56">
        <v>4</v>
      </c>
      <c r="L64" s="56">
        <v>2</v>
      </c>
      <c r="M64" s="56">
        <v>4</v>
      </c>
      <c r="N64" s="56">
        <v>4</v>
      </c>
      <c r="O64" s="56">
        <v>5</v>
      </c>
      <c r="P64" s="56">
        <v>4</v>
      </c>
      <c r="Q64" s="56">
        <v>4</v>
      </c>
      <c r="R64" s="56">
        <v>3.5</v>
      </c>
      <c r="S64" s="56">
        <v>3.5</v>
      </c>
      <c r="T64" s="56" t="s">
        <v>682</v>
      </c>
    </row>
    <row r="65" spans="1:20" ht="15" customHeight="1" x14ac:dyDescent="0.25">
      <c r="A65" s="56" t="s">
        <v>99</v>
      </c>
      <c r="B65" s="56" t="s">
        <v>220</v>
      </c>
      <c r="C65" s="56">
        <v>5</v>
      </c>
      <c r="D65" s="56">
        <v>5</v>
      </c>
      <c r="E65" s="56">
        <v>5</v>
      </c>
      <c r="F65" s="56">
        <v>5</v>
      </c>
      <c r="G65" s="56">
        <v>5</v>
      </c>
      <c r="H65" s="56">
        <v>5</v>
      </c>
      <c r="I65" s="56">
        <v>5</v>
      </c>
      <c r="J65" s="56">
        <v>5</v>
      </c>
      <c r="K65" s="56">
        <v>5</v>
      </c>
      <c r="L65" s="56">
        <v>4</v>
      </c>
      <c r="M65" s="56">
        <v>5</v>
      </c>
      <c r="N65" s="56">
        <v>5</v>
      </c>
      <c r="O65" s="56">
        <v>5</v>
      </c>
      <c r="P65" s="56">
        <v>4</v>
      </c>
      <c r="Q65" s="56">
        <v>5</v>
      </c>
      <c r="R65" s="56">
        <v>4.5</v>
      </c>
      <c r="S65" s="56">
        <v>4.5</v>
      </c>
      <c r="T65" s="56" t="s">
        <v>637</v>
      </c>
    </row>
    <row r="66" spans="1:20" ht="15" customHeight="1" x14ac:dyDescent="0.25">
      <c r="A66" s="56" t="s">
        <v>49</v>
      </c>
      <c r="B66" s="56" t="s">
        <v>220</v>
      </c>
      <c r="C66" s="56">
        <v>2</v>
      </c>
      <c r="D66" s="56">
        <v>3</v>
      </c>
      <c r="E66" s="56">
        <v>2</v>
      </c>
      <c r="F66" s="56">
        <v>2</v>
      </c>
      <c r="G66" s="56">
        <v>3</v>
      </c>
      <c r="H66" s="56">
        <v>2</v>
      </c>
      <c r="I66" s="56">
        <v>2</v>
      </c>
      <c r="J66" s="56">
        <v>2</v>
      </c>
      <c r="K66" s="56">
        <v>2</v>
      </c>
      <c r="L66" s="56">
        <v>3</v>
      </c>
      <c r="M66" s="56">
        <v>3</v>
      </c>
      <c r="N66" s="56">
        <v>2</v>
      </c>
      <c r="O66" s="56">
        <v>4</v>
      </c>
      <c r="P66" s="56">
        <v>3</v>
      </c>
      <c r="Q66" s="56">
        <v>3</v>
      </c>
      <c r="R66" s="56">
        <v>2.5</v>
      </c>
      <c r="S66" s="56">
        <v>2</v>
      </c>
      <c r="T66" s="56" t="s">
        <v>289</v>
      </c>
    </row>
    <row r="67" spans="1:20" ht="15" customHeight="1" x14ac:dyDescent="0.25">
      <c r="A67" s="56" t="s">
        <v>66</v>
      </c>
      <c r="B67" s="56" t="s">
        <v>222</v>
      </c>
      <c r="C67" s="56">
        <v>1</v>
      </c>
      <c r="D67" s="56">
        <v>1</v>
      </c>
      <c r="E67" s="56">
        <v>1</v>
      </c>
      <c r="F67" s="56">
        <v>1</v>
      </c>
      <c r="G67" s="56">
        <v>1</v>
      </c>
      <c r="H67" s="56">
        <v>1</v>
      </c>
      <c r="I67" s="56">
        <v>1</v>
      </c>
      <c r="J67" s="56">
        <v>1</v>
      </c>
      <c r="K67" s="56">
        <v>1</v>
      </c>
      <c r="L67" s="56">
        <v>1</v>
      </c>
      <c r="M67" s="56">
        <v>1</v>
      </c>
      <c r="N67" s="56">
        <v>1</v>
      </c>
      <c r="O67" s="56">
        <v>2</v>
      </c>
      <c r="P67" s="56">
        <v>1</v>
      </c>
      <c r="Q67" s="56">
        <v>1</v>
      </c>
      <c r="R67" s="56">
        <v>1</v>
      </c>
      <c r="S67" s="56">
        <v>1</v>
      </c>
      <c r="T67" s="56" t="s">
        <v>290</v>
      </c>
    </row>
    <row r="68" spans="1:20" ht="15" customHeight="1" x14ac:dyDescent="0.25">
      <c r="A68" s="56" t="s">
        <v>68</v>
      </c>
      <c r="B68" s="56" t="s">
        <v>222</v>
      </c>
      <c r="C68" s="56">
        <v>1</v>
      </c>
      <c r="D68" s="56">
        <v>1</v>
      </c>
      <c r="E68" s="56">
        <v>1</v>
      </c>
      <c r="F68" s="56">
        <v>1</v>
      </c>
      <c r="G68" s="56">
        <v>2</v>
      </c>
      <c r="H68" s="56">
        <v>1</v>
      </c>
      <c r="I68" s="56">
        <v>1</v>
      </c>
      <c r="J68" s="56">
        <v>1</v>
      </c>
      <c r="K68" s="56">
        <v>1</v>
      </c>
      <c r="L68" s="56">
        <v>1</v>
      </c>
      <c r="M68" s="56">
        <v>1</v>
      </c>
      <c r="N68" s="56">
        <v>1</v>
      </c>
      <c r="O68" s="56">
        <v>1</v>
      </c>
      <c r="P68" s="56">
        <v>1</v>
      </c>
      <c r="Q68" s="56">
        <v>1</v>
      </c>
      <c r="R68" s="56">
        <v>1</v>
      </c>
      <c r="S68" s="56">
        <v>1</v>
      </c>
      <c r="T68" s="56" t="s">
        <v>291</v>
      </c>
    </row>
    <row r="69" spans="1:20" ht="15" customHeight="1" x14ac:dyDescent="0.25">
      <c r="A69" s="56" t="s">
        <v>35</v>
      </c>
      <c r="B69" s="56" t="s">
        <v>218</v>
      </c>
      <c r="C69" s="56">
        <v>1</v>
      </c>
      <c r="D69" s="56">
        <v>2</v>
      </c>
      <c r="E69" s="56">
        <v>2</v>
      </c>
      <c r="F69" s="56">
        <v>2</v>
      </c>
      <c r="G69" s="56">
        <v>1</v>
      </c>
      <c r="H69" s="56">
        <v>2</v>
      </c>
      <c r="I69" s="56">
        <v>1</v>
      </c>
      <c r="J69" s="56">
        <v>1.5</v>
      </c>
      <c r="K69" s="56">
        <v>4</v>
      </c>
      <c r="L69" s="56">
        <v>4</v>
      </c>
      <c r="M69" s="56">
        <v>4</v>
      </c>
      <c r="N69" s="56">
        <v>5</v>
      </c>
      <c r="O69" s="56">
        <v>5</v>
      </c>
      <c r="P69" s="56">
        <v>4</v>
      </c>
      <c r="Q69" s="56">
        <v>5</v>
      </c>
      <c r="R69" s="56">
        <v>4</v>
      </c>
      <c r="S69" s="56">
        <v>2.5</v>
      </c>
      <c r="T69" s="56" t="s">
        <v>292</v>
      </c>
    </row>
    <row r="70" spans="1:20" ht="15" customHeight="1" x14ac:dyDescent="0.25">
      <c r="A70" s="56" t="s">
        <v>11</v>
      </c>
      <c r="B70" s="56" t="s">
        <v>223</v>
      </c>
      <c r="C70" s="56">
        <v>5</v>
      </c>
      <c r="D70" s="56">
        <v>4</v>
      </c>
      <c r="E70" s="56">
        <v>5</v>
      </c>
      <c r="F70" s="56">
        <v>5</v>
      </c>
      <c r="G70" s="56">
        <v>5</v>
      </c>
      <c r="H70" s="56">
        <v>5</v>
      </c>
      <c r="I70" s="56">
        <v>5</v>
      </c>
      <c r="J70" s="56">
        <v>4.5</v>
      </c>
      <c r="K70" s="56">
        <v>5</v>
      </c>
      <c r="L70" s="56">
        <v>5</v>
      </c>
      <c r="M70" s="56">
        <v>5</v>
      </c>
      <c r="N70" s="56">
        <v>5</v>
      </c>
      <c r="O70" s="56">
        <v>5</v>
      </c>
      <c r="P70" s="56">
        <v>5</v>
      </c>
      <c r="Q70" s="56">
        <v>5</v>
      </c>
      <c r="R70" s="56">
        <v>5</v>
      </c>
      <c r="S70" s="56">
        <v>4.5</v>
      </c>
      <c r="T70" s="56" t="s">
        <v>638</v>
      </c>
    </row>
    <row r="71" spans="1:20" ht="15" customHeight="1" x14ac:dyDescent="0.25">
      <c r="A71" s="56" t="s">
        <v>36</v>
      </c>
      <c r="B71" s="56" t="s">
        <v>218</v>
      </c>
      <c r="C71" s="56">
        <v>5</v>
      </c>
      <c r="D71" s="56">
        <v>4</v>
      </c>
      <c r="E71" s="56">
        <v>5</v>
      </c>
      <c r="F71" s="56">
        <v>5</v>
      </c>
      <c r="G71" s="56">
        <v>5</v>
      </c>
      <c r="H71" s="56">
        <v>4</v>
      </c>
      <c r="I71" s="56">
        <v>5</v>
      </c>
      <c r="J71" s="56">
        <v>4.5</v>
      </c>
      <c r="K71" s="56">
        <v>5</v>
      </c>
      <c r="L71" s="56">
        <v>4</v>
      </c>
      <c r="M71" s="56">
        <v>5</v>
      </c>
      <c r="N71" s="56">
        <v>5</v>
      </c>
      <c r="O71" s="56">
        <v>5</v>
      </c>
      <c r="P71" s="56">
        <v>4</v>
      </c>
      <c r="Q71" s="56">
        <v>5</v>
      </c>
      <c r="R71" s="56">
        <v>4.5</v>
      </c>
      <c r="S71" s="56">
        <v>4.5</v>
      </c>
      <c r="T71" s="56" t="s">
        <v>293</v>
      </c>
    </row>
    <row r="72" spans="1:20" ht="15" customHeight="1" x14ac:dyDescent="0.25">
      <c r="A72" s="56" t="s">
        <v>69</v>
      </c>
      <c r="B72" s="56" t="s">
        <v>222</v>
      </c>
      <c r="C72" s="56">
        <v>4</v>
      </c>
      <c r="D72" s="56">
        <v>4</v>
      </c>
      <c r="E72" s="56">
        <v>4</v>
      </c>
      <c r="F72" s="56">
        <v>3</v>
      </c>
      <c r="G72" s="56">
        <v>4</v>
      </c>
      <c r="H72" s="56">
        <v>4</v>
      </c>
      <c r="I72" s="56">
        <v>4</v>
      </c>
      <c r="J72" s="56">
        <v>3.5</v>
      </c>
      <c r="K72" s="56">
        <v>3</v>
      </c>
      <c r="L72" s="56">
        <v>3</v>
      </c>
      <c r="M72" s="56">
        <v>3</v>
      </c>
      <c r="N72" s="56">
        <v>3</v>
      </c>
      <c r="O72" s="56">
        <v>4</v>
      </c>
      <c r="P72" s="56">
        <v>3</v>
      </c>
      <c r="Q72" s="56">
        <v>3</v>
      </c>
      <c r="R72" s="56">
        <v>3</v>
      </c>
      <c r="S72" s="56">
        <v>3</v>
      </c>
      <c r="T72" s="56" t="s">
        <v>639</v>
      </c>
    </row>
    <row r="73" spans="1:20" ht="15" customHeight="1" x14ac:dyDescent="0.25">
      <c r="A73" s="56" t="s">
        <v>60</v>
      </c>
      <c r="B73" s="56" t="s">
        <v>220</v>
      </c>
      <c r="C73" s="56">
        <v>4</v>
      </c>
      <c r="D73" s="56">
        <v>4</v>
      </c>
      <c r="E73" s="56">
        <v>3</v>
      </c>
      <c r="F73" s="56">
        <v>4</v>
      </c>
      <c r="G73" s="56">
        <v>4</v>
      </c>
      <c r="H73" s="56">
        <v>4</v>
      </c>
      <c r="I73" s="56">
        <v>4</v>
      </c>
      <c r="J73" s="56">
        <v>3.5</v>
      </c>
      <c r="K73" s="56">
        <v>3</v>
      </c>
      <c r="L73" s="56">
        <v>2</v>
      </c>
      <c r="M73" s="56">
        <v>4</v>
      </c>
      <c r="N73" s="56">
        <v>2</v>
      </c>
      <c r="O73" s="56">
        <v>3</v>
      </c>
      <c r="P73" s="56">
        <v>2</v>
      </c>
      <c r="Q73" s="56">
        <v>3</v>
      </c>
      <c r="R73" s="56">
        <v>2.5</v>
      </c>
      <c r="S73" s="56">
        <v>3</v>
      </c>
      <c r="T73" s="56" t="s">
        <v>294</v>
      </c>
    </row>
    <row r="74" spans="1:20" ht="15" customHeight="1" x14ac:dyDescent="0.25">
      <c r="A74" s="56" t="s">
        <v>61</v>
      </c>
      <c r="B74" s="56" t="s">
        <v>220</v>
      </c>
      <c r="C74" s="56">
        <v>2</v>
      </c>
      <c r="D74" s="56">
        <v>2</v>
      </c>
      <c r="E74" s="56">
        <v>2</v>
      </c>
      <c r="F74" s="56">
        <v>2</v>
      </c>
      <c r="G74" s="56">
        <v>4</v>
      </c>
      <c r="H74" s="56">
        <v>2</v>
      </c>
      <c r="I74" s="56">
        <v>3</v>
      </c>
      <c r="J74" s="56">
        <v>2</v>
      </c>
      <c r="K74" s="56">
        <v>3</v>
      </c>
      <c r="L74" s="56">
        <v>2</v>
      </c>
      <c r="M74" s="56">
        <v>3</v>
      </c>
      <c r="N74" s="56">
        <v>3</v>
      </c>
      <c r="O74" s="56">
        <v>4</v>
      </c>
      <c r="P74" s="56">
        <v>3</v>
      </c>
      <c r="Q74" s="56">
        <v>3</v>
      </c>
      <c r="R74" s="56">
        <v>3</v>
      </c>
      <c r="S74" s="56">
        <v>2.5</v>
      </c>
      <c r="T74" s="56" t="s">
        <v>295</v>
      </c>
    </row>
    <row r="75" spans="1:20" ht="15" customHeight="1" x14ac:dyDescent="0.25">
      <c r="A75" s="56" t="s">
        <v>100</v>
      </c>
      <c r="B75" s="56" t="s">
        <v>220</v>
      </c>
      <c r="C75" s="56">
        <v>2</v>
      </c>
      <c r="D75" s="56">
        <v>2</v>
      </c>
      <c r="E75" s="56">
        <v>3</v>
      </c>
      <c r="F75" s="56">
        <v>4</v>
      </c>
      <c r="G75" s="56">
        <v>3</v>
      </c>
      <c r="H75" s="56">
        <v>3</v>
      </c>
      <c r="I75" s="56">
        <v>1</v>
      </c>
      <c r="J75" s="56">
        <v>2.5</v>
      </c>
      <c r="K75" s="56">
        <v>2</v>
      </c>
      <c r="L75" s="56">
        <v>3</v>
      </c>
      <c r="M75" s="56">
        <v>2</v>
      </c>
      <c r="N75" s="56">
        <v>2</v>
      </c>
      <c r="O75" s="56">
        <v>4</v>
      </c>
      <c r="P75" s="56">
        <v>3</v>
      </c>
      <c r="Q75" s="56">
        <v>2</v>
      </c>
      <c r="R75" s="56">
        <v>2.5</v>
      </c>
      <c r="S75" s="56">
        <v>2.5</v>
      </c>
      <c r="T75" s="56" t="s">
        <v>1977</v>
      </c>
    </row>
    <row r="76" spans="1:20" ht="15" customHeight="1" x14ac:dyDescent="0.25">
      <c r="A76" s="56" t="s">
        <v>37</v>
      </c>
      <c r="B76" s="56" t="s">
        <v>218</v>
      </c>
      <c r="C76" s="56">
        <v>5</v>
      </c>
      <c r="D76" s="56">
        <v>4</v>
      </c>
      <c r="E76" s="56">
        <v>5</v>
      </c>
      <c r="F76" s="56">
        <v>5</v>
      </c>
      <c r="G76" s="56">
        <v>4</v>
      </c>
      <c r="H76" s="56">
        <v>3</v>
      </c>
      <c r="I76" s="56">
        <v>5</v>
      </c>
      <c r="J76" s="56">
        <v>4</v>
      </c>
      <c r="K76" s="56">
        <v>3</v>
      </c>
      <c r="L76" s="56">
        <v>2</v>
      </c>
      <c r="M76" s="56">
        <v>4</v>
      </c>
      <c r="N76" s="56">
        <v>2</v>
      </c>
      <c r="O76" s="56">
        <v>3</v>
      </c>
      <c r="P76" s="56">
        <v>2</v>
      </c>
      <c r="Q76" s="56">
        <v>4</v>
      </c>
      <c r="R76" s="56">
        <v>2.5</v>
      </c>
      <c r="S76" s="56">
        <v>3</v>
      </c>
      <c r="T76" s="56" t="s">
        <v>294</v>
      </c>
    </row>
    <row r="77" spans="1:20" ht="15" customHeight="1" x14ac:dyDescent="0.25">
      <c r="A77" s="56" t="s">
        <v>94</v>
      </c>
      <c r="B77" s="56" t="s">
        <v>218</v>
      </c>
      <c r="C77" s="56">
        <v>2</v>
      </c>
      <c r="D77" s="56">
        <v>3</v>
      </c>
      <c r="E77" s="56">
        <v>2</v>
      </c>
      <c r="F77" s="56">
        <v>4</v>
      </c>
      <c r="G77" s="56">
        <v>1</v>
      </c>
      <c r="H77" s="56">
        <v>4</v>
      </c>
      <c r="I77" s="56">
        <v>1</v>
      </c>
      <c r="J77" s="56">
        <v>2</v>
      </c>
      <c r="K77" s="56">
        <v>5</v>
      </c>
      <c r="L77" s="56">
        <v>3</v>
      </c>
      <c r="M77" s="56">
        <v>5</v>
      </c>
      <c r="N77" s="56">
        <v>5</v>
      </c>
      <c r="O77" s="56">
        <v>5</v>
      </c>
      <c r="P77" s="56">
        <v>4</v>
      </c>
      <c r="Q77" s="56">
        <v>5</v>
      </c>
      <c r="R77" s="56">
        <v>4.5</v>
      </c>
      <c r="S77" s="56">
        <v>3</v>
      </c>
      <c r="T77" s="56" t="s">
        <v>226</v>
      </c>
    </row>
    <row r="78" spans="1:20" ht="15" customHeight="1" x14ac:dyDescent="0.25">
      <c r="A78" s="56" t="s">
        <v>86</v>
      </c>
      <c r="B78" s="56" t="s">
        <v>218</v>
      </c>
      <c r="C78" s="56">
        <v>5</v>
      </c>
      <c r="D78" s="56">
        <v>4</v>
      </c>
      <c r="E78" s="56">
        <v>5</v>
      </c>
      <c r="F78" s="56">
        <v>5</v>
      </c>
      <c r="G78" s="56">
        <v>5</v>
      </c>
      <c r="H78" s="56">
        <v>5</v>
      </c>
      <c r="I78" s="56">
        <v>5</v>
      </c>
      <c r="J78" s="56">
        <v>4.5</v>
      </c>
      <c r="K78" s="56">
        <v>5</v>
      </c>
      <c r="L78" s="56">
        <v>3</v>
      </c>
      <c r="M78" s="56">
        <v>5</v>
      </c>
      <c r="N78" s="56">
        <v>5</v>
      </c>
      <c r="O78" s="56">
        <v>5</v>
      </c>
      <c r="P78" s="56">
        <v>5</v>
      </c>
      <c r="Q78" s="56">
        <v>5</v>
      </c>
      <c r="R78" s="56">
        <v>4.5</v>
      </c>
      <c r="S78" s="56">
        <v>4.5</v>
      </c>
      <c r="T78" s="56" t="s">
        <v>283</v>
      </c>
    </row>
    <row r="79" spans="1:20" ht="15" customHeight="1" x14ac:dyDescent="0.25">
      <c r="A79" s="56" t="s">
        <v>58</v>
      </c>
      <c r="B79" s="56" t="s">
        <v>220</v>
      </c>
      <c r="C79" s="56">
        <v>3</v>
      </c>
      <c r="D79" s="56">
        <v>3</v>
      </c>
      <c r="E79" s="56">
        <v>3</v>
      </c>
      <c r="F79" s="56">
        <v>3</v>
      </c>
      <c r="G79" s="56">
        <v>3</v>
      </c>
      <c r="H79" s="56">
        <v>3</v>
      </c>
      <c r="I79" s="56">
        <v>2</v>
      </c>
      <c r="J79" s="56">
        <v>2.5</v>
      </c>
      <c r="K79" s="56">
        <v>3</v>
      </c>
      <c r="L79" s="56">
        <v>4</v>
      </c>
      <c r="M79" s="56">
        <v>4</v>
      </c>
      <c r="N79" s="56">
        <v>3</v>
      </c>
      <c r="O79" s="56">
        <v>4</v>
      </c>
      <c r="P79" s="56">
        <v>3</v>
      </c>
      <c r="Q79" s="56">
        <v>3</v>
      </c>
      <c r="R79" s="56">
        <v>3</v>
      </c>
      <c r="S79" s="56">
        <v>2.5</v>
      </c>
      <c r="T79" s="56" t="s">
        <v>296</v>
      </c>
    </row>
    <row r="80" spans="1:20" ht="15" customHeight="1" x14ac:dyDescent="0.25">
      <c r="A80" s="56" t="s">
        <v>103</v>
      </c>
      <c r="B80" s="56" t="s">
        <v>222</v>
      </c>
      <c r="C80" s="56">
        <v>1</v>
      </c>
      <c r="D80" s="56">
        <v>2</v>
      </c>
      <c r="E80" s="56">
        <v>2</v>
      </c>
      <c r="F80" s="56">
        <v>1</v>
      </c>
      <c r="G80" s="56">
        <v>3</v>
      </c>
      <c r="H80" s="56">
        <v>1</v>
      </c>
      <c r="I80" s="56">
        <v>1</v>
      </c>
      <c r="J80" s="56">
        <v>1.5</v>
      </c>
      <c r="K80" s="56">
        <v>1</v>
      </c>
      <c r="L80" s="56">
        <v>2</v>
      </c>
      <c r="M80" s="56">
        <v>2</v>
      </c>
      <c r="N80" s="56">
        <v>1</v>
      </c>
      <c r="O80" s="56">
        <v>2</v>
      </c>
      <c r="P80" s="56">
        <v>2</v>
      </c>
      <c r="Q80" s="56">
        <v>1</v>
      </c>
      <c r="R80" s="56">
        <v>1.5</v>
      </c>
      <c r="S80" s="56">
        <v>1.5</v>
      </c>
      <c r="T80" s="56" t="s">
        <v>297</v>
      </c>
    </row>
    <row r="81" spans="1:20" ht="15" customHeight="1" x14ac:dyDescent="0.25">
      <c r="A81" s="56" t="s">
        <v>1934</v>
      </c>
      <c r="B81" s="56" t="s">
        <v>218</v>
      </c>
      <c r="C81" s="56">
        <v>5</v>
      </c>
      <c r="D81" s="56">
        <v>5</v>
      </c>
      <c r="E81" s="56">
        <v>5</v>
      </c>
      <c r="H81" s="56">
        <v>5</v>
      </c>
      <c r="I81" s="56">
        <v>5</v>
      </c>
      <c r="J81" s="56">
        <v>5</v>
      </c>
      <c r="K81" s="56">
        <v>5</v>
      </c>
      <c r="L81" s="56">
        <v>5</v>
      </c>
      <c r="M81" s="56">
        <v>5</v>
      </c>
      <c r="P81" s="56">
        <v>5</v>
      </c>
      <c r="Q81" s="56">
        <v>5</v>
      </c>
      <c r="R81" s="56">
        <v>5</v>
      </c>
      <c r="S81" s="56">
        <v>5</v>
      </c>
      <c r="T81" s="56" t="s">
        <v>1935</v>
      </c>
    </row>
    <row r="82" spans="1:20" ht="15" customHeight="1" x14ac:dyDescent="0.25">
      <c r="A82" s="56" t="s">
        <v>52</v>
      </c>
      <c r="B82" s="56" t="s">
        <v>223</v>
      </c>
      <c r="C82" s="56">
        <v>5</v>
      </c>
      <c r="D82" s="56">
        <v>5</v>
      </c>
      <c r="E82" s="56">
        <v>5</v>
      </c>
      <c r="F82" s="56">
        <v>5</v>
      </c>
      <c r="G82" s="56">
        <v>5</v>
      </c>
      <c r="H82" s="56">
        <v>5</v>
      </c>
      <c r="I82" s="56">
        <v>5</v>
      </c>
      <c r="J82" s="56">
        <v>5</v>
      </c>
      <c r="K82" s="56">
        <v>5</v>
      </c>
      <c r="L82" s="56">
        <v>5</v>
      </c>
      <c r="M82" s="56">
        <v>5</v>
      </c>
      <c r="N82" s="56">
        <v>5</v>
      </c>
      <c r="O82" s="56">
        <v>5</v>
      </c>
      <c r="P82" s="56">
        <v>5</v>
      </c>
      <c r="Q82" s="56">
        <v>5</v>
      </c>
      <c r="R82" s="56">
        <v>5</v>
      </c>
      <c r="S82" s="56">
        <v>5</v>
      </c>
      <c r="T82" s="56" t="s">
        <v>283</v>
      </c>
    </row>
    <row r="83" spans="1:20" ht="15" customHeight="1" x14ac:dyDescent="0.25">
      <c r="A83" s="56" t="s">
        <v>38</v>
      </c>
      <c r="B83" s="56" t="s">
        <v>218</v>
      </c>
      <c r="C83" s="56">
        <v>5</v>
      </c>
      <c r="D83" s="56">
        <v>4</v>
      </c>
      <c r="E83" s="56">
        <v>5</v>
      </c>
      <c r="F83" s="56">
        <v>4</v>
      </c>
      <c r="G83" s="56">
        <v>5</v>
      </c>
      <c r="H83" s="56">
        <v>5</v>
      </c>
      <c r="I83" s="56">
        <v>5</v>
      </c>
      <c r="J83" s="56">
        <v>4.5</v>
      </c>
      <c r="K83" s="56">
        <v>5</v>
      </c>
      <c r="L83" s="56">
        <v>5</v>
      </c>
      <c r="M83" s="56">
        <v>5</v>
      </c>
      <c r="N83" s="56">
        <v>4</v>
      </c>
      <c r="O83" s="56">
        <v>5</v>
      </c>
      <c r="P83" s="56">
        <v>5</v>
      </c>
      <c r="Q83" s="56">
        <v>5</v>
      </c>
      <c r="R83" s="56">
        <v>4.5</v>
      </c>
      <c r="S83" s="56">
        <v>4.5</v>
      </c>
      <c r="T83" s="56" t="s">
        <v>628</v>
      </c>
    </row>
    <row r="84" spans="1:20" ht="15" customHeight="1" x14ac:dyDescent="0.25">
      <c r="A84" s="56" t="s">
        <v>251</v>
      </c>
      <c r="B84" s="56" t="s">
        <v>218</v>
      </c>
      <c r="C84" s="56">
        <v>2</v>
      </c>
      <c r="D84" s="56">
        <v>2</v>
      </c>
      <c r="E84" s="56">
        <v>2</v>
      </c>
      <c r="F84" s="56">
        <v>2</v>
      </c>
      <c r="H84" s="56">
        <v>2</v>
      </c>
      <c r="I84" s="56">
        <v>2</v>
      </c>
      <c r="J84" s="56">
        <v>2</v>
      </c>
      <c r="K84" s="56">
        <v>3</v>
      </c>
      <c r="L84" s="56">
        <v>3</v>
      </c>
      <c r="M84" s="56">
        <v>2</v>
      </c>
      <c r="N84" s="56">
        <v>3</v>
      </c>
      <c r="P84" s="56">
        <v>3</v>
      </c>
      <c r="Q84" s="56">
        <v>3</v>
      </c>
      <c r="R84" s="56">
        <v>2.5</v>
      </c>
      <c r="S84" s="56">
        <v>2</v>
      </c>
      <c r="T84" s="56" t="s">
        <v>629</v>
      </c>
    </row>
    <row r="85" spans="1:20" ht="15" customHeight="1" x14ac:dyDescent="0.25">
      <c r="A85" s="56" t="s">
        <v>51</v>
      </c>
      <c r="B85" s="56" t="s">
        <v>220</v>
      </c>
      <c r="C85" s="56">
        <v>3</v>
      </c>
      <c r="D85" s="56">
        <v>3</v>
      </c>
      <c r="E85" s="56">
        <v>3</v>
      </c>
      <c r="F85" s="56">
        <v>4</v>
      </c>
      <c r="G85" s="56">
        <v>3</v>
      </c>
      <c r="H85" s="56">
        <v>3</v>
      </c>
      <c r="I85" s="56">
        <v>3</v>
      </c>
      <c r="J85" s="56">
        <v>3</v>
      </c>
      <c r="K85" s="56">
        <v>3</v>
      </c>
      <c r="L85" s="56">
        <v>3</v>
      </c>
      <c r="M85" s="56">
        <v>3</v>
      </c>
      <c r="N85" s="56">
        <v>3</v>
      </c>
      <c r="O85" s="56">
        <v>4</v>
      </c>
      <c r="P85" s="56">
        <v>2</v>
      </c>
      <c r="Q85" s="56">
        <v>3</v>
      </c>
      <c r="R85" s="56">
        <v>3</v>
      </c>
      <c r="S85" s="56">
        <v>3</v>
      </c>
      <c r="T85" s="56" t="s">
        <v>298</v>
      </c>
    </row>
    <row r="86" spans="1:20" ht="15" customHeight="1" x14ac:dyDescent="0.25">
      <c r="A86" s="56" t="s">
        <v>83</v>
      </c>
      <c r="B86" s="56" t="s">
        <v>222</v>
      </c>
      <c r="C86" s="56">
        <v>2</v>
      </c>
      <c r="D86" s="56">
        <v>4</v>
      </c>
      <c r="E86" s="56">
        <v>3</v>
      </c>
      <c r="F86" s="56">
        <v>2</v>
      </c>
      <c r="G86" s="56">
        <v>4</v>
      </c>
      <c r="H86" s="56">
        <v>1</v>
      </c>
      <c r="I86" s="56">
        <v>4</v>
      </c>
      <c r="J86" s="56">
        <v>2.5</v>
      </c>
      <c r="K86" s="56">
        <v>2</v>
      </c>
      <c r="L86" s="56">
        <v>2</v>
      </c>
      <c r="M86" s="56">
        <v>2</v>
      </c>
      <c r="N86" s="56">
        <v>1</v>
      </c>
      <c r="O86" s="56">
        <v>2</v>
      </c>
      <c r="P86" s="56">
        <v>2</v>
      </c>
      <c r="Q86" s="56">
        <v>1</v>
      </c>
      <c r="R86" s="56">
        <v>1.5</v>
      </c>
      <c r="S86" s="56">
        <v>2</v>
      </c>
      <c r="T86" s="56" t="s">
        <v>299</v>
      </c>
    </row>
    <row r="87" spans="1:20" ht="15" customHeight="1" x14ac:dyDescent="0.25">
      <c r="A87" s="56" t="s">
        <v>62</v>
      </c>
      <c r="B87" s="56" t="s">
        <v>220</v>
      </c>
      <c r="C87" s="56">
        <v>4</v>
      </c>
      <c r="D87" s="56">
        <v>3</v>
      </c>
      <c r="E87" s="56">
        <v>3</v>
      </c>
      <c r="F87" s="56">
        <v>3</v>
      </c>
      <c r="G87" s="56">
        <v>4</v>
      </c>
      <c r="H87" s="56">
        <v>2</v>
      </c>
      <c r="I87" s="56">
        <v>4</v>
      </c>
      <c r="J87" s="56">
        <v>3</v>
      </c>
      <c r="K87" s="56">
        <v>4</v>
      </c>
      <c r="L87" s="56">
        <v>4</v>
      </c>
      <c r="M87" s="56">
        <v>3</v>
      </c>
      <c r="N87" s="56">
        <v>3</v>
      </c>
      <c r="O87" s="56">
        <v>4</v>
      </c>
      <c r="P87" s="56">
        <v>3</v>
      </c>
      <c r="Q87" s="56">
        <v>4</v>
      </c>
      <c r="R87" s="56">
        <v>3.5</v>
      </c>
      <c r="S87" s="56">
        <v>3</v>
      </c>
      <c r="T87" s="56" t="s">
        <v>283</v>
      </c>
    </row>
    <row r="88" spans="1:20" ht="15" customHeight="1" x14ac:dyDescent="0.25">
      <c r="A88" s="56" t="s">
        <v>1849</v>
      </c>
      <c r="B88" s="56" t="s">
        <v>220</v>
      </c>
      <c r="C88" s="56">
        <v>4</v>
      </c>
      <c r="D88" s="56">
        <v>4</v>
      </c>
      <c r="E88" s="56">
        <v>4</v>
      </c>
      <c r="H88" s="56">
        <v>4</v>
      </c>
      <c r="I88" s="56">
        <v>4</v>
      </c>
      <c r="J88" s="56">
        <v>4</v>
      </c>
      <c r="K88" s="56">
        <v>3</v>
      </c>
      <c r="L88" s="56">
        <v>2</v>
      </c>
      <c r="M88" s="56">
        <v>2</v>
      </c>
      <c r="P88" s="56">
        <v>3</v>
      </c>
      <c r="Q88" s="56">
        <v>3</v>
      </c>
      <c r="R88" s="56">
        <v>2.5</v>
      </c>
      <c r="S88" s="56">
        <v>3</v>
      </c>
      <c r="T88" s="56" t="s">
        <v>1936</v>
      </c>
    </row>
    <row r="89" spans="1:20" ht="15" customHeight="1" x14ac:dyDescent="0.25">
      <c r="A89" s="56" t="s">
        <v>105</v>
      </c>
      <c r="B89" s="56" t="s">
        <v>222</v>
      </c>
      <c r="C89" s="56">
        <v>3</v>
      </c>
      <c r="D89" s="56">
        <v>2</v>
      </c>
      <c r="E89" s="56">
        <v>2</v>
      </c>
      <c r="F89" s="56">
        <v>3</v>
      </c>
      <c r="G89" s="56">
        <v>2</v>
      </c>
      <c r="H89" s="56">
        <v>2</v>
      </c>
      <c r="I89" s="56">
        <v>1</v>
      </c>
      <c r="J89" s="56">
        <v>2</v>
      </c>
      <c r="K89" s="56">
        <v>3</v>
      </c>
      <c r="L89" s="56">
        <v>2</v>
      </c>
      <c r="M89" s="56">
        <v>3</v>
      </c>
      <c r="N89" s="56">
        <v>2</v>
      </c>
      <c r="O89" s="56">
        <v>3</v>
      </c>
      <c r="P89" s="56">
        <v>2</v>
      </c>
      <c r="Q89" s="56">
        <v>3</v>
      </c>
      <c r="R89" s="56">
        <v>2.5</v>
      </c>
      <c r="S89" s="56">
        <v>2</v>
      </c>
      <c r="T89" s="56" t="s">
        <v>300</v>
      </c>
    </row>
    <row r="90" spans="1:20" ht="15" customHeight="1" x14ac:dyDescent="0.25">
      <c r="A90" s="56" t="s">
        <v>63</v>
      </c>
      <c r="B90" s="56" t="s">
        <v>220</v>
      </c>
      <c r="C90" s="56">
        <v>4</v>
      </c>
      <c r="D90" s="56">
        <v>4</v>
      </c>
      <c r="E90" s="56">
        <v>4</v>
      </c>
      <c r="F90" s="56">
        <v>2</v>
      </c>
      <c r="G90" s="56">
        <v>4</v>
      </c>
      <c r="H90" s="56">
        <v>3</v>
      </c>
      <c r="I90" s="56">
        <v>4</v>
      </c>
      <c r="J90" s="56">
        <v>3.5</v>
      </c>
      <c r="K90" s="56">
        <v>3</v>
      </c>
      <c r="L90" s="56">
        <v>3</v>
      </c>
      <c r="M90" s="56">
        <v>3</v>
      </c>
      <c r="N90" s="56">
        <v>2</v>
      </c>
      <c r="O90" s="56">
        <v>3</v>
      </c>
      <c r="P90" s="56">
        <v>2</v>
      </c>
      <c r="Q90" s="56">
        <v>3</v>
      </c>
      <c r="R90" s="56">
        <v>2.5</v>
      </c>
      <c r="S90" s="56">
        <v>3</v>
      </c>
      <c r="T90" s="56" t="s">
        <v>301</v>
      </c>
    </row>
    <row r="91" spans="1:20" ht="15" customHeight="1" x14ac:dyDescent="0.25">
      <c r="A91" s="56" t="s">
        <v>81</v>
      </c>
      <c r="B91" s="56" t="s">
        <v>222</v>
      </c>
      <c r="C91" s="56">
        <v>4</v>
      </c>
      <c r="D91" s="56">
        <v>4</v>
      </c>
      <c r="E91" s="56">
        <v>3</v>
      </c>
      <c r="F91" s="56">
        <v>3</v>
      </c>
      <c r="G91" s="56">
        <v>4</v>
      </c>
      <c r="H91" s="56">
        <v>3</v>
      </c>
      <c r="I91" s="56">
        <v>4</v>
      </c>
      <c r="J91" s="56">
        <v>3.5</v>
      </c>
      <c r="K91" s="56">
        <v>4</v>
      </c>
      <c r="L91" s="56">
        <v>3</v>
      </c>
      <c r="M91" s="56">
        <v>3</v>
      </c>
      <c r="N91" s="56">
        <v>2</v>
      </c>
      <c r="O91" s="56">
        <v>5</v>
      </c>
      <c r="P91" s="56">
        <v>3</v>
      </c>
      <c r="Q91" s="56">
        <v>3</v>
      </c>
      <c r="R91" s="56">
        <v>3</v>
      </c>
      <c r="S91" s="56">
        <v>3</v>
      </c>
      <c r="T91" s="56" t="s">
        <v>302</v>
      </c>
    </row>
    <row r="92" spans="1:20" ht="15" customHeight="1" x14ac:dyDescent="0.25">
      <c r="A92" s="56" t="s">
        <v>64</v>
      </c>
      <c r="B92" s="56" t="s">
        <v>220</v>
      </c>
      <c r="C92" s="56">
        <v>1</v>
      </c>
      <c r="D92" s="56">
        <v>1</v>
      </c>
      <c r="E92" s="56">
        <v>1</v>
      </c>
      <c r="F92" s="56">
        <v>1</v>
      </c>
      <c r="G92" s="56">
        <v>1</v>
      </c>
      <c r="H92" s="56">
        <v>1</v>
      </c>
      <c r="I92" s="56">
        <v>1</v>
      </c>
      <c r="J92" s="56">
        <v>1</v>
      </c>
      <c r="K92" s="56">
        <v>2</v>
      </c>
      <c r="L92" s="56">
        <v>2</v>
      </c>
      <c r="M92" s="56">
        <v>3</v>
      </c>
      <c r="N92" s="56">
        <v>2</v>
      </c>
      <c r="O92" s="56">
        <v>2</v>
      </c>
      <c r="P92" s="56">
        <v>2</v>
      </c>
      <c r="Q92" s="56">
        <v>2</v>
      </c>
      <c r="R92" s="56">
        <v>2</v>
      </c>
      <c r="S92" s="56">
        <v>1.5</v>
      </c>
      <c r="T92" s="56" t="s">
        <v>303</v>
      </c>
    </row>
    <row r="93" spans="1:20" ht="15" customHeight="1" x14ac:dyDescent="0.25">
      <c r="A93" s="56" t="s">
        <v>106</v>
      </c>
      <c r="B93" s="56" t="s">
        <v>222</v>
      </c>
      <c r="C93" s="56">
        <v>4</v>
      </c>
      <c r="D93" s="56">
        <v>4</v>
      </c>
      <c r="E93" s="56">
        <v>4</v>
      </c>
      <c r="F93" s="56">
        <v>3</v>
      </c>
      <c r="G93" s="56">
        <v>4</v>
      </c>
      <c r="H93" s="56">
        <v>3</v>
      </c>
      <c r="I93" s="56">
        <v>4</v>
      </c>
      <c r="J93" s="56">
        <v>3.5</v>
      </c>
      <c r="K93" s="56">
        <v>4</v>
      </c>
      <c r="L93" s="56">
        <v>4</v>
      </c>
      <c r="M93" s="56">
        <v>4</v>
      </c>
      <c r="N93" s="56">
        <v>3</v>
      </c>
      <c r="O93" s="56">
        <v>4</v>
      </c>
      <c r="P93" s="56">
        <v>3</v>
      </c>
      <c r="Q93" s="56">
        <v>4</v>
      </c>
      <c r="R93" s="56">
        <v>3.5</v>
      </c>
      <c r="S93" s="56">
        <v>3.5</v>
      </c>
      <c r="T93" s="56" t="s">
        <v>630</v>
      </c>
    </row>
    <row r="94" spans="1:20" ht="15" customHeight="1" x14ac:dyDescent="0.25">
      <c r="A94" s="56" t="s">
        <v>77</v>
      </c>
      <c r="B94" s="56" t="s">
        <v>220</v>
      </c>
      <c r="C94" s="56">
        <v>4</v>
      </c>
      <c r="D94" s="56">
        <v>4</v>
      </c>
      <c r="E94" s="56">
        <v>4</v>
      </c>
      <c r="F94" s="56">
        <v>5</v>
      </c>
      <c r="G94" s="56">
        <v>5</v>
      </c>
      <c r="H94" s="56">
        <v>5</v>
      </c>
      <c r="I94" s="56">
        <v>4</v>
      </c>
      <c r="J94" s="56">
        <v>4</v>
      </c>
      <c r="K94" s="56">
        <v>4</v>
      </c>
      <c r="L94" s="56">
        <v>4</v>
      </c>
      <c r="M94" s="56">
        <v>4</v>
      </c>
      <c r="N94" s="56">
        <v>3</v>
      </c>
      <c r="O94" s="56">
        <v>5</v>
      </c>
      <c r="P94" s="56">
        <v>4</v>
      </c>
      <c r="Q94" s="56">
        <v>4</v>
      </c>
      <c r="R94" s="56">
        <v>4</v>
      </c>
      <c r="S94" s="56">
        <v>4</v>
      </c>
      <c r="T94" s="56" t="s">
        <v>283</v>
      </c>
    </row>
    <row r="95" spans="1:20" ht="15" customHeight="1" x14ac:dyDescent="0.25">
      <c r="A95" s="56" t="s">
        <v>50</v>
      </c>
      <c r="B95" s="56" t="s">
        <v>222</v>
      </c>
      <c r="C95" s="56">
        <v>3</v>
      </c>
      <c r="D95" s="56">
        <v>4</v>
      </c>
      <c r="E95" s="56">
        <v>3</v>
      </c>
      <c r="F95" s="56">
        <v>3</v>
      </c>
      <c r="G95" s="56">
        <v>4</v>
      </c>
      <c r="H95" s="56">
        <v>3</v>
      </c>
      <c r="I95" s="56">
        <v>4</v>
      </c>
      <c r="J95" s="56">
        <v>3</v>
      </c>
      <c r="K95" s="56">
        <v>2</v>
      </c>
      <c r="L95" s="56">
        <v>2</v>
      </c>
      <c r="M95" s="56">
        <v>2</v>
      </c>
      <c r="N95" s="56">
        <v>2</v>
      </c>
      <c r="O95" s="56">
        <v>3</v>
      </c>
      <c r="P95" s="56">
        <v>3</v>
      </c>
      <c r="Q95" s="56">
        <v>2</v>
      </c>
      <c r="R95" s="56">
        <v>2</v>
      </c>
      <c r="S95" s="56">
        <v>2.5</v>
      </c>
      <c r="T95" s="56" t="s">
        <v>304</v>
      </c>
    </row>
    <row r="96" spans="1:20" ht="15" customHeight="1" x14ac:dyDescent="0.25">
      <c r="A96" s="56" t="s">
        <v>734</v>
      </c>
      <c r="B96" s="56" t="s">
        <v>223</v>
      </c>
      <c r="C96" s="56">
        <v>2</v>
      </c>
      <c r="D96" s="56">
        <v>2</v>
      </c>
      <c r="E96" s="56">
        <v>2</v>
      </c>
      <c r="F96" s="56">
        <v>1</v>
      </c>
      <c r="G96" s="56">
        <v>2</v>
      </c>
      <c r="H96" s="56">
        <v>1</v>
      </c>
      <c r="I96" s="56">
        <v>1</v>
      </c>
      <c r="J96" s="56">
        <v>1.5</v>
      </c>
      <c r="K96" s="56">
        <v>2</v>
      </c>
      <c r="L96" s="56">
        <v>1</v>
      </c>
      <c r="M96" s="56">
        <v>2</v>
      </c>
      <c r="N96" s="56">
        <v>1</v>
      </c>
      <c r="O96" s="56">
        <v>2</v>
      </c>
      <c r="P96" s="56">
        <v>1</v>
      </c>
      <c r="Q96" s="56">
        <v>1</v>
      </c>
      <c r="R96" s="56">
        <v>1</v>
      </c>
      <c r="S96" s="56">
        <v>1</v>
      </c>
      <c r="T96" s="56" t="s">
        <v>735</v>
      </c>
    </row>
    <row r="97" spans="1:20" ht="15" customHeight="1" x14ac:dyDescent="0.25">
      <c r="A97" s="56" t="s">
        <v>736</v>
      </c>
      <c r="B97" s="56" t="s">
        <v>223</v>
      </c>
      <c r="C97" s="56">
        <v>1</v>
      </c>
      <c r="D97" s="56">
        <v>1</v>
      </c>
      <c r="E97" s="56">
        <v>1</v>
      </c>
      <c r="F97" s="56">
        <v>2</v>
      </c>
      <c r="G97" s="56">
        <v>5</v>
      </c>
      <c r="H97" s="56">
        <v>1</v>
      </c>
      <c r="I97" s="56">
        <v>5</v>
      </c>
      <c r="J97" s="56">
        <v>2</v>
      </c>
      <c r="K97" s="56">
        <v>1</v>
      </c>
      <c r="L97" s="56">
        <v>1</v>
      </c>
      <c r="M97" s="56">
        <v>1</v>
      </c>
      <c r="N97" s="56">
        <v>1</v>
      </c>
      <c r="O97" s="56">
        <v>2</v>
      </c>
      <c r="P97" s="56">
        <v>1</v>
      </c>
      <c r="Q97" s="56">
        <v>5</v>
      </c>
      <c r="R97" s="56">
        <v>1.5</v>
      </c>
      <c r="S97" s="56">
        <v>1.5</v>
      </c>
      <c r="T97" s="56" t="s">
        <v>737</v>
      </c>
    </row>
    <row r="98" spans="1:20" ht="15" customHeight="1" x14ac:dyDescent="0.25">
      <c r="A98" s="56" t="s">
        <v>738</v>
      </c>
      <c r="B98" s="56" t="s">
        <v>223</v>
      </c>
      <c r="C98" s="56">
        <v>1</v>
      </c>
      <c r="D98" s="56">
        <v>1</v>
      </c>
      <c r="E98" s="56">
        <v>1</v>
      </c>
      <c r="F98" s="56">
        <v>1</v>
      </c>
      <c r="G98" s="56">
        <v>1</v>
      </c>
      <c r="H98" s="56">
        <v>1</v>
      </c>
      <c r="I98" s="56">
        <v>1</v>
      </c>
      <c r="J98" s="56">
        <v>1</v>
      </c>
      <c r="K98" s="56">
        <v>1</v>
      </c>
      <c r="L98" s="56">
        <v>1</v>
      </c>
      <c r="M98" s="56">
        <v>1</v>
      </c>
      <c r="N98" s="56">
        <v>1</v>
      </c>
      <c r="O98" s="56">
        <v>2</v>
      </c>
      <c r="P98" s="56">
        <v>1</v>
      </c>
      <c r="Q98" s="56">
        <v>1</v>
      </c>
      <c r="R98" s="56">
        <v>1</v>
      </c>
      <c r="S98" s="56">
        <v>1</v>
      </c>
      <c r="T98" s="56" t="s">
        <v>739</v>
      </c>
    </row>
    <row r="99" spans="1:20" ht="15" customHeight="1" x14ac:dyDescent="0.25">
      <c r="A99" s="56" t="s">
        <v>740</v>
      </c>
      <c r="B99" s="56" t="s">
        <v>223</v>
      </c>
      <c r="C99" s="56">
        <v>5</v>
      </c>
      <c r="D99" s="56">
        <v>5</v>
      </c>
      <c r="E99" s="56">
        <v>5</v>
      </c>
      <c r="F99" s="56">
        <v>4</v>
      </c>
      <c r="G99" s="56">
        <v>5</v>
      </c>
      <c r="H99" s="56">
        <v>4</v>
      </c>
      <c r="I99" s="56">
        <v>5</v>
      </c>
      <c r="J99" s="56">
        <v>4.5</v>
      </c>
      <c r="K99" s="56">
        <v>5</v>
      </c>
      <c r="L99" s="56">
        <v>5</v>
      </c>
      <c r="M99" s="56">
        <v>5</v>
      </c>
      <c r="N99" s="56">
        <v>5</v>
      </c>
      <c r="O99" s="56">
        <v>5</v>
      </c>
      <c r="P99" s="56">
        <v>5</v>
      </c>
      <c r="Q99" s="56">
        <v>5</v>
      </c>
      <c r="R99" s="56">
        <v>5</v>
      </c>
      <c r="S99" s="56">
        <v>4.5</v>
      </c>
      <c r="T99" s="56" t="s">
        <v>741</v>
      </c>
    </row>
    <row r="100" spans="1:20" ht="15" customHeight="1" x14ac:dyDescent="0.25">
      <c r="A100" s="56" t="s">
        <v>742</v>
      </c>
      <c r="B100" s="56" t="s">
        <v>223</v>
      </c>
      <c r="C100" s="56">
        <v>4</v>
      </c>
      <c r="D100" s="56">
        <v>3</v>
      </c>
      <c r="E100" s="56">
        <v>4</v>
      </c>
      <c r="F100" s="56">
        <v>3</v>
      </c>
      <c r="G100" s="56">
        <v>5</v>
      </c>
      <c r="H100" s="56">
        <v>3</v>
      </c>
      <c r="I100" s="56">
        <v>4</v>
      </c>
      <c r="J100" s="56">
        <v>3.5</v>
      </c>
      <c r="K100" s="56">
        <v>3</v>
      </c>
      <c r="L100" s="56">
        <v>4</v>
      </c>
      <c r="M100" s="56">
        <v>4</v>
      </c>
      <c r="N100" s="56">
        <v>3</v>
      </c>
      <c r="O100" s="56">
        <v>5</v>
      </c>
      <c r="P100" s="56">
        <v>3</v>
      </c>
      <c r="Q100" s="56">
        <v>5</v>
      </c>
      <c r="R100" s="56">
        <v>3.5</v>
      </c>
      <c r="S100" s="56">
        <v>3.5</v>
      </c>
      <c r="T100" s="56" t="s">
        <v>743</v>
      </c>
    </row>
    <row r="101" spans="1:20" ht="15" customHeight="1" x14ac:dyDescent="0.25">
      <c r="A101" s="56" t="s">
        <v>1645</v>
      </c>
      <c r="B101" s="56" t="s">
        <v>218</v>
      </c>
      <c r="C101" s="56">
        <v>3</v>
      </c>
      <c r="D101" s="56">
        <v>3</v>
      </c>
      <c r="E101" s="56">
        <v>3</v>
      </c>
      <c r="F101" s="56">
        <v>3</v>
      </c>
      <c r="G101" s="56">
        <v>3</v>
      </c>
      <c r="H101" s="56">
        <v>3</v>
      </c>
      <c r="I101" s="56">
        <v>2</v>
      </c>
      <c r="J101" s="56">
        <v>2.5</v>
      </c>
      <c r="K101" s="56">
        <v>4</v>
      </c>
      <c r="L101" s="56">
        <v>4</v>
      </c>
      <c r="M101" s="56">
        <v>4</v>
      </c>
      <c r="N101" s="56">
        <v>3</v>
      </c>
      <c r="O101" s="56">
        <v>4</v>
      </c>
      <c r="P101" s="56">
        <v>3</v>
      </c>
      <c r="Q101" s="56">
        <v>4</v>
      </c>
      <c r="R101" s="56">
        <v>3.5</v>
      </c>
      <c r="S101" s="56">
        <v>3</v>
      </c>
      <c r="T101" s="56" t="s">
        <v>264</v>
      </c>
    </row>
    <row r="102" spans="1:20" ht="15" customHeight="1" x14ac:dyDescent="0.25">
      <c r="A102" s="56" t="s">
        <v>1630</v>
      </c>
      <c r="B102" s="56" t="s">
        <v>220</v>
      </c>
      <c r="C102" s="56">
        <v>3</v>
      </c>
      <c r="D102" s="56">
        <v>4</v>
      </c>
      <c r="E102" s="56">
        <v>3</v>
      </c>
      <c r="F102" s="56">
        <v>4</v>
      </c>
      <c r="G102" s="56">
        <v>4</v>
      </c>
      <c r="H102" s="56">
        <v>3</v>
      </c>
      <c r="I102" s="56">
        <v>4</v>
      </c>
      <c r="J102" s="56">
        <v>3.5</v>
      </c>
      <c r="K102" s="56">
        <v>3</v>
      </c>
      <c r="L102" s="56">
        <v>3</v>
      </c>
      <c r="M102" s="56">
        <v>3</v>
      </c>
      <c r="N102" s="56">
        <v>3</v>
      </c>
      <c r="O102" s="56">
        <v>4</v>
      </c>
      <c r="P102" s="56">
        <v>3</v>
      </c>
      <c r="Q102" s="56">
        <v>4</v>
      </c>
      <c r="R102" s="56">
        <v>3</v>
      </c>
      <c r="S102" s="56">
        <v>3</v>
      </c>
      <c r="T102" s="56" t="s">
        <v>221</v>
      </c>
    </row>
    <row r="103" spans="1:20" ht="15" customHeight="1" x14ac:dyDescent="0.25">
      <c r="A103" s="56" t="s">
        <v>57</v>
      </c>
      <c r="B103" s="56" t="s">
        <v>218</v>
      </c>
      <c r="C103" s="56">
        <v>5</v>
      </c>
      <c r="D103" s="56">
        <v>5</v>
      </c>
      <c r="E103" s="56">
        <v>5</v>
      </c>
      <c r="F103" s="56">
        <v>5</v>
      </c>
      <c r="G103" s="56">
        <v>5</v>
      </c>
      <c r="H103" s="56">
        <v>5</v>
      </c>
      <c r="I103" s="56">
        <v>5</v>
      </c>
      <c r="J103" s="56">
        <v>5</v>
      </c>
      <c r="K103" s="56">
        <v>5</v>
      </c>
      <c r="L103" s="56">
        <v>5</v>
      </c>
      <c r="M103" s="56">
        <v>5</v>
      </c>
      <c r="N103" s="56">
        <v>5</v>
      </c>
      <c r="O103" s="56">
        <v>5</v>
      </c>
      <c r="P103" s="56">
        <v>5</v>
      </c>
      <c r="Q103" s="56">
        <v>5</v>
      </c>
      <c r="R103" s="56">
        <v>5</v>
      </c>
      <c r="S103" s="56">
        <v>5</v>
      </c>
      <c r="T103" s="56" t="s">
        <v>283</v>
      </c>
    </row>
    <row r="104" spans="1:20" ht="15" customHeight="1" x14ac:dyDescent="0.25">
      <c r="A104" s="56" t="s">
        <v>26</v>
      </c>
      <c r="B104" s="56" t="s">
        <v>223</v>
      </c>
      <c r="C104" s="56">
        <v>5</v>
      </c>
      <c r="D104" s="56">
        <v>5</v>
      </c>
      <c r="E104" s="56">
        <v>5</v>
      </c>
      <c r="F104" s="56">
        <v>5</v>
      </c>
      <c r="G104" s="56">
        <v>5</v>
      </c>
      <c r="H104" s="56">
        <v>5</v>
      </c>
      <c r="I104" s="56">
        <v>5</v>
      </c>
      <c r="J104" s="56">
        <v>5</v>
      </c>
      <c r="K104" s="56">
        <v>5</v>
      </c>
      <c r="L104" s="56">
        <v>5</v>
      </c>
      <c r="M104" s="56">
        <v>5</v>
      </c>
      <c r="N104" s="56">
        <v>5</v>
      </c>
      <c r="O104" s="56">
        <v>5</v>
      </c>
      <c r="P104" s="56">
        <v>5</v>
      </c>
      <c r="Q104" s="56">
        <v>5</v>
      </c>
      <c r="R104" s="56">
        <v>5</v>
      </c>
      <c r="S104" s="56">
        <v>5</v>
      </c>
      <c r="T104" s="56" t="s">
        <v>283</v>
      </c>
    </row>
    <row r="105" spans="1:20" ht="15" customHeight="1" x14ac:dyDescent="0.25">
      <c r="A105" s="56" t="s">
        <v>27</v>
      </c>
      <c r="B105" s="56" t="s">
        <v>223</v>
      </c>
      <c r="C105" s="56">
        <v>5</v>
      </c>
      <c r="D105" s="56">
        <v>5</v>
      </c>
      <c r="E105" s="56">
        <v>5</v>
      </c>
      <c r="F105" s="56">
        <v>5</v>
      </c>
      <c r="G105" s="56">
        <v>5</v>
      </c>
      <c r="H105" s="56">
        <v>5</v>
      </c>
      <c r="I105" s="56">
        <v>5</v>
      </c>
      <c r="J105" s="56">
        <v>5</v>
      </c>
      <c r="K105" s="56">
        <v>5</v>
      </c>
      <c r="L105" s="56">
        <v>5</v>
      </c>
      <c r="M105" s="56">
        <v>5</v>
      </c>
      <c r="N105" s="56">
        <v>5</v>
      </c>
      <c r="O105" s="56">
        <v>5</v>
      </c>
      <c r="P105" s="56">
        <v>5</v>
      </c>
      <c r="Q105" s="56">
        <v>5</v>
      </c>
      <c r="R105" s="56">
        <v>5</v>
      </c>
      <c r="S105" s="56">
        <v>5</v>
      </c>
      <c r="T105" s="56" t="s">
        <v>283</v>
      </c>
    </row>
    <row r="106" spans="1:20" ht="15" customHeight="1" x14ac:dyDescent="0.25">
      <c r="A106" s="56" t="s">
        <v>55</v>
      </c>
      <c r="B106" s="56" t="s">
        <v>218</v>
      </c>
      <c r="C106" s="56">
        <v>5</v>
      </c>
      <c r="D106" s="56">
        <v>5</v>
      </c>
      <c r="E106" s="56">
        <v>4</v>
      </c>
      <c r="F106" s="56">
        <v>5</v>
      </c>
      <c r="G106" s="56">
        <v>5</v>
      </c>
      <c r="H106" s="56">
        <v>5</v>
      </c>
      <c r="I106" s="56">
        <v>5</v>
      </c>
      <c r="J106" s="56">
        <v>4.5</v>
      </c>
      <c r="K106" s="56">
        <v>5</v>
      </c>
      <c r="L106" s="56">
        <v>4</v>
      </c>
      <c r="M106" s="56">
        <v>4</v>
      </c>
      <c r="N106" s="56">
        <v>5</v>
      </c>
      <c r="O106" s="56">
        <v>5</v>
      </c>
      <c r="P106" s="56">
        <v>4</v>
      </c>
      <c r="Q106" s="56">
        <v>5</v>
      </c>
      <c r="R106" s="56">
        <v>4.5</v>
      </c>
      <c r="S106" s="56">
        <v>4.5</v>
      </c>
      <c r="T106" s="56" t="s">
        <v>283</v>
      </c>
    </row>
    <row r="107" spans="1:20" ht="15" customHeight="1" x14ac:dyDescent="0.25">
      <c r="A107" s="56" t="s">
        <v>78</v>
      </c>
      <c r="B107" s="56" t="s">
        <v>220</v>
      </c>
      <c r="C107" s="56">
        <v>2</v>
      </c>
      <c r="D107" s="56">
        <v>2</v>
      </c>
      <c r="E107" s="56">
        <v>2</v>
      </c>
      <c r="F107" s="56">
        <v>5</v>
      </c>
      <c r="G107" s="56">
        <v>1</v>
      </c>
      <c r="H107" s="56">
        <v>3</v>
      </c>
      <c r="I107" s="56">
        <v>1</v>
      </c>
      <c r="J107" s="56">
        <v>2</v>
      </c>
      <c r="K107" s="56">
        <v>5</v>
      </c>
      <c r="L107" s="56">
        <v>4</v>
      </c>
      <c r="M107" s="56">
        <v>4</v>
      </c>
      <c r="N107" s="56">
        <v>4</v>
      </c>
      <c r="O107" s="56">
        <v>5</v>
      </c>
      <c r="P107" s="56">
        <v>4</v>
      </c>
      <c r="Q107" s="56">
        <v>5</v>
      </c>
      <c r="R107" s="56">
        <v>4</v>
      </c>
      <c r="S107" s="56">
        <v>3</v>
      </c>
      <c r="T107" s="56" t="s">
        <v>305</v>
      </c>
    </row>
    <row r="108" spans="1:20" ht="15" customHeight="1" x14ac:dyDescent="0.25">
      <c r="A108" s="56" t="s">
        <v>90</v>
      </c>
      <c r="B108" s="56" t="s">
        <v>220</v>
      </c>
      <c r="C108" s="56">
        <v>3</v>
      </c>
      <c r="D108" s="56">
        <v>2</v>
      </c>
      <c r="E108" s="56">
        <v>2</v>
      </c>
      <c r="F108" s="56">
        <v>3</v>
      </c>
      <c r="G108" s="56">
        <v>1</v>
      </c>
      <c r="H108" s="56">
        <v>2</v>
      </c>
      <c r="I108" s="56">
        <v>1</v>
      </c>
      <c r="J108" s="56">
        <v>2</v>
      </c>
      <c r="K108" s="56">
        <v>4</v>
      </c>
      <c r="L108" s="56">
        <v>2</v>
      </c>
      <c r="M108" s="56">
        <v>3</v>
      </c>
      <c r="N108" s="56">
        <v>4</v>
      </c>
      <c r="O108" s="56">
        <v>5</v>
      </c>
      <c r="P108" s="56">
        <v>3</v>
      </c>
      <c r="Q108" s="56">
        <v>5</v>
      </c>
      <c r="R108" s="56">
        <v>3.5</v>
      </c>
      <c r="S108" s="56">
        <v>2.5</v>
      </c>
      <c r="T108" s="56" t="s">
        <v>306</v>
      </c>
    </row>
    <row r="109" spans="1:20" ht="15" customHeight="1" x14ac:dyDescent="0.25">
      <c r="A109" s="56" t="s">
        <v>82</v>
      </c>
      <c r="B109" s="56" t="s">
        <v>222</v>
      </c>
      <c r="C109" s="56">
        <v>1</v>
      </c>
      <c r="D109" s="56">
        <v>1</v>
      </c>
      <c r="E109" s="56">
        <v>1</v>
      </c>
      <c r="F109" s="56">
        <v>1</v>
      </c>
      <c r="G109" s="56">
        <v>1</v>
      </c>
      <c r="H109" s="56">
        <v>1</v>
      </c>
      <c r="I109" s="56">
        <v>1</v>
      </c>
      <c r="J109" s="56">
        <v>1</v>
      </c>
      <c r="K109" s="56">
        <v>2</v>
      </c>
      <c r="L109" s="56">
        <v>2</v>
      </c>
      <c r="M109" s="56">
        <v>3</v>
      </c>
      <c r="N109" s="56">
        <v>2</v>
      </c>
      <c r="O109" s="56">
        <v>3</v>
      </c>
      <c r="P109" s="56">
        <v>2</v>
      </c>
      <c r="Q109" s="56">
        <v>3</v>
      </c>
      <c r="R109" s="56">
        <v>2</v>
      </c>
      <c r="S109" s="56">
        <v>1.5</v>
      </c>
      <c r="T109" s="56" t="s">
        <v>227</v>
      </c>
    </row>
    <row r="110" spans="1:20" ht="15" customHeight="1" x14ac:dyDescent="0.25">
      <c r="A110" s="56" t="s">
        <v>76</v>
      </c>
      <c r="B110" s="56" t="s">
        <v>218</v>
      </c>
      <c r="C110" s="56">
        <v>5</v>
      </c>
      <c r="D110" s="56">
        <v>4</v>
      </c>
      <c r="E110" s="56">
        <v>5</v>
      </c>
      <c r="F110" s="56">
        <v>5</v>
      </c>
      <c r="G110" s="56">
        <v>5</v>
      </c>
      <c r="H110" s="56">
        <v>5</v>
      </c>
      <c r="I110" s="56">
        <v>5</v>
      </c>
      <c r="J110" s="56">
        <v>4.5</v>
      </c>
      <c r="K110" s="56">
        <v>5</v>
      </c>
      <c r="L110" s="56">
        <v>3</v>
      </c>
      <c r="M110" s="56">
        <v>4</v>
      </c>
      <c r="N110" s="56">
        <v>4</v>
      </c>
      <c r="O110" s="56">
        <v>5</v>
      </c>
      <c r="P110" s="56">
        <v>4</v>
      </c>
      <c r="Q110" s="56">
        <v>5</v>
      </c>
      <c r="R110" s="56">
        <v>4</v>
      </c>
      <c r="S110" s="56">
        <v>4</v>
      </c>
      <c r="T110" s="56" t="s">
        <v>283</v>
      </c>
    </row>
    <row r="111" spans="1:20" ht="15" customHeight="1" x14ac:dyDescent="0.25">
      <c r="A111" s="56" t="s">
        <v>1978</v>
      </c>
      <c r="B111" s="56" t="s">
        <v>222</v>
      </c>
      <c r="D111" s="56">
        <v>1</v>
      </c>
      <c r="E111" s="56">
        <v>1</v>
      </c>
      <c r="H111" s="56">
        <v>1</v>
      </c>
      <c r="I111" s="56">
        <v>1</v>
      </c>
      <c r="J111" s="56">
        <v>1</v>
      </c>
      <c r="L111" s="56">
        <v>2</v>
      </c>
      <c r="M111" s="56">
        <v>2</v>
      </c>
      <c r="P111" s="56">
        <v>2</v>
      </c>
      <c r="Q111" s="56">
        <v>1</v>
      </c>
      <c r="R111" s="56">
        <v>1.5</v>
      </c>
      <c r="S111" s="56">
        <v>1</v>
      </c>
      <c r="T111" s="56" t="s">
        <v>1979</v>
      </c>
    </row>
    <row r="112" spans="1:20" ht="15" customHeight="1" x14ac:dyDescent="0.25">
      <c r="A112" s="56" t="s">
        <v>79</v>
      </c>
      <c r="B112" s="56" t="s">
        <v>220</v>
      </c>
      <c r="C112" s="56">
        <v>5</v>
      </c>
      <c r="D112" s="56">
        <v>5</v>
      </c>
      <c r="E112" s="56">
        <v>5</v>
      </c>
      <c r="F112" s="56">
        <v>4</v>
      </c>
      <c r="G112" s="56">
        <v>5</v>
      </c>
      <c r="H112" s="56">
        <v>5</v>
      </c>
      <c r="I112" s="56">
        <v>5</v>
      </c>
      <c r="J112" s="56">
        <v>4.5</v>
      </c>
      <c r="K112" s="56">
        <v>5</v>
      </c>
      <c r="L112" s="56">
        <v>4</v>
      </c>
      <c r="M112" s="56">
        <v>5</v>
      </c>
      <c r="N112" s="56">
        <v>4</v>
      </c>
      <c r="O112" s="56">
        <v>5</v>
      </c>
      <c r="P112" s="56">
        <v>4</v>
      </c>
      <c r="Q112" s="56">
        <v>5</v>
      </c>
      <c r="R112" s="56">
        <v>4.5</v>
      </c>
      <c r="S112" s="56">
        <v>4.5</v>
      </c>
      <c r="T112" s="56" t="s">
        <v>283</v>
      </c>
    </row>
    <row r="113" spans="1:20" ht="15" customHeight="1" x14ac:dyDescent="0.25">
      <c r="A113" s="56" t="s">
        <v>88</v>
      </c>
      <c r="B113" s="56" t="s">
        <v>220</v>
      </c>
      <c r="C113" s="56">
        <v>5</v>
      </c>
      <c r="D113" s="56">
        <v>4</v>
      </c>
      <c r="E113" s="56">
        <v>5</v>
      </c>
      <c r="F113" s="56">
        <v>4</v>
      </c>
      <c r="G113" s="56">
        <v>5</v>
      </c>
      <c r="H113" s="56">
        <v>5</v>
      </c>
      <c r="I113" s="56">
        <v>5</v>
      </c>
      <c r="J113" s="56">
        <v>4.5</v>
      </c>
      <c r="K113" s="56">
        <v>5</v>
      </c>
      <c r="L113" s="56">
        <v>4</v>
      </c>
      <c r="M113" s="56">
        <v>4</v>
      </c>
      <c r="N113" s="56">
        <v>4</v>
      </c>
      <c r="O113" s="56">
        <v>5</v>
      </c>
      <c r="P113" s="56">
        <v>4</v>
      </c>
      <c r="Q113" s="56">
        <v>5</v>
      </c>
      <c r="R113" s="56">
        <v>4</v>
      </c>
      <c r="S113" s="56">
        <v>4</v>
      </c>
      <c r="T113" s="56" t="s">
        <v>307</v>
      </c>
    </row>
    <row r="114" spans="1:20" ht="15" customHeight="1" x14ac:dyDescent="0.25">
      <c r="A114" s="56" t="s">
        <v>2180</v>
      </c>
      <c r="B114" s="56" t="s">
        <v>222</v>
      </c>
      <c r="D114" s="56">
        <v>1</v>
      </c>
      <c r="H114" s="56">
        <v>2</v>
      </c>
      <c r="J114" s="56">
        <v>1.5</v>
      </c>
      <c r="L114" s="56">
        <v>1</v>
      </c>
      <c r="P114" s="56">
        <v>2</v>
      </c>
      <c r="R114" s="56">
        <v>1.5</v>
      </c>
      <c r="S114" s="56">
        <v>1.5</v>
      </c>
      <c r="T114" s="56" t="s">
        <v>2181</v>
      </c>
    </row>
    <row r="115" spans="1:20" ht="15" customHeight="1" x14ac:dyDescent="0.25">
      <c r="A115" s="56" t="s">
        <v>7</v>
      </c>
      <c r="B115" s="56" t="s">
        <v>223</v>
      </c>
      <c r="C115" s="56">
        <v>5</v>
      </c>
      <c r="D115" s="56">
        <v>5</v>
      </c>
      <c r="E115" s="56">
        <v>5</v>
      </c>
      <c r="F115" s="56">
        <v>5</v>
      </c>
      <c r="G115" s="56">
        <v>5</v>
      </c>
      <c r="H115" s="56">
        <v>5</v>
      </c>
      <c r="I115" s="56">
        <v>5</v>
      </c>
      <c r="J115" s="56">
        <v>5</v>
      </c>
      <c r="K115" s="56">
        <v>5</v>
      </c>
      <c r="L115" s="56">
        <v>5</v>
      </c>
      <c r="M115" s="56">
        <v>5</v>
      </c>
      <c r="N115" s="56">
        <v>5</v>
      </c>
      <c r="O115" s="56">
        <v>5</v>
      </c>
      <c r="P115" s="56">
        <v>5</v>
      </c>
      <c r="Q115" s="56">
        <v>5</v>
      </c>
      <c r="R115" s="56">
        <v>5</v>
      </c>
      <c r="S115" s="56">
        <v>5</v>
      </c>
      <c r="T115" s="56" t="s">
        <v>283</v>
      </c>
    </row>
    <row r="116" spans="1:20" ht="15" customHeight="1" x14ac:dyDescent="0.25">
      <c r="A116" s="56" t="s">
        <v>87</v>
      </c>
      <c r="B116" s="56" t="s">
        <v>220</v>
      </c>
      <c r="C116" s="56">
        <v>1</v>
      </c>
      <c r="D116" s="56">
        <v>1</v>
      </c>
      <c r="E116" s="56">
        <v>2</v>
      </c>
      <c r="F116" s="56">
        <v>2</v>
      </c>
      <c r="G116" s="56">
        <v>1</v>
      </c>
      <c r="H116" s="56">
        <v>2</v>
      </c>
      <c r="I116" s="56">
        <v>1</v>
      </c>
      <c r="J116" s="56">
        <v>1</v>
      </c>
      <c r="K116" s="56">
        <v>2</v>
      </c>
      <c r="L116" s="56">
        <v>2</v>
      </c>
      <c r="M116" s="56">
        <v>2</v>
      </c>
      <c r="N116" s="56">
        <v>3</v>
      </c>
      <c r="O116" s="56">
        <v>4</v>
      </c>
      <c r="P116" s="56">
        <v>2</v>
      </c>
      <c r="Q116" s="56">
        <v>3</v>
      </c>
      <c r="R116" s="56">
        <v>2.5</v>
      </c>
      <c r="S116" s="56">
        <v>1.5</v>
      </c>
      <c r="T116" s="56" t="s">
        <v>646</v>
      </c>
    </row>
    <row r="117" spans="1:20" ht="15" customHeight="1" x14ac:dyDescent="0.25">
      <c r="A117" s="56" t="s">
        <v>39</v>
      </c>
      <c r="B117" s="56" t="s">
        <v>218</v>
      </c>
      <c r="C117" s="56">
        <v>5</v>
      </c>
      <c r="D117" s="56">
        <v>5</v>
      </c>
      <c r="E117" s="56">
        <v>5</v>
      </c>
      <c r="F117" s="56">
        <v>5</v>
      </c>
      <c r="G117" s="56">
        <v>5</v>
      </c>
      <c r="H117" s="56">
        <v>5</v>
      </c>
      <c r="I117" s="56">
        <v>5</v>
      </c>
      <c r="J117" s="56">
        <v>5</v>
      </c>
      <c r="K117" s="56">
        <v>5</v>
      </c>
      <c r="L117" s="56">
        <v>5</v>
      </c>
      <c r="M117" s="56">
        <v>5</v>
      </c>
      <c r="N117" s="56">
        <v>5</v>
      </c>
      <c r="O117" s="56">
        <v>5</v>
      </c>
      <c r="P117" s="56">
        <v>5</v>
      </c>
      <c r="Q117" s="56">
        <v>5</v>
      </c>
      <c r="R117" s="56">
        <v>5</v>
      </c>
      <c r="S117" s="56">
        <v>5</v>
      </c>
      <c r="T117" s="56" t="s">
        <v>283</v>
      </c>
    </row>
    <row r="118" spans="1:20" ht="15" customHeight="1" x14ac:dyDescent="0.25">
      <c r="A118" s="56" t="s">
        <v>1653</v>
      </c>
      <c r="B118" s="56" t="s">
        <v>222</v>
      </c>
      <c r="C118" s="56">
        <v>3</v>
      </c>
      <c r="D118" s="56">
        <v>1</v>
      </c>
      <c r="E118" s="56">
        <v>2</v>
      </c>
      <c r="H118" s="56">
        <v>1</v>
      </c>
      <c r="I118" s="56">
        <v>4</v>
      </c>
      <c r="J118" s="56">
        <v>2</v>
      </c>
      <c r="K118" s="56">
        <v>2</v>
      </c>
      <c r="L118" s="56">
        <v>2</v>
      </c>
      <c r="M118" s="56">
        <v>2</v>
      </c>
      <c r="P118" s="56">
        <v>2</v>
      </c>
      <c r="Q118" s="56">
        <v>4</v>
      </c>
      <c r="R118" s="56">
        <v>2</v>
      </c>
      <c r="S118" s="56">
        <v>2</v>
      </c>
      <c r="T118" s="56" t="s">
        <v>1654</v>
      </c>
    </row>
    <row r="119" spans="1:20" ht="15" customHeight="1" x14ac:dyDescent="0.25">
      <c r="A119" s="56" t="s">
        <v>92</v>
      </c>
      <c r="B119" s="56" t="s">
        <v>223</v>
      </c>
      <c r="C119" s="56">
        <v>5</v>
      </c>
      <c r="D119" s="56">
        <v>5</v>
      </c>
      <c r="E119" s="56">
        <v>5</v>
      </c>
      <c r="F119" s="56">
        <v>5</v>
      </c>
      <c r="G119" s="56">
        <v>5</v>
      </c>
      <c r="H119" s="56">
        <v>5</v>
      </c>
      <c r="I119" s="56">
        <v>5</v>
      </c>
      <c r="J119" s="56">
        <v>5</v>
      </c>
      <c r="K119" s="56">
        <v>3</v>
      </c>
      <c r="L119" s="56">
        <v>3</v>
      </c>
      <c r="M119" s="56">
        <v>5</v>
      </c>
      <c r="N119" s="56">
        <v>5</v>
      </c>
      <c r="O119" s="56">
        <v>5</v>
      </c>
      <c r="P119" s="56">
        <v>5</v>
      </c>
      <c r="Q119" s="56">
        <v>5</v>
      </c>
      <c r="R119" s="56">
        <v>4</v>
      </c>
      <c r="S119" s="56">
        <v>4.5</v>
      </c>
      <c r="T119" s="56" t="s">
        <v>308</v>
      </c>
    </row>
    <row r="120" spans="1:20" ht="15" customHeight="1" x14ac:dyDescent="0.25">
      <c r="A120" s="56" t="s">
        <v>1643</v>
      </c>
      <c r="B120" s="56" t="s">
        <v>220</v>
      </c>
      <c r="C120" s="56">
        <v>2</v>
      </c>
      <c r="D120" s="56">
        <v>2</v>
      </c>
      <c r="E120" s="56">
        <v>2</v>
      </c>
      <c r="F120" s="56">
        <v>2</v>
      </c>
      <c r="G120" s="56">
        <v>2</v>
      </c>
      <c r="H120" s="56">
        <v>2</v>
      </c>
      <c r="I120" s="56">
        <v>2</v>
      </c>
      <c r="J120" s="56">
        <v>2</v>
      </c>
      <c r="K120" s="56">
        <v>2</v>
      </c>
      <c r="L120" s="56">
        <v>2</v>
      </c>
      <c r="M120" s="56">
        <v>3</v>
      </c>
      <c r="N120" s="56">
        <v>2</v>
      </c>
      <c r="O120" s="56">
        <v>3</v>
      </c>
      <c r="P120" s="56">
        <v>2</v>
      </c>
      <c r="Q120" s="56">
        <v>3</v>
      </c>
      <c r="R120" s="56">
        <v>2</v>
      </c>
      <c r="S120" s="56">
        <v>2</v>
      </c>
      <c r="T120" s="56" t="s">
        <v>262</v>
      </c>
    </row>
    <row r="121" spans="1:20" ht="15" customHeight="1" x14ac:dyDescent="0.25">
      <c r="A121" s="56" t="s">
        <v>74</v>
      </c>
      <c r="B121" s="56" t="s">
        <v>218</v>
      </c>
      <c r="C121" s="56">
        <v>5</v>
      </c>
      <c r="D121" s="56">
        <v>4</v>
      </c>
      <c r="E121" s="56">
        <v>5</v>
      </c>
      <c r="F121" s="56">
        <v>5</v>
      </c>
      <c r="G121" s="56">
        <v>5</v>
      </c>
      <c r="H121" s="56">
        <v>5</v>
      </c>
      <c r="I121" s="56">
        <v>5</v>
      </c>
      <c r="J121" s="56">
        <v>4.5</v>
      </c>
      <c r="K121" s="56">
        <v>5</v>
      </c>
      <c r="L121" s="56">
        <v>3</v>
      </c>
      <c r="M121" s="56">
        <v>5</v>
      </c>
      <c r="N121" s="56">
        <v>5</v>
      </c>
      <c r="O121" s="56">
        <v>5</v>
      </c>
      <c r="P121" s="56">
        <v>5</v>
      </c>
      <c r="Q121" s="56">
        <v>5</v>
      </c>
      <c r="R121" s="56">
        <v>4.5</v>
      </c>
      <c r="S121" s="56">
        <v>4.5</v>
      </c>
      <c r="T121" s="56" t="s">
        <v>647</v>
      </c>
    </row>
    <row r="122" spans="1:20" ht="15" customHeight="1" x14ac:dyDescent="0.25">
      <c r="A122" s="56" t="s">
        <v>8</v>
      </c>
      <c r="B122" s="56" t="s">
        <v>223</v>
      </c>
      <c r="C122" s="56">
        <v>5</v>
      </c>
      <c r="D122" s="56">
        <v>5</v>
      </c>
      <c r="E122" s="56">
        <v>5</v>
      </c>
      <c r="F122" s="56">
        <v>4</v>
      </c>
      <c r="G122" s="56">
        <v>5</v>
      </c>
      <c r="H122" s="56">
        <v>5</v>
      </c>
      <c r="I122" s="56">
        <v>5</v>
      </c>
      <c r="J122" s="56">
        <v>4.5</v>
      </c>
      <c r="K122" s="56">
        <v>5</v>
      </c>
      <c r="L122" s="56">
        <v>5</v>
      </c>
      <c r="M122" s="56">
        <v>5</v>
      </c>
      <c r="N122" s="56">
        <v>5</v>
      </c>
      <c r="O122" s="56">
        <v>5</v>
      </c>
      <c r="P122" s="56">
        <v>5</v>
      </c>
      <c r="Q122" s="56">
        <v>5</v>
      </c>
      <c r="R122" s="56">
        <v>5</v>
      </c>
      <c r="S122" s="56">
        <v>4.5</v>
      </c>
      <c r="T122" s="56" t="s">
        <v>309</v>
      </c>
    </row>
    <row r="123" spans="1:20" ht="15" customHeight="1" x14ac:dyDescent="0.25">
      <c r="A123" s="56" t="s">
        <v>1642</v>
      </c>
      <c r="B123" s="56" t="s">
        <v>222</v>
      </c>
      <c r="C123" s="56">
        <v>3</v>
      </c>
      <c r="D123" s="56">
        <v>3</v>
      </c>
      <c r="E123" s="56">
        <v>3</v>
      </c>
      <c r="F123" s="56">
        <v>3</v>
      </c>
      <c r="G123" s="56">
        <v>3</v>
      </c>
      <c r="H123" s="56">
        <v>3</v>
      </c>
      <c r="I123" s="56">
        <v>2</v>
      </c>
      <c r="J123" s="56">
        <v>2.5</v>
      </c>
      <c r="K123" s="56">
        <v>3</v>
      </c>
      <c r="L123" s="56">
        <v>3</v>
      </c>
      <c r="M123" s="56">
        <v>3</v>
      </c>
      <c r="N123" s="56">
        <v>3</v>
      </c>
      <c r="O123" s="56">
        <v>3</v>
      </c>
      <c r="P123" s="56">
        <v>3</v>
      </c>
      <c r="Q123" s="56">
        <v>3</v>
      </c>
      <c r="R123" s="56">
        <v>3</v>
      </c>
      <c r="S123" s="56">
        <v>2.5</v>
      </c>
      <c r="T123" s="56" t="s">
        <v>634</v>
      </c>
    </row>
    <row r="124" spans="1:20" ht="15" customHeight="1" x14ac:dyDescent="0.25">
      <c r="A124" s="56" t="s">
        <v>23</v>
      </c>
      <c r="B124" s="56" t="s">
        <v>220</v>
      </c>
      <c r="C124" s="56">
        <v>3</v>
      </c>
      <c r="D124" s="56">
        <v>2</v>
      </c>
      <c r="E124" s="56">
        <v>2</v>
      </c>
      <c r="F124" s="56">
        <v>2</v>
      </c>
      <c r="G124" s="56">
        <v>3</v>
      </c>
      <c r="H124" s="56">
        <v>2</v>
      </c>
      <c r="I124" s="56">
        <v>3</v>
      </c>
      <c r="J124" s="56">
        <v>2</v>
      </c>
      <c r="K124" s="56">
        <v>1</v>
      </c>
      <c r="L124" s="56">
        <v>1</v>
      </c>
      <c r="M124" s="56">
        <v>1</v>
      </c>
      <c r="N124" s="56">
        <v>1</v>
      </c>
      <c r="O124" s="56">
        <v>1</v>
      </c>
      <c r="P124" s="56">
        <v>1</v>
      </c>
      <c r="Q124" s="56">
        <v>1</v>
      </c>
      <c r="R124" s="56">
        <v>1</v>
      </c>
      <c r="S124" s="56">
        <v>1.5</v>
      </c>
      <c r="T124" s="56" t="s">
        <v>310</v>
      </c>
    </row>
    <row r="125" spans="1:20" ht="15" customHeight="1" x14ac:dyDescent="0.25">
      <c r="A125" s="56" t="s">
        <v>24</v>
      </c>
      <c r="B125" s="56" t="s">
        <v>220</v>
      </c>
      <c r="C125" s="56">
        <v>2</v>
      </c>
      <c r="D125" s="56">
        <v>2</v>
      </c>
      <c r="E125" s="56">
        <v>2</v>
      </c>
      <c r="F125" s="56">
        <v>3</v>
      </c>
      <c r="G125" s="56">
        <v>3</v>
      </c>
      <c r="H125" s="56">
        <v>2</v>
      </c>
      <c r="I125" s="56">
        <v>1</v>
      </c>
      <c r="J125" s="56">
        <v>2</v>
      </c>
      <c r="K125" s="56">
        <v>2</v>
      </c>
      <c r="L125" s="56">
        <v>2</v>
      </c>
      <c r="M125" s="56">
        <v>2</v>
      </c>
      <c r="N125" s="56">
        <v>2</v>
      </c>
      <c r="O125" s="56">
        <v>3</v>
      </c>
      <c r="P125" s="56">
        <v>1</v>
      </c>
      <c r="Q125" s="56">
        <v>1</v>
      </c>
      <c r="R125" s="56">
        <v>1.5</v>
      </c>
      <c r="S125" s="56">
        <v>1.5</v>
      </c>
      <c r="T125" s="56" t="s">
        <v>228</v>
      </c>
    </row>
    <row r="126" spans="1:20" ht="15" customHeight="1" x14ac:dyDescent="0.25">
      <c r="A126" s="56" t="s">
        <v>30</v>
      </c>
      <c r="B126" s="56" t="s">
        <v>218</v>
      </c>
      <c r="C126" s="56">
        <v>5</v>
      </c>
      <c r="D126" s="56">
        <v>5</v>
      </c>
      <c r="E126" s="56">
        <v>5</v>
      </c>
      <c r="F126" s="56">
        <v>5</v>
      </c>
      <c r="G126" s="56">
        <v>5</v>
      </c>
      <c r="H126" s="56">
        <v>5</v>
      </c>
      <c r="I126" s="56">
        <v>5</v>
      </c>
      <c r="J126" s="56">
        <v>5</v>
      </c>
      <c r="K126" s="56">
        <v>5</v>
      </c>
      <c r="L126" s="56">
        <v>5</v>
      </c>
      <c r="M126" s="56">
        <v>5</v>
      </c>
      <c r="N126" s="56">
        <v>5</v>
      </c>
      <c r="O126" s="56">
        <v>5</v>
      </c>
      <c r="P126" s="56">
        <v>5</v>
      </c>
      <c r="Q126" s="56">
        <v>5</v>
      </c>
      <c r="R126" s="56">
        <v>5</v>
      </c>
      <c r="S126" s="56">
        <v>5</v>
      </c>
      <c r="T126" s="56" t="s">
        <v>311</v>
      </c>
    </row>
    <row r="127" spans="1:20" ht="15" customHeight="1" x14ac:dyDescent="0.25">
      <c r="A127" s="56" t="s">
        <v>9</v>
      </c>
      <c r="B127" s="56" t="s">
        <v>223</v>
      </c>
      <c r="C127" s="56">
        <v>1</v>
      </c>
      <c r="D127" s="56">
        <v>1</v>
      </c>
      <c r="E127" s="56">
        <v>1</v>
      </c>
      <c r="F127" s="56">
        <v>1</v>
      </c>
      <c r="G127" s="56">
        <v>1</v>
      </c>
      <c r="H127" s="56">
        <v>1</v>
      </c>
      <c r="I127" s="56">
        <v>1</v>
      </c>
      <c r="J127" s="56">
        <v>1</v>
      </c>
      <c r="K127" s="56">
        <v>1</v>
      </c>
      <c r="L127" s="56">
        <v>1</v>
      </c>
      <c r="M127" s="56">
        <v>1</v>
      </c>
      <c r="N127" s="56">
        <v>1</v>
      </c>
      <c r="O127" s="56">
        <v>1</v>
      </c>
      <c r="P127" s="56">
        <v>1</v>
      </c>
      <c r="Q127" s="56">
        <v>1</v>
      </c>
      <c r="R127" s="56">
        <v>1</v>
      </c>
      <c r="S127" s="56">
        <v>1</v>
      </c>
      <c r="T127" s="56" t="s">
        <v>229</v>
      </c>
    </row>
    <row r="128" spans="1:20" ht="15" customHeight="1" x14ac:dyDescent="0.25">
      <c r="A128" s="56" t="s">
        <v>25</v>
      </c>
      <c r="B128" s="56" t="s">
        <v>220</v>
      </c>
      <c r="C128" s="56">
        <v>1</v>
      </c>
      <c r="D128" s="56">
        <v>1</v>
      </c>
      <c r="E128" s="56">
        <v>1</v>
      </c>
      <c r="F128" s="56">
        <v>2</v>
      </c>
      <c r="G128" s="56">
        <v>3</v>
      </c>
      <c r="H128" s="56">
        <v>2</v>
      </c>
      <c r="I128" s="56">
        <v>1</v>
      </c>
      <c r="J128" s="56">
        <v>1.5</v>
      </c>
      <c r="K128" s="56">
        <v>1</v>
      </c>
      <c r="L128" s="56">
        <v>1</v>
      </c>
      <c r="M128" s="56">
        <v>2</v>
      </c>
      <c r="N128" s="56">
        <v>2</v>
      </c>
      <c r="O128" s="56">
        <v>2</v>
      </c>
      <c r="P128" s="56">
        <v>1</v>
      </c>
      <c r="Q128" s="56">
        <v>2</v>
      </c>
      <c r="R128" s="56">
        <v>1.5</v>
      </c>
      <c r="S128" s="56">
        <v>1.5</v>
      </c>
      <c r="T128" s="56" t="s">
        <v>230</v>
      </c>
    </row>
    <row r="129" spans="1:20" ht="15" customHeight="1" x14ac:dyDescent="0.25">
      <c r="A129" s="56" t="s">
        <v>101</v>
      </c>
      <c r="B129" s="56" t="s">
        <v>220</v>
      </c>
      <c r="C129" s="56">
        <v>1</v>
      </c>
      <c r="D129" s="56">
        <v>1</v>
      </c>
      <c r="E129" s="56">
        <v>1</v>
      </c>
      <c r="F129" s="56">
        <v>1</v>
      </c>
      <c r="G129" s="56">
        <v>1</v>
      </c>
      <c r="H129" s="56">
        <v>1</v>
      </c>
      <c r="I129" s="56">
        <v>1</v>
      </c>
      <c r="J129" s="56">
        <v>1</v>
      </c>
      <c r="K129" s="56">
        <v>1</v>
      </c>
      <c r="L129" s="56">
        <v>1</v>
      </c>
      <c r="M129" s="56">
        <v>2</v>
      </c>
      <c r="N129" s="56">
        <v>1</v>
      </c>
      <c r="O129" s="56">
        <v>1</v>
      </c>
      <c r="P129" s="56">
        <v>1</v>
      </c>
      <c r="Q129" s="56">
        <v>2</v>
      </c>
      <c r="R129" s="56">
        <v>1</v>
      </c>
      <c r="S129" s="56">
        <v>1</v>
      </c>
      <c r="T129" s="56" t="s">
        <v>312</v>
      </c>
    </row>
    <row r="130" spans="1:20" ht="15" customHeight="1" x14ac:dyDescent="0.25">
      <c r="A130" s="56" t="s">
        <v>1534</v>
      </c>
      <c r="B130" s="56" t="s">
        <v>220</v>
      </c>
      <c r="C130" s="56">
        <v>3</v>
      </c>
      <c r="D130" s="56">
        <v>3</v>
      </c>
      <c r="E130" s="56">
        <v>4</v>
      </c>
      <c r="H130" s="56">
        <v>3</v>
      </c>
      <c r="I130" s="56">
        <v>5</v>
      </c>
      <c r="J130" s="56">
        <v>3.5</v>
      </c>
      <c r="K130" s="56">
        <v>3</v>
      </c>
      <c r="L130" s="56">
        <v>3</v>
      </c>
      <c r="M130" s="56">
        <v>3</v>
      </c>
      <c r="P130" s="56">
        <v>3</v>
      </c>
      <c r="Q130" s="56">
        <v>5</v>
      </c>
      <c r="R130" s="56">
        <v>3</v>
      </c>
      <c r="S130" s="56">
        <v>3</v>
      </c>
      <c r="T130" s="56" t="s">
        <v>1535</v>
      </c>
    </row>
    <row r="131" spans="1:20" ht="15" customHeight="1" x14ac:dyDescent="0.25">
      <c r="A131" s="56" t="s">
        <v>1647</v>
      </c>
      <c r="B131" s="56" t="s">
        <v>222</v>
      </c>
      <c r="C131" s="56">
        <v>1</v>
      </c>
      <c r="D131" s="56">
        <v>2</v>
      </c>
      <c r="E131" s="56">
        <v>1</v>
      </c>
      <c r="F131" s="56">
        <v>2</v>
      </c>
      <c r="G131" s="56">
        <v>3</v>
      </c>
      <c r="H131" s="56">
        <v>1</v>
      </c>
      <c r="I131" s="56">
        <v>1</v>
      </c>
      <c r="J131" s="56">
        <v>1.5</v>
      </c>
      <c r="K131" s="56">
        <v>1</v>
      </c>
      <c r="L131" s="56">
        <v>2</v>
      </c>
      <c r="M131" s="56">
        <v>2</v>
      </c>
      <c r="N131" s="56">
        <v>2</v>
      </c>
      <c r="O131" s="56">
        <v>3</v>
      </c>
      <c r="P131" s="56">
        <v>2</v>
      </c>
      <c r="Q131" s="56">
        <v>2</v>
      </c>
      <c r="R131" s="56">
        <v>2</v>
      </c>
      <c r="S131" s="56">
        <v>1.5</v>
      </c>
      <c r="T131" s="56" t="s">
        <v>260</v>
      </c>
    </row>
    <row r="132" spans="1:20" ht="15" customHeight="1" x14ac:dyDescent="0.25">
      <c r="A132" s="56" t="s">
        <v>1634</v>
      </c>
      <c r="B132" s="56" t="s">
        <v>222</v>
      </c>
      <c r="C132" s="56">
        <v>1</v>
      </c>
      <c r="D132" s="56">
        <v>1</v>
      </c>
      <c r="E132" s="56">
        <v>1</v>
      </c>
      <c r="H132" s="56">
        <v>1</v>
      </c>
      <c r="I132" s="56">
        <v>1</v>
      </c>
      <c r="J132" s="56">
        <v>1</v>
      </c>
      <c r="K132" s="56">
        <v>1</v>
      </c>
      <c r="L132" s="56">
        <v>1</v>
      </c>
      <c r="M132" s="56">
        <v>1</v>
      </c>
      <c r="P132" s="56">
        <v>1</v>
      </c>
      <c r="Q132" s="56">
        <v>1</v>
      </c>
      <c r="R132" s="56">
        <v>1</v>
      </c>
      <c r="S132" s="56">
        <v>1</v>
      </c>
      <c r="T132" s="56" t="s">
        <v>1532</v>
      </c>
    </row>
    <row r="133" spans="1:20" ht="15" customHeight="1" x14ac:dyDescent="0.25">
      <c r="A133" s="56" t="s">
        <v>75</v>
      </c>
      <c r="B133" s="56" t="s">
        <v>218</v>
      </c>
      <c r="C133" s="56">
        <v>5</v>
      </c>
      <c r="D133" s="56">
        <v>3</v>
      </c>
      <c r="E133" s="56">
        <v>5</v>
      </c>
      <c r="F133" s="56">
        <v>4</v>
      </c>
      <c r="G133" s="56">
        <v>5</v>
      </c>
      <c r="H133" s="56">
        <v>4</v>
      </c>
      <c r="I133" s="56">
        <v>5</v>
      </c>
      <c r="J133" s="56">
        <v>4</v>
      </c>
      <c r="K133" s="56">
        <v>5</v>
      </c>
      <c r="L133" s="56">
        <v>3</v>
      </c>
      <c r="M133" s="56">
        <v>4</v>
      </c>
      <c r="N133" s="56">
        <v>4</v>
      </c>
      <c r="O133" s="56">
        <v>3</v>
      </c>
      <c r="P133" s="56">
        <v>3</v>
      </c>
      <c r="Q133" s="56">
        <v>4</v>
      </c>
      <c r="R133" s="56">
        <v>3.5</v>
      </c>
      <c r="S133" s="56">
        <v>3.5</v>
      </c>
      <c r="T133" s="56" t="s">
        <v>313</v>
      </c>
    </row>
    <row r="134" spans="1:20" ht="15" customHeight="1" x14ac:dyDescent="0.25">
      <c r="A134" s="56" t="s">
        <v>72</v>
      </c>
      <c r="B134" s="56" t="s">
        <v>223</v>
      </c>
      <c r="C134" s="56">
        <v>5</v>
      </c>
      <c r="D134" s="56">
        <v>5</v>
      </c>
      <c r="E134" s="56">
        <v>5</v>
      </c>
      <c r="F134" s="56">
        <v>5</v>
      </c>
      <c r="G134" s="56">
        <v>5</v>
      </c>
      <c r="H134" s="56">
        <v>5</v>
      </c>
      <c r="I134" s="56">
        <v>5</v>
      </c>
      <c r="J134" s="56">
        <v>5</v>
      </c>
      <c r="K134" s="56">
        <v>5</v>
      </c>
      <c r="L134" s="56">
        <v>3</v>
      </c>
      <c r="M134" s="56">
        <v>5</v>
      </c>
      <c r="N134" s="56">
        <v>5</v>
      </c>
      <c r="O134" s="56">
        <v>5</v>
      </c>
      <c r="P134" s="56">
        <v>5</v>
      </c>
      <c r="Q134" s="56">
        <v>5</v>
      </c>
      <c r="R134" s="56">
        <v>4.5</v>
      </c>
      <c r="S134" s="56">
        <v>4.5</v>
      </c>
      <c r="T134" s="56" t="s">
        <v>283</v>
      </c>
    </row>
    <row r="135" spans="1:20" ht="15" customHeight="1" x14ac:dyDescent="0.25">
      <c r="A135" s="56" t="s">
        <v>1655</v>
      </c>
      <c r="B135" s="56" t="s">
        <v>220</v>
      </c>
      <c r="C135" s="56">
        <v>5</v>
      </c>
      <c r="D135" s="56">
        <v>5</v>
      </c>
      <c r="E135" s="56">
        <v>5</v>
      </c>
      <c r="H135" s="56">
        <v>5</v>
      </c>
      <c r="I135" s="56">
        <v>4</v>
      </c>
      <c r="J135" s="56">
        <v>4.5</v>
      </c>
      <c r="K135" s="56">
        <v>4</v>
      </c>
      <c r="L135" s="56">
        <v>4</v>
      </c>
      <c r="M135" s="56">
        <v>4</v>
      </c>
      <c r="P135" s="56">
        <v>4</v>
      </c>
      <c r="Q135" s="56">
        <v>3</v>
      </c>
      <c r="R135" s="56">
        <v>3.5</v>
      </c>
      <c r="S135" s="56">
        <v>4</v>
      </c>
      <c r="T135" s="56" t="s">
        <v>1850</v>
      </c>
    </row>
    <row r="136" spans="1:20" ht="15" customHeight="1" x14ac:dyDescent="0.25">
      <c r="A136" s="56" t="s">
        <v>683</v>
      </c>
      <c r="B136" s="56" t="s">
        <v>220</v>
      </c>
      <c r="C136" s="56">
        <v>4</v>
      </c>
      <c r="D136" s="56">
        <v>4</v>
      </c>
      <c r="E136" s="56">
        <v>4</v>
      </c>
      <c r="F136" s="56">
        <v>4</v>
      </c>
      <c r="H136" s="56">
        <v>4</v>
      </c>
      <c r="I136" s="56">
        <v>3</v>
      </c>
      <c r="J136" s="56">
        <v>3.5</v>
      </c>
      <c r="K136" s="56">
        <v>4</v>
      </c>
      <c r="L136" s="56">
        <v>3</v>
      </c>
      <c r="M136" s="56">
        <v>3</v>
      </c>
      <c r="N136" s="56">
        <v>4</v>
      </c>
      <c r="P136" s="56">
        <v>3</v>
      </c>
      <c r="Q136" s="56">
        <v>4</v>
      </c>
      <c r="R136" s="56">
        <v>3.5</v>
      </c>
      <c r="S136" s="56">
        <v>3.5</v>
      </c>
      <c r="T136" s="56" t="s">
        <v>700</v>
      </c>
    </row>
    <row r="137" spans="1:20" ht="15" customHeight="1" x14ac:dyDescent="0.25">
      <c r="A137" s="56" t="s">
        <v>252</v>
      </c>
      <c r="B137" s="56" t="s">
        <v>222</v>
      </c>
      <c r="C137" s="56">
        <v>2</v>
      </c>
      <c r="D137" s="56">
        <v>1</v>
      </c>
      <c r="E137" s="56">
        <v>1</v>
      </c>
      <c r="F137" s="56">
        <v>2</v>
      </c>
      <c r="H137" s="56">
        <v>1</v>
      </c>
      <c r="I137" s="56">
        <v>1</v>
      </c>
      <c r="J137" s="56">
        <v>1</v>
      </c>
      <c r="K137" s="56">
        <v>2</v>
      </c>
      <c r="L137" s="56">
        <v>2</v>
      </c>
      <c r="M137" s="56">
        <v>2</v>
      </c>
      <c r="N137" s="56">
        <v>2</v>
      </c>
      <c r="P137" s="56">
        <v>2</v>
      </c>
      <c r="Q137" s="56">
        <v>3</v>
      </c>
      <c r="R137" s="56">
        <v>2</v>
      </c>
      <c r="S137" s="56">
        <v>1.5</v>
      </c>
      <c r="T137" s="56" t="s">
        <v>631</v>
      </c>
    </row>
    <row r="138" spans="1:20" ht="15" customHeight="1" x14ac:dyDescent="0.25">
      <c r="A138" s="56" t="s">
        <v>649</v>
      </c>
      <c r="B138" s="56" t="s">
        <v>220</v>
      </c>
      <c r="C138" s="56">
        <v>4</v>
      </c>
      <c r="D138" s="56">
        <v>4</v>
      </c>
      <c r="E138" s="56">
        <v>2</v>
      </c>
      <c r="F138" s="56">
        <v>3</v>
      </c>
      <c r="H138" s="56">
        <v>2</v>
      </c>
      <c r="I138" s="56">
        <v>4</v>
      </c>
      <c r="J138" s="56">
        <v>3</v>
      </c>
      <c r="K138" s="56">
        <v>3</v>
      </c>
      <c r="L138" s="56">
        <v>2</v>
      </c>
      <c r="M138" s="56">
        <v>2</v>
      </c>
      <c r="N138" s="56">
        <v>2</v>
      </c>
      <c r="P138" s="56">
        <v>2</v>
      </c>
      <c r="Q138" s="56">
        <v>5</v>
      </c>
      <c r="R138" s="56">
        <v>2.5</v>
      </c>
      <c r="S138" s="56">
        <v>2.5</v>
      </c>
      <c r="T138" s="56" t="s">
        <v>686</v>
      </c>
    </row>
    <row r="139" spans="1:20" ht="15" customHeight="1" x14ac:dyDescent="0.25">
      <c r="A139" s="56" t="s">
        <v>684</v>
      </c>
      <c r="B139" s="56" t="s">
        <v>220</v>
      </c>
      <c r="C139" s="56">
        <v>2</v>
      </c>
      <c r="D139" s="56">
        <v>4</v>
      </c>
      <c r="E139" s="56">
        <v>1</v>
      </c>
      <c r="F139" s="56">
        <v>3</v>
      </c>
      <c r="H139" s="56">
        <v>3</v>
      </c>
      <c r="I139" s="56">
        <v>3</v>
      </c>
      <c r="J139" s="56">
        <v>2.5</v>
      </c>
      <c r="K139" s="56">
        <v>4</v>
      </c>
      <c r="L139" s="56">
        <v>3</v>
      </c>
      <c r="M139" s="56">
        <v>4</v>
      </c>
      <c r="N139" s="56">
        <v>3</v>
      </c>
      <c r="P139" s="56">
        <v>4</v>
      </c>
      <c r="Q139" s="56">
        <v>5</v>
      </c>
      <c r="R139" s="56">
        <v>3.5</v>
      </c>
      <c r="S139" s="56">
        <v>3</v>
      </c>
      <c r="T139" s="56" t="s">
        <v>701</v>
      </c>
    </row>
    <row r="140" spans="1:20" ht="15" customHeight="1" x14ac:dyDescent="0.25">
      <c r="A140" s="56" t="s">
        <v>253</v>
      </c>
      <c r="B140" s="56" t="s">
        <v>222</v>
      </c>
      <c r="C140" s="56">
        <v>4</v>
      </c>
      <c r="D140" s="56">
        <v>3</v>
      </c>
      <c r="E140" s="56">
        <v>2</v>
      </c>
      <c r="F140" s="56">
        <v>3</v>
      </c>
      <c r="H140" s="56">
        <v>3</v>
      </c>
      <c r="I140" s="56">
        <v>4</v>
      </c>
      <c r="J140" s="56">
        <v>3</v>
      </c>
      <c r="K140" s="56">
        <v>4</v>
      </c>
      <c r="L140" s="56">
        <v>4</v>
      </c>
      <c r="M140" s="56">
        <v>3</v>
      </c>
      <c r="N140" s="56">
        <v>4</v>
      </c>
      <c r="P140" s="56">
        <v>4</v>
      </c>
      <c r="Q140" s="56">
        <v>4</v>
      </c>
      <c r="R140" s="56">
        <v>3.5</v>
      </c>
      <c r="S140" s="56">
        <v>3</v>
      </c>
      <c r="T140" s="56" t="s">
        <v>632</v>
      </c>
    </row>
    <row r="141" spans="1:20" ht="15" customHeight="1" x14ac:dyDescent="0.25">
      <c r="A141" s="56" t="s">
        <v>650</v>
      </c>
      <c r="B141" s="56" t="s">
        <v>220</v>
      </c>
      <c r="C141" s="56">
        <v>3</v>
      </c>
      <c r="D141" s="56">
        <v>2</v>
      </c>
      <c r="E141" s="56">
        <v>2</v>
      </c>
      <c r="F141" s="56">
        <v>2</v>
      </c>
      <c r="H141" s="56">
        <v>2</v>
      </c>
      <c r="I141" s="56">
        <v>5</v>
      </c>
      <c r="J141" s="56">
        <v>2.5</v>
      </c>
      <c r="K141" s="56">
        <v>3</v>
      </c>
      <c r="L141" s="56">
        <v>2</v>
      </c>
      <c r="M141" s="56">
        <v>2</v>
      </c>
      <c r="N141" s="56">
        <v>3</v>
      </c>
      <c r="P141" s="56">
        <v>2</v>
      </c>
      <c r="Q141" s="56">
        <v>5</v>
      </c>
      <c r="R141" s="56">
        <v>2.5</v>
      </c>
      <c r="S141" s="56">
        <v>2.5</v>
      </c>
      <c r="T141" s="56" t="s">
        <v>685</v>
      </c>
    </row>
    <row r="142" spans="1:20" ht="15" customHeight="1" x14ac:dyDescent="0.25">
      <c r="A142" s="56" t="s">
        <v>1963</v>
      </c>
      <c r="B142" s="56" t="s">
        <v>220</v>
      </c>
      <c r="C142" s="56">
        <v>3</v>
      </c>
      <c r="D142" s="56">
        <v>2</v>
      </c>
      <c r="E142" s="56">
        <v>1</v>
      </c>
      <c r="F142" s="56">
        <v>2</v>
      </c>
      <c r="H142" s="56">
        <v>2</v>
      </c>
      <c r="I142" s="56">
        <v>1</v>
      </c>
      <c r="J142" s="56">
        <v>1.5</v>
      </c>
      <c r="K142" s="56">
        <v>3</v>
      </c>
      <c r="L142" s="56">
        <v>2</v>
      </c>
      <c r="M142" s="56">
        <v>1</v>
      </c>
      <c r="N142" s="56">
        <v>2</v>
      </c>
      <c r="P142" s="56">
        <v>2</v>
      </c>
      <c r="Q142" s="56">
        <v>1</v>
      </c>
      <c r="R142" s="56">
        <v>1.5</v>
      </c>
      <c r="S142" s="56">
        <v>1.5</v>
      </c>
      <c r="T142" s="56" t="s">
        <v>633</v>
      </c>
    </row>
    <row r="143" spans="1:20" ht="15" customHeight="1" x14ac:dyDescent="0.25">
      <c r="A143" s="56" t="s">
        <v>1633</v>
      </c>
      <c r="B143" s="56" t="s">
        <v>220</v>
      </c>
      <c r="C143" s="56">
        <v>1</v>
      </c>
      <c r="D143" s="56">
        <v>2</v>
      </c>
      <c r="E143" s="56">
        <v>1</v>
      </c>
      <c r="F143" s="56">
        <v>2</v>
      </c>
      <c r="H143" s="56">
        <v>1</v>
      </c>
      <c r="I143" s="56">
        <v>2</v>
      </c>
      <c r="J143" s="56">
        <v>1.5</v>
      </c>
      <c r="K143" s="56">
        <v>1</v>
      </c>
      <c r="L143" s="56">
        <v>2</v>
      </c>
      <c r="M143" s="56">
        <v>2</v>
      </c>
      <c r="N143" s="56">
        <v>2</v>
      </c>
      <c r="P143" s="56">
        <v>1</v>
      </c>
      <c r="Q143" s="56">
        <v>2</v>
      </c>
      <c r="R143" s="56">
        <v>1.5</v>
      </c>
      <c r="S143" s="56">
        <v>1.5</v>
      </c>
      <c r="T143" s="56" t="s">
        <v>698</v>
      </c>
    </row>
    <row r="144" spans="1:20" ht="15" customHeight="1" x14ac:dyDescent="0.25">
      <c r="A144" s="56" t="s">
        <v>89</v>
      </c>
      <c r="B144" s="56" t="s">
        <v>220</v>
      </c>
      <c r="C144" s="56">
        <v>1</v>
      </c>
      <c r="D144" s="56">
        <v>1</v>
      </c>
      <c r="E144" s="56">
        <v>1</v>
      </c>
      <c r="F144" s="56">
        <v>1</v>
      </c>
      <c r="G144" s="56">
        <v>1</v>
      </c>
      <c r="H144" s="56">
        <v>1</v>
      </c>
      <c r="I144" s="56">
        <v>1</v>
      </c>
      <c r="J144" s="56">
        <v>1</v>
      </c>
      <c r="K144" s="56">
        <v>1</v>
      </c>
      <c r="L144" s="56">
        <v>2</v>
      </c>
      <c r="M144" s="56">
        <v>2</v>
      </c>
      <c r="N144" s="56">
        <v>1</v>
      </c>
      <c r="O144" s="56">
        <v>3</v>
      </c>
      <c r="P144" s="56">
        <v>2</v>
      </c>
      <c r="Q144" s="56">
        <v>1</v>
      </c>
      <c r="R144" s="56">
        <v>1.5</v>
      </c>
      <c r="S144" s="56">
        <v>1</v>
      </c>
      <c r="T144" s="56" t="s">
        <v>314</v>
      </c>
    </row>
    <row r="145" spans="1:20" ht="15" customHeight="1" x14ac:dyDescent="0.25">
      <c r="A145" s="56" t="s">
        <v>21</v>
      </c>
      <c r="B145" s="56" t="s">
        <v>220</v>
      </c>
      <c r="C145" s="56">
        <v>4</v>
      </c>
      <c r="D145" s="56">
        <v>4</v>
      </c>
      <c r="E145" s="56">
        <v>3</v>
      </c>
      <c r="F145" s="56">
        <v>4</v>
      </c>
      <c r="G145" s="56">
        <v>4</v>
      </c>
      <c r="H145" s="56">
        <v>4</v>
      </c>
      <c r="I145" s="56">
        <v>4</v>
      </c>
      <c r="J145" s="56">
        <v>3.5</v>
      </c>
      <c r="K145" s="56">
        <v>3</v>
      </c>
      <c r="L145" s="56">
        <v>3</v>
      </c>
      <c r="M145" s="56">
        <v>2</v>
      </c>
      <c r="N145" s="56">
        <v>3</v>
      </c>
      <c r="O145" s="56">
        <v>4</v>
      </c>
      <c r="P145" s="56">
        <v>2</v>
      </c>
      <c r="Q145" s="56">
        <v>3</v>
      </c>
      <c r="R145" s="56">
        <v>2.5</v>
      </c>
      <c r="S145" s="56">
        <v>3</v>
      </c>
      <c r="T145" s="56" t="s">
        <v>315</v>
      </c>
    </row>
    <row r="146" spans="1:20" ht="15" customHeight="1" x14ac:dyDescent="0.25">
      <c r="A146" s="56" t="s">
        <v>10</v>
      </c>
      <c r="B146" s="56" t="s">
        <v>223</v>
      </c>
      <c r="C146" s="56">
        <v>5</v>
      </c>
      <c r="D146" s="56">
        <v>5</v>
      </c>
      <c r="E146" s="56">
        <v>5</v>
      </c>
      <c r="F146" s="56">
        <v>5</v>
      </c>
      <c r="G146" s="56">
        <v>5</v>
      </c>
      <c r="H146" s="56">
        <v>5</v>
      </c>
      <c r="I146" s="56">
        <v>5</v>
      </c>
      <c r="J146" s="56">
        <v>5</v>
      </c>
      <c r="K146" s="56">
        <v>5</v>
      </c>
      <c r="L146" s="56">
        <v>5</v>
      </c>
      <c r="M146" s="56">
        <v>5</v>
      </c>
      <c r="N146" s="56">
        <v>5</v>
      </c>
      <c r="O146" s="56">
        <v>5</v>
      </c>
      <c r="P146" s="56">
        <v>5</v>
      </c>
      <c r="Q146" s="56">
        <v>5</v>
      </c>
      <c r="R146" s="56">
        <v>5</v>
      </c>
      <c r="S146" s="56">
        <v>5</v>
      </c>
      <c r="T146" s="56" t="s">
        <v>283</v>
      </c>
    </row>
    <row r="147" spans="1:20" ht="15" customHeight="1" x14ac:dyDescent="0.25">
      <c r="A147" s="56" t="s">
        <v>12</v>
      </c>
      <c r="B147" s="56" t="s">
        <v>223</v>
      </c>
      <c r="C147" s="56">
        <v>5</v>
      </c>
      <c r="D147" s="56">
        <v>5</v>
      </c>
      <c r="E147" s="56">
        <v>5</v>
      </c>
      <c r="F147" s="56">
        <v>5</v>
      </c>
      <c r="G147" s="56">
        <v>5</v>
      </c>
      <c r="H147" s="56">
        <v>5</v>
      </c>
      <c r="I147" s="56">
        <v>5</v>
      </c>
      <c r="J147" s="56">
        <v>5</v>
      </c>
      <c r="K147" s="56">
        <v>5</v>
      </c>
      <c r="L147" s="56">
        <v>5</v>
      </c>
      <c r="M147" s="56">
        <v>5</v>
      </c>
      <c r="N147" s="56">
        <v>5</v>
      </c>
      <c r="O147" s="56">
        <v>5</v>
      </c>
      <c r="P147" s="56">
        <v>5</v>
      </c>
      <c r="Q147" s="56">
        <v>5</v>
      </c>
      <c r="R147" s="56">
        <v>5</v>
      </c>
      <c r="S147" s="56">
        <v>5</v>
      </c>
      <c r="T147" s="56" t="s">
        <v>283</v>
      </c>
    </row>
    <row r="148" spans="1:20" ht="15" customHeight="1" x14ac:dyDescent="0.25">
      <c r="A148" s="56" t="s">
        <v>40</v>
      </c>
      <c r="B148" s="56" t="s">
        <v>218</v>
      </c>
      <c r="C148" s="56">
        <v>5</v>
      </c>
      <c r="D148" s="56">
        <v>5</v>
      </c>
      <c r="E148" s="56">
        <v>5</v>
      </c>
      <c r="F148" s="56">
        <v>5</v>
      </c>
      <c r="G148" s="56">
        <v>5</v>
      </c>
      <c r="H148" s="56">
        <v>5</v>
      </c>
      <c r="I148" s="56">
        <v>5</v>
      </c>
      <c r="J148" s="56">
        <v>5</v>
      </c>
      <c r="K148" s="56">
        <v>5</v>
      </c>
      <c r="L148" s="56">
        <v>5</v>
      </c>
      <c r="M148" s="56">
        <v>5</v>
      </c>
      <c r="N148" s="56">
        <v>5</v>
      </c>
      <c r="O148" s="56">
        <v>5</v>
      </c>
      <c r="P148" s="56">
        <v>5</v>
      </c>
      <c r="Q148" s="56">
        <v>5</v>
      </c>
      <c r="R148" s="56">
        <v>5</v>
      </c>
      <c r="S148" s="56">
        <v>5</v>
      </c>
      <c r="T148" s="56" t="s">
        <v>283</v>
      </c>
    </row>
    <row r="149" spans="1:20" ht="15" customHeight="1" x14ac:dyDescent="0.25">
      <c r="A149" s="56" t="s">
        <v>46</v>
      </c>
      <c r="B149" s="56" t="s">
        <v>220</v>
      </c>
      <c r="C149" s="56">
        <v>2</v>
      </c>
      <c r="D149" s="56">
        <v>2</v>
      </c>
      <c r="E149" s="56">
        <v>2</v>
      </c>
      <c r="F149" s="56">
        <v>3</v>
      </c>
      <c r="G149" s="56">
        <v>1</v>
      </c>
      <c r="H149" s="56">
        <v>2</v>
      </c>
      <c r="I149" s="56">
        <v>1</v>
      </c>
      <c r="J149" s="56">
        <v>1.5</v>
      </c>
      <c r="K149" s="56">
        <v>3</v>
      </c>
      <c r="L149" s="56">
        <v>3</v>
      </c>
      <c r="M149" s="56">
        <v>3</v>
      </c>
      <c r="N149" s="56">
        <v>3</v>
      </c>
      <c r="O149" s="56">
        <v>5</v>
      </c>
      <c r="P149" s="56">
        <v>3</v>
      </c>
      <c r="Q149" s="56">
        <v>4</v>
      </c>
      <c r="R149" s="56">
        <v>3</v>
      </c>
      <c r="S149" s="56">
        <v>2</v>
      </c>
      <c r="T149" s="56" t="s">
        <v>316</v>
      </c>
    </row>
    <row r="150" spans="1:20" ht="15" customHeight="1" x14ac:dyDescent="0.25">
      <c r="A150" s="56" t="s">
        <v>33</v>
      </c>
      <c r="B150" s="56" t="s">
        <v>218</v>
      </c>
      <c r="C150" s="56">
        <v>5</v>
      </c>
      <c r="D150" s="56">
        <v>5</v>
      </c>
      <c r="E150" s="56">
        <v>5</v>
      </c>
      <c r="F150" s="56">
        <v>4</v>
      </c>
      <c r="G150" s="56">
        <v>5</v>
      </c>
      <c r="H150" s="56">
        <v>4</v>
      </c>
      <c r="I150" s="56">
        <v>5</v>
      </c>
      <c r="J150" s="56">
        <v>4.5</v>
      </c>
      <c r="K150" s="56">
        <v>5</v>
      </c>
      <c r="L150" s="56">
        <v>5</v>
      </c>
      <c r="M150" s="56">
        <v>5</v>
      </c>
      <c r="N150" s="56">
        <v>4</v>
      </c>
      <c r="O150" s="56">
        <v>5</v>
      </c>
      <c r="P150" s="56">
        <v>4</v>
      </c>
      <c r="Q150" s="56">
        <v>5</v>
      </c>
      <c r="R150" s="56">
        <v>4.5</v>
      </c>
      <c r="S150" s="56">
        <v>4.5</v>
      </c>
      <c r="T150" s="56" t="s">
        <v>283</v>
      </c>
    </row>
    <row r="151" spans="1:20" ht="15" customHeight="1" x14ac:dyDescent="0.25">
      <c r="A151" s="56" t="s">
        <v>871</v>
      </c>
      <c r="B151" s="56" t="s">
        <v>220</v>
      </c>
      <c r="C151" s="56">
        <v>3</v>
      </c>
      <c r="D151" s="56">
        <v>3</v>
      </c>
      <c r="E151" s="56">
        <v>4</v>
      </c>
      <c r="F151" s="56">
        <v>4</v>
      </c>
      <c r="H151" s="56">
        <v>3</v>
      </c>
      <c r="I151" s="56">
        <v>5</v>
      </c>
      <c r="J151" s="56">
        <v>3.5</v>
      </c>
      <c r="K151" s="56">
        <v>4</v>
      </c>
      <c r="L151" s="56">
        <v>3</v>
      </c>
      <c r="M151" s="56">
        <v>3</v>
      </c>
      <c r="N151" s="56">
        <v>3</v>
      </c>
      <c r="P151" s="56">
        <v>3</v>
      </c>
      <c r="Q151" s="56">
        <v>5</v>
      </c>
      <c r="R151" s="56">
        <v>3.5</v>
      </c>
      <c r="S151" s="56">
        <v>3.5</v>
      </c>
      <c r="T151" s="56" t="s">
        <v>1937</v>
      </c>
    </row>
    <row r="152" spans="1:20" ht="15" customHeight="1" x14ac:dyDescent="0.25">
      <c r="A152" s="56" t="s">
        <v>918</v>
      </c>
      <c r="B152" s="56" t="s">
        <v>222</v>
      </c>
      <c r="C152" s="56">
        <v>1</v>
      </c>
      <c r="D152" s="56">
        <v>1</v>
      </c>
      <c r="E152" s="56">
        <v>1</v>
      </c>
      <c r="F152" s="56">
        <v>1</v>
      </c>
      <c r="H152" s="56">
        <v>1</v>
      </c>
      <c r="I152" s="56">
        <v>1</v>
      </c>
      <c r="J152" s="56">
        <v>1</v>
      </c>
      <c r="K152" s="56">
        <v>4</v>
      </c>
      <c r="L152" s="56">
        <v>3</v>
      </c>
      <c r="M152" s="56">
        <v>4</v>
      </c>
      <c r="N152" s="56">
        <v>3</v>
      </c>
      <c r="P152" s="56">
        <v>3</v>
      </c>
      <c r="Q152" s="56">
        <v>4</v>
      </c>
      <c r="R152" s="56">
        <v>3.5</v>
      </c>
      <c r="S152" s="56">
        <v>2</v>
      </c>
      <c r="T152" s="56" t="s">
        <v>1356</v>
      </c>
    </row>
    <row r="153" spans="1:20" ht="15" customHeight="1" x14ac:dyDescent="0.25">
      <c r="A153" s="56" t="s">
        <v>1357</v>
      </c>
      <c r="B153" s="56" t="s">
        <v>220</v>
      </c>
      <c r="C153" s="56">
        <v>5</v>
      </c>
      <c r="D153" s="56">
        <v>3</v>
      </c>
      <c r="E153" s="56">
        <v>4</v>
      </c>
      <c r="H153" s="56">
        <v>4</v>
      </c>
      <c r="I153" s="56">
        <v>5</v>
      </c>
      <c r="J153" s="56">
        <v>4</v>
      </c>
      <c r="K153" s="56">
        <v>5</v>
      </c>
      <c r="L153" s="56">
        <v>4</v>
      </c>
      <c r="M153" s="56">
        <v>5</v>
      </c>
      <c r="P153" s="56">
        <v>5</v>
      </c>
      <c r="Q153" s="56">
        <v>5</v>
      </c>
      <c r="R153" s="56">
        <v>4.5</v>
      </c>
      <c r="S153" s="56">
        <v>4</v>
      </c>
      <c r="T153" s="56" t="s">
        <v>1358</v>
      </c>
    </row>
    <row r="154" spans="1:20" ht="15" customHeight="1" x14ac:dyDescent="0.25">
      <c r="A154" s="56" t="s">
        <v>41</v>
      </c>
      <c r="B154" s="56" t="s">
        <v>218</v>
      </c>
      <c r="C154" s="56">
        <v>5</v>
      </c>
      <c r="D154" s="56">
        <v>5</v>
      </c>
      <c r="E154" s="56">
        <v>5</v>
      </c>
      <c r="F154" s="56">
        <v>5</v>
      </c>
      <c r="G154" s="56">
        <v>5</v>
      </c>
      <c r="H154" s="56">
        <v>5</v>
      </c>
      <c r="I154" s="56">
        <v>5</v>
      </c>
      <c r="J154" s="56">
        <v>5</v>
      </c>
      <c r="K154" s="56">
        <v>5</v>
      </c>
      <c r="L154" s="56">
        <v>5</v>
      </c>
      <c r="M154" s="56">
        <v>5</v>
      </c>
      <c r="N154" s="56">
        <v>5</v>
      </c>
      <c r="O154" s="56">
        <v>5</v>
      </c>
      <c r="P154" s="56">
        <v>5</v>
      </c>
      <c r="Q154" s="56">
        <v>5</v>
      </c>
      <c r="R154" s="56">
        <v>5</v>
      </c>
      <c r="S154" s="56">
        <v>5</v>
      </c>
      <c r="T154" s="56" t="s">
        <v>670</v>
      </c>
    </row>
    <row r="155" spans="1:20" ht="15" customHeight="1" x14ac:dyDescent="0.25">
      <c r="A155" s="56" t="s">
        <v>53</v>
      </c>
      <c r="B155" s="56" t="s">
        <v>218</v>
      </c>
      <c r="C155" s="56">
        <v>4</v>
      </c>
      <c r="D155" s="56">
        <v>3</v>
      </c>
      <c r="E155" s="56">
        <v>5</v>
      </c>
      <c r="F155" s="56">
        <v>3</v>
      </c>
      <c r="G155" s="56">
        <v>4</v>
      </c>
      <c r="H155" s="56">
        <v>3</v>
      </c>
      <c r="I155" s="56">
        <v>5</v>
      </c>
      <c r="J155" s="56">
        <v>3.5</v>
      </c>
      <c r="K155" s="56">
        <v>3</v>
      </c>
      <c r="L155" s="56">
        <v>2</v>
      </c>
      <c r="M155" s="56">
        <v>4</v>
      </c>
      <c r="N155" s="56">
        <v>2</v>
      </c>
      <c r="O155" s="56">
        <v>2</v>
      </c>
      <c r="P155" s="56">
        <v>2</v>
      </c>
      <c r="Q155" s="56">
        <v>5</v>
      </c>
      <c r="R155" s="56">
        <v>2.5</v>
      </c>
      <c r="S155" s="56">
        <v>3</v>
      </c>
      <c r="T155" s="56" t="s">
        <v>317</v>
      </c>
    </row>
    <row r="156" spans="1:20" ht="15" customHeight="1" x14ac:dyDescent="0.25">
      <c r="A156" s="56" t="s">
        <v>65</v>
      </c>
      <c r="B156" s="56" t="s">
        <v>220</v>
      </c>
      <c r="C156" s="56">
        <v>2</v>
      </c>
      <c r="D156" s="56">
        <v>2</v>
      </c>
      <c r="E156" s="56">
        <v>2</v>
      </c>
      <c r="F156" s="56">
        <v>1</v>
      </c>
      <c r="G156" s="56">
        <v>1</v>
      </c>
      <c r="H156" s="56">
        <v>1</v>
      </c>
      <c r="I156" s="56">
        <v>3</v>
      </c>
      <c r="J156" s="56">
        <v>1.5</v>
      </c>
      <c r="K156" s="56">
        <v>1</v>
      </c>
      <c r="L156" s="56">
        <v>1</v>
      </c>
      <c r="M156" s="56">
        <v>1</v>
      </c>
      <c r="N156" s="56">
        <v>1</v>
      </c>
      <c r="O156" s="56">
        <v>1</v>
      </c>
      <c r="P156" s="56">
        <v>1</v>
      </c>
      <c r="Q156" s="56">
        <v>1</v>
      </c>
      <c r="R156" s="56">
        <v>1</v>
      </c>
      <c r="S156" s="56">
        <v>1</v>
      </c>
      <c r="T156" s="56" t="s">
        <v>318</v>
      </c>
    </row>
    <row r="157" spans="1:20" ht="15" customHeight="1" x14ac:dyDescent="0.25">
      <c r="A157" s="56" t="s">
        <v>54</v>
      </c>
      <c r="B157" s="56" t="s">
        <v>223</v>
      </c>
      <c r="C157" s="56">
        <v>5</v>
      </c>
      <c r="D157" s="56">
        <v>5</v>
      </c>
      <c r="E157" s="56">
        <v>5</v>
      </c>
      <c r="F157" s="56">
        <v>5</v>
      </c>
      <c r="G157" s="56">
        <v>5</v>
      </c>
      <c r="H157" s="56">
        <v>5</v>
      </c>
      <c r="I157" s="56">
        <v>5</v>
      </c>
      <c r="J157" s="56">
        <v>5</v>
      </c>
      <c r="K157" s="56">
        <v>5</v>
      </c>
      <c r="L157" s="56">
        <v>5</v>
      </c>
      <c r="M157" s="56">
        <v>5</v>
      </c>
      <c r="N157" s="56">
        <v>5</v>
      </c>
      <c r="O157" s="56">
        <v>5</v>
      </c>
      <c r="P157" s="56">
        <v>5</v>
      </c>
      <c r="Q157" s="56">
        <v>5</v>
      </c>
      <c r="R157" s="56">
        <v>5</v>
      </c>
      <c r="S157" s="56">
        <v>5</v>
      </c>
      <c r="T157" s="56" t="s">
        <v>283</v>
      </c>
    </row>
    <row r="158" spans="1:20" ht="15" customHeight="1" x14ac:dyDescent="0.25">
      <c r="A158" s="56" t="s">
        <v>42</v>
      </c>
      <c r="B158" s="56" t="s">
        <v>218</v>
      </c>
      <c r="C158" s="56">
        <v>4</v>
      </c>
      <c r="D158" s="56">
        <v>4</v>
      </c>
      <c r="E158" s="56">
        <v>4</v>
      </c>
      <c r="F158" s="56">
        <v>3</v>
      </c>
      <c r="G158" s="56">
        <v>3</v>
      </c>
      <c r="H158" s="56">
        <v>3</v>
      </c>
      <c r="I158" s="56">
        <v>3</v>
      </c>
      <c r="J158" s="56">
        <v>3</v>
      </c>
      <c r="K158" s="56">
        <v>2</v>
      </c>
      <c r="L158" s="56">
        <v>2</v>
      </c>
      <c r="M158" s="56">
        <v>2</v>
      </c>
      <c r="N158" s="56">
        <v>1</v>
      </c>
      <c r="O158" s="56">
        <v>1</v>
      </c>
      <c r="P158" s="56">
        <v>2</v>
      </c>
      <c r="Q158" s="56">
        <v>4</v>
      </c>
      <c r="R158" s="56">
        <v>2</v>
      </c>
      <c r="S158" s="56">
        <v>2.5</v>
      </c>
      <c r="T158" s="56" t="s">
        <v>319</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202"/>
  <sheetViews>
    <sheetView workbookViewId="0">
      <pane xSplit="1" ySplit="1" topLeftCell="B119" activePane="bottomRight" state="frozen"/>
      <selection pane="topRight" activeCell="B1" sqref="B1"/>
      <selection pane="bottomLeft" activeCell="A2" sqref="A2"/>
      <selection pane="bottomRight" activeCell="AL135" sqref="B135:AL135"/>
    </sheetView>
  </sheetViews>
  <sheetFormatPr defaultRowHeight="15" x14ac:dyDescent="0.25"/>
  <cols>
    <col min="1" max="1" width="22.7109375" style="67" bestFit="1" customWidth="1"/>
    <col min="2" max="2" width="10.28515625" style="67" customWidth="1"/>
    <col min="3" max="3" width="12" style="67" customWidth="1"/>
    <col min="4" max="4" width="7.7109375" style="67" bestFit="1" customWidth="1"/>
    <col min="5" max="17" width="8.140625" style="67" bestFit="1" customWidth="1"/>
    <col min="18" max="28" width="8.7109375" style="67" bestFit="1" customWidth="1"/>
    <col min="29" max="48" width="9.140625" style="67" bestFit="1" customWidth="1"/>
    <col min="49" max="63" width="8.5703125" style="67" bestFit="1" customWidth="1"/>
    <col min="64" max="16384" width="9.140625" style="67"/>
  </cols>
  <sheetData>
    <row r="1" spans="1:63" s="273" customFormat="1" x14ac:dyDescent="0.25">
      <c r="A1" s="273" t="s">
        <v>957</v>
      </c>
      <c r="B1" s="273" t="s">
        <v>959</v>
      </c>
      <c r="C1" s="273" t="s">
        <v>958</v>
      </c>
      <c r="D1" s="273">
        <v>1</v>
      </c>
      <c r="E1" s="273">
        <v>2</v>
      </c>
      <c r="F1" s="273">
        <v>3</v>
      </c>
      <c r="G1" s="273">
        <v>4</v>
      </c>
      <c r="H1" s="273">
        <v>5</v>
      </c>
      <c r="I1" s="273">
        <v>6</v>
      </c>
      <c r="J1" s="273">
        <v>7</v>
      </c>
      <c r="K1" s="273">
        <v>8</v>
      </c>
      <c r="L1" s="273">
        <v>9</v>
      </c>
      <c r="M1" s="273">
        <v>10</v>
      </c>
      <c r="N1" s="273">
        <v>11</v>
      </c>
      <c r="O1" s="273">
        <v>12</v>
      </c>
      <c r="P1" s="273">
        <v>13</v>
      </c>
      <c r="Q1" s="273">
        <v>14</v>
      </c>
      <c r="R1" s="273">
        <v>15</v>
      </c>
      <c r="S1" s="273">
        <v>16</v>
      </c>
      <c r="T1" s="273">
        <v>17</v>
      </c>
      <c r="U1" s="273">
        <v>18</v>
      </c>
      <c r="V1" s="273">
        <v>19</v>
      </c>
      <c r="W1" s="273">
        <v>20</v>
      </c>
      <c r="X1" s="273">
        <v>21</v>
      </c>
      <c r="Y1" s="273">
        <v>22</v>
      </c>
      <c r="Z1" s="273">
        <v>23</v>
      </c>
      <c r="AA1" s="273">
        <v>24</v>
      </c>
      <c r="AB1" s="273">
        <v>25</v>
      </c>
      <c r="AC1" s="273">
        <v>26</v>
      </c>
      <c r="AD1" s="273">
        <v>27</v>
      </c>
      <c r="AE1" s="273">
        <v>28</v>
      </c>
      <c r="AF1" s="273">
        <v>29</v>
      </c>
      <c r="AG1" s="273">
        <v>30</v>
      </c>
      <c r="AH1" s="273">
        <v>31</v>
      </c>
      <c r="AI1" s="273">
        <v>32</v>
      </c>
      <c r="AJ1" s="273">
        <v>33</v>
      </c>
      <c r="AK1" s="273">
        <v>34</v>
      </c>
      <c r="AL1" s="273">
        <v>35</v>
      </c>
      <c r="AM1" s="273">
        <v>36</v>
      </c>
      <c r="AN1" s="273">
        <v>37</v>
      </c>
      <c r="AO1" s="273">
        <v>38</v>
      </c>
      <c r="AP1" s="273">
        <v>39</v>
      </c>
      <c r="AQ1" s="273">
        <v>40</v>
      </c>
      <c r="AR1" s="273">
        <v>41</v>
      </c>
      <c r="AS1" s="273">
        <v>42</v>
      </c>
      <c r="AT1" s="273">
        <v>43</v>
      </c>
      <c r="AU1" s="273">
        <v>44</v>
      </c>
      <c r="AV1" s="273">
        <v>45</v>
      </c>
      <c r="AW1" s="273">
        <v>46</v>
      </c>
      <c r="AX1" s="273">
        <v>47</v>
      </c>
      <c r="AY1" s="273">
        <v>48</v>
      </c>
      <c r="AZ1" s="273">
        <v>49</v>
      </c>
      <c r="BA1" s="273">
        <v>50</v>
      </c>
      <c r="BB1" s="273">
        <v>51</v>
      </c>
      <c r="BC1" s="273">
        <v>52</v>
      </c>
      <c r="BD1" s="273">
        <v>53</v>
      </c>
      <c r="BE1" s="273">
        <v>54</v>
      </c>
      <c r="BF1" s="273">
        <v>55</v>
      </c>
      <c r="BG1" s="273">
        <v>56</v>
      </c>
      <c r="BH1" s="273">
        <v>57</v>
      </c>
      <c r="BI1" s="273">
        <v>58</v>
      </c>
      <c r="BJ1" s="273">
        <v>59</v>
      </c>
      <c r="BK1" s="273">
        <v>60</v>
      </c>
    </row>
    <row r="2" spans="1:63" x14ac:dyDescent="0.25">
      <c r="A2" s="67" t="s">
        <v>1873</v>
      </c>
      <c r="B2" s="67">
        <v>45</v>
      </c>
      <c r="C2" s="67" t="s">
        <v>1876</v>
      </c>
      <c r="D2" s="483" t="s">
        <v>1877</v>
      </c>
      <c r="E2" s="483" t="s">
        <v>1878</v>
      </c>
      <c r="F2" s="483" t="s">
        <v>1879</v>
      </c>
      <c r="G2" s="483" t="s">
        <v>1880</v>
      </c>
      <c r="H2" s="483" t="s">
        <v>1881</v>
      </c>
      <c r="I2" s="483" t="s">
        <v>1882</v>
      </c>
      <c r="J2" s="483" t="s">
        <v>1883</v>
      </c>
      <c r="K2" s="483" t="s">
        <v>1884</v>
      </c>
      <c r="L2" s="483" t="s">
        <v>1885</v>
      </c>
      <c r="M2" s="483" t="s">
        <v>1886</v>
      </c>
      <c r="N2" s="483" t="s">
        <v>1887</v>
      </c>
      <c r="O2" s="483" t="s">
        <v>1888</v>
      </c>
      <c r="P2" s="483" t="s">
        <v>1889</v>
      </c>
      <c r="Q2" s="483" t="s">
        <v>1890</v>
      </c>
      <c r="R2" s="483" t="s">
        <v>1891</v>
      </c>
      <c r="S2" s="483" t="s">
        <v>1892</v>
      </c>
      <c r="T2" s="483" t="s">
        <v>1893</v>
      </c>
      <c r="U2" s="483" t="s">
        <v>1894</v>
      </c>
      <c r="V2" s="483" t="s">
        <v>1895</v>
      </c>
      <c r="W2" s="483" t="s">
        <v>1896</v>
      </c>
      <c r="X2" s="483" t="s">
        <v>1897</v>
      </c>
      <c r="Y2" s="483" t="s">
        <v>1898</v>
      </c>
      <c r="Z2" s="483" t="s">
        <v>1899</v>
      </c>
      <c r="AA2" s="483" t="s">
        <v>1900</v>
      </c>
      <c r="AB2" s="483" t="s">
        <v>1901</v>
      </c>
      <c r="AC2" s="483" t="s">
        <v>1902</v>
      </c>
      <c r="AD2" s="483" t="s">
        <v>1903</v>
      </c>
      <c r="AE2" s="483" t="s">
        <v>1904</v>
      </c>
      <c r="AF2" s="483" t="s">
        <v>1905</v>
      </c>
      <c r="AG2" s="483" t="s">
        <v>1906</v>
      </c>
      <c r="AH2" s="483" t="s">
        <v>1907</v>
      </c>
      <c r="AI2" s="483" t="s">
        <v>1908</v>
      </c>
      <c r="AJ2" s="483" t="s">
        <v>1909</v>
      </c>
      <c r="AK2" s="483" t="s">
        <v>1910</v>
      </c>
      <c r="AL2" s="483" t="s">
        <v>1911</v>
      </c>
      <c r="AM2" s="483" t="s">
        <v>1912</v>
      </c>
      <c r="AN2" s="483" t="s">
        <v>1913</v>
      </c>
      <c r="AO2" s="483" t="s">
        <v>1914</v>
      </c>
      <c r="AP2" s="483" t="s">
        <v>1915</v>
      </c>
      <c r="AQ2" s="483" t="s">
        <v>1916</v>
      </c>
      <c r="AR2" s="483" t="s">
        <v>1917</v>
      </c>
      <c r="AS2" s="483" t="s">
        <v>1918</v>
      </c>
      <c r="AT2" s="483" t="s">
        <v>1919</v>
      </c>
      <c r="AU2" s="483" t="s">
        <v>1920</v>
      </c>
      <c r="AV2" s="483" t="s">
        <v>1921</v>
      </c>
      <c r="AW2" s="75"/>
      <c r="AX2" s="75"/>
      <c r="AY2" s="75"/>
      <c r="AZ2" s="75"/>
      <c r="BA2" s="75"/>
      <c r="BB2" s="75"/>
      <c r="BC2" s="75"/>
      <c r="BD2" s="75"/>
      <c r="BE2" s="75"/>
      <c r="BF2" s="75"/>
      <c r="BG2" s="75"/>
      <c r="BH2" s="75"/>
      <c r="BI2" s="75"/>
      <c r="BJ2" s="75"/>
      <c r="BK2" s="75"/>
    </row>
    <row r="3" spans="1:63" x14ac:dyDescent="0.25">
      <c r="A3" s="67" t="s">
        <v>1874</v>
      </c>
      <c r="B3" s="67">
        <v>45</v>
      </c>
      <c r="D3" s="274">
        <v>0</v>
      </c>
      <c r="E3" s="274">
        <v>0</v>
      </c>
      <c r="F3" s="274">
        <v>0</v>
      </c>
      <c r="G3" s="274">
        <v>0</v>
      </c>
      <c r="H3" s="274">
        <v>1</v>
      </c>
      <c r="I3" s="274">
        <v>1</v>
      </c>
      <c r="J3" s="274">
        <v>1</v>
      </c>
      <c r="K3" s="274">
        <v>1</v>
      </c>
      <c r="L3" s="274">
        <v>1</v>
      </c>
      <c r="M3" s="274">
        <v>2</v>
      </c>
      <c r="N3" s="274">
        <v>2</v>
      </c>
      <c r="O3" s="274">
        <v>2</v>
      </c>
      <c r="P3" s="274">
        <v>2</v>
      </c>
      <c r="Q3" s="274">
        <v>2</v>
      </c>
      <c r="R3" s="274">
        <v>2</v>
      </c>
      <c r="S3" s="274">
        <v>2</v>
      </c>
      <c r="T3" s="274">
        <v>2</v>
      </c>
      <c r="U3" s="274">
        <v>2</v>
      </c>
      <c r="V3" s="274">
        <v>2</v>
      </c>
      <c r="W3" s="274">
        <v>3</v>
      </c>
      <c r="X3" s="274">
        <v>3</v>
      </c>
      <c r="Y3" s="274">
        <v>3</v>
      </c>
      <c r="Z3" s="274">
        <v>3</v>
      </c>
      <c r="AA3" s="274">
        <v>3</v>
      </c>
      <c r="AB3" s="274">
        <v>3</v>
      </c>
      <c r="AC3" s="274">
        <v>3</v>
      </c>
      <c r="AD3" s="274">
        <v>3</v>
      </c>
      <c r="AE3" s="274">
        <v>3</v>
      </c>
      <c r="AF3" s="274">
        <v>3</v>
      </c>
      <c r="AG3" s="274">
        <v>4</v>
      </c>
      <c r="AH3" s="274">
        <v>4</v>
      </c>
      <c r="AI3" s="274">
        <v>4</v>
      </c>
      <c r="AJ3" s="274">
        <v>4</v>
      </c>
      <c r="AK3" s="274">
        <v>4</v>
      </c>
      <c r="AL3" s="274">
        <v>5</v>
      </c>
      <c r="AM3" s="274">
        <v>5</v>
      </c>
      <c r="AN3" s="274">
        <v>5</v>
      </c>
      <c r="AO3" s="274">
        <v>5</v>
      </c>
      <c r="AP3" s="274">
        <v>5</v>
      </c>
      <c r="AQ3" s="274">
        <v>6</v>
      </c>
      <c r="AR3" s="274">
        <v>6</v>
      </c>
      <c r="AS3" s="274">
        <v>6</v>
      </c>
      <c r="AT3" s="274">
        <v>6</v>
      </c>
      <c r="AU3" s="274">
        <v>6</v>
      </c>
      <c r="AV3" s="274">
        <v>7</v>
      </c>
      <c r="AW3" s="75"/>
      <c r="AX3" s="75"/>
      <c r="AY3" s="75"/>
      <c r="AZ3" s="75"/>
      <c r="BA3" s="75"/>
      <c r="BB3" s="75"/>
      <c r="BC3" s="75"/>
      <c r="BD3" s="75"/>
      <c r="BE3" s="75"/>
      <c r="BF3" s="75"/>
      <c r="BG3" s="75"/>
      <c r="BH3" s="75"/>
      <c r="BI3" s="75"/>
      <c r="BJ3" s="75"/>
      <c r="BK3" s="75"/>
    </row>
    <row r="4" spans="1:63" x14ac:dyDescent="0.25">
      <c r="A4" s="67" t="s">
        <v>1875</v>
      </c>
      <c r="C4" s="274"/>
      <c r="D4" s="45">
        <v>200</v>
      </c>
      <c r="E4" s="53">
        <v>0.3</v>
      </c>
      <c r="F4" s="45">
        <v>400</v>
      </c>
      <c r="G4" s="53">
        <v>0.6</v>
      </c>
      <c r="H4" s="45">
        <v>650</v>
      </c>
      <c r="I4" s="53">
        <v>0.9</v>
      </c>
      <c r="J4" s="45">
        <v>900</v>
      </c>
      <c r="K4" s="53">
        <v>1.2</v>
      </c>
      <c r="L4" s="45">
        <v>1200</v>
      </c>
      <c r="M4" s="53">
        <v>1.5</v>
      </c>
      <c r="N4" s="45">
        <v>1600</v>
      </c>
      <c r="O4" s="53">
        <v>1.8</v>
      </c>
      <c r="P4" s="45">
        <v>2200</v>
      </c>
      <c r="Q4" s="53">
        <v>2.1</v>
      </c>
      <c r="R4" s="45">
        <v>3000</v>
      </c>
      <c r="S4" s="53">
        <v>2.4</v>
      </c>
      <c r="T4" s="45">
        <v>4000</v>
      </c>
      <c r="U4" s="53">
        <v>2.7</v>
      </c>
      <c r="V4" s="45">
        <v>6000</v>
      </c>
      <c r="W4" s="53">
        <v>3</v>
      </c>
      <c r="X4" s="75"/>
      <c r="Y4" s="75"/>
      <c r="Z4" s="75"/>
      <c r="AA4" s="75"/>
      <c r="AB4" s="75"/>
      <c r="AC4" s="75"/>
      <c r="AD4" s="75"/>
      <c r="AE4" s="75"/>
      <c r="AF4" s="75"/>
      <c r="AG4" s="75"/>
      <c r="AH4" s="75"/>
      <c r="AI4" s="75"/>
      <c r="AJ4" s="75"/>
      <c r="AK4" s="75"/>
      <c r="AL4" s="75"/>
      <c r="AM4" s="75"/>
      <c r="AN4" s="75"/>
      <c r="AO4" s="75"/>
      <c r="AP4" s="75"/>
      <c r="AQ4" s="75"/>
      <c r="AR4" s="75"/>
      <c r="AS4" s="75"/>
      <c r="AT4" s="75"/>
      <c r="AU4" s="75"/>
      <c r="AV4" s="75"/>
      <c r="AW4" s="75"/>
      <c r="AX4" s="75"/>
      <c r="AY4" s="75"/>
      <c r="AZ4" s="75"/>
      <c r="BA4" s="75"/>
      <c r="BB4" s="75"/>
      <c r="BC4" s="75"/>
      <c r="BD4" s="75"/>
      <c r="BE4" s="75"/>
      <c r="BF4" s="75"/>
      <c r="BG4" s="75"/>
      <c r="BH4" s="75"/>
      <c r="BI4" s="75"/>
      <c r="BJ4" s="75"/>
      <c r="BK4" s="75"/>
    </row>
    <row r="5" spans="1:63" x14ac:dyDescent="0.25">
      <c r="A5" s="67" t="s">
        <v>1015</v>
      </c>
      <c r="B5" s="67">
        <v>45</v>
      </c>
      <c r="C5" s="67" t="s">
        <v>1188</v>
      </c>
      <c r="D5" s="75">
        <v>0.5</v>
      </c>
      <c r="E5" s="75">
        <v>0.52</v>
      </c>
      <c r="F5" s="75">
        <v>0.54</v>
      </c>
      <c r="G5" s="75">
        <v>0.56000000000000005</v>
      </c>
      <c r="H5" s="75">
        <v>0.57999999999999996</v>
      </c>
      <c r="I5" s="75">
        <v>0.6</v>
      </c>
      <c r="J5" s="75">
        <v>0.62</v>
      </c>
      <c r="K5" s="75">
        <v>0.64</v>
      </c>
      <c r="L5" s="75">
        <v>0.66</v>
      </c>
      <c r="M5" s="75">
        <v>0.68</v>
      </c>
      <c r="N5" s="75">
        <v>0.7</v>
      </c>
      <c r="O5" s="75">
        <v>0.72</v>
      </c>
      <c r="P5" s="75">
        <v>0.74</v>
      </c>
      <c r="Q5" s="75">
        <v>0.76</v>
      </c>
      <c r="R5" s="75">
        <v>0.78</v>
      </c>
      <c r="S5" s="75">
        <v>0.8</v>
      </c>
      <c r="T5" s="75">
        <v>0.82</v>
      </c>
      <c r="U5" s="75">
        <v>0.84</v>
      </c>
      <c r="V5" s="75">
        <v>0.86</v>
      </c>
      <c r="W5" s="75">
        <v>0.88</v>
      </c>
      <c r="X5" s="75">
        <v>0.9</v>
      </c>
      <c r="Y5" s="75">
        <v>0.92</v>
      </c>
      <c r="Z5" s="75">
        <v>0.94</v>
      </c>
      <c r="AA5" s="75">
        <v>0.96</v>
      </c>
      <c r="AB5" s="75">
        <v>0.98</v>
      </c>
      <c r="AC5" s="75">
        <v>1</v>
      </c>
      <c r="AD5" s="75">
        <v>1.02</v>
      </c>
      <c r="AE5" s="75">
        <v>1.04</v>
      </c>
      <c r="AF5" s="75">
        <v>1.06</v>
      </c>
      <c r="AG5" s="75">
        <v>1.08</v>
      </c>
      <c r="AH5" s="75">
        <v>1.1000000000000001</v>
      </c>
      <c r="AI5" s="75">
        <v>1.1200000000000001</v>
      </c>
      <c r="AJ5" s="75">
        <v>1.1399999999999999</v>
      </c>
      <c r="AK5" s="75">
        <v>1.1599999999999999</v>
      </c>
      <c r="AL5" s="75">
        <v>1.18</v>
      </c>
      <c r="AM5" s="75">
        <v>1.2</v>
      </c>
      <c r="AN5" s="75">
        <v>1.22</v>
      </c>
      <c r="AO5" s="75">
        <v>1.24</v>
      </c>
      <c r="AP5" s="75">
        <v>1.26</v>
      </c>
      <c r="AQ5" s="75">
        <v>1.28</v>
      </c>
      <c r="AR5" s="75">
        <v>1.3</v>
      </c>
      <c r="AS5" s="75">
        <v>1.32</v>
      </c>
      <c r="AT5" s="75">
        <v>1.34</v>
      </c>
      <c r="AU5" s="75">
        <v>1.36</v>
      </c>
      <c r="AV5" s="75">
        <v>1.4</v>
      </c>
      <c r="AW5" s="75"/>
      <c r="AX5" s="75"/>
      <c r="AY5" s="75"/>
      <c r="AZ5" s="75"/>
      <c r="BA5" s="75"/>
      <c r="BB5" s="75"/>
      <c r="BC5" s="75"/>
      <c r="BD5" s="75"/>
      <c r="BE5" s="75"/>
      <c r="BF5" s="75"/>
      <c r="BG5" s="75"/>
      <c r="BH5" s="75"/>
      <c r="BI5" s="75"/>
      <c r="BJ5" s="75"/>
      <c r="BK5" s="75"/>
    </row>
    <row r="6" spans="1:63" x14ac:dyDescent="0.25">
      <c r="A6" s="67" t="s">
        <v>961</v>
      </c>
      <c r="B6" s="67">
        <v>45</v>
      </c>
      <c r="D6" s="274">
        <v>0</v>
      </c>
      <c r="E6" s="274">
        <v>0</v>
      </c>
      <c r="F6" s="274">
        <v>0</v>
      </c>
      <c r="G6" s="274">
        <v>0</v>
      </c>
      <c r="H6" s="274">
        <v>1</v>
      </c>
      <c r="I6" s="274">
        <v>1</v>
      </c>
      <c r="J6" s="274">
        <v>1</v>
      </c>
      <c r="K6" s="274">
        <v>1</v>
      </c>
      <c r="L6" s="274">
        <v>1</v>
      </c>
      <c r="M6" s="274">
        <v>2</v>
      </c>
      <c r="N6" s="274">
        <v>2</v>
      </c>
      <c r="O6" s="274">
        <v>2</v>
      </c>
      <c r="P6" s="274">
        <v>2</v>
      </c>
      <c r="Q6" s="274">
        <v>2</v>
      </c>
      <c r="R6" s="274">
        <v>2</v>
      </c>
      <c r="S6" s="274">
        <v>2</v>
      </c>
      <c r="T6" s="274">
        <v>2</v>
      </c>
      <c r="U6" s="274">
        <v>2</v>
      </c>
      <c r="V6" s="274">
        <v>2</v>
      </c>
      <c r="W6" s="274">
        <v>3</v>
      </c>
      <c r="X6" s="274">
        <v>3</v>
      </c>
      <c r="Y6" s="274">
        <v>3</v>
      </c>
      <c r="Z6" s="274">
        <v>3</v>
      </c>
      <c r="AA6" s="274">
        <v>3</v>
      </c>
      <c r="AB6" s="274">
        <v>3</v>
      </c>
      <c r="AC6" s="274">
        <v>3</v>
      </c>
      <c r="AD6" s="274">
        <v>3</v>
      </c>
      <c r="AE6" s="274">
        <v>3</v>
      </c>
      <c r="AF6" s="274">
        <v>3</v>
      </c>
      <c r="AG6" s="274">
        <v>4</v>
      </c>
      <c r="AH6" s="274">
        <v>4</v>
      </c>
      <c r="AI6" s="274">
        <v>4</v>
      </c>
      <c r="AJ6" s="274">
        <v>4</v>
      </c>
      <c r="AK6" s="274">
        <v>4</v>
      </c>
      <c r="AL6" s="274">
        <v>5</v>
      </c>
      <c r="AM6" s="274">
        <v>5</v>
      </c>
      <c r="AN6" s="274">
        <v>5</v>
      </c>
      <c r="AO6" s="274">
        <v>5</v>
      </c>
      <c r="AP6" s="274">
        <v>5</v>
      </c>
      <c r="AQ6" s="274">
        <v>6</v>
      </c>
      <c r="AR6" s="274">
        <v>6</v>
      </c>
      <c r="AS6" s="274">
        <v>6</v>
      </c>
      <c r="AT6" s="274">
        <v>6</v>
      </c>
      <c r="AU6" s="274">
        <v>6</v>
      </c>
      <c r="AV6" s="274">
        <v>7</v>
      </c>
      <c r="AW6" s="75"/>
      <c r="AX6" s="75"/>
      <c r="AY6" s="75"/>
      <c r="AZ6" s="75"/>
      <c r="BA6" s="75"/>
      <c r="BB6" s="75"/>
      <c r="BC6" s="75"/>
      <c r="BD6" s="75"/>
      <c r="BE6" s="75"/>
      <c r="BF6" s="75"/>
      <c r="BG6" s="75"/>
      <c r="BH6" s="75"/>
      <c r="BI6" s="75"/>
      <c r="BJ6" s="75"/>
      <c r="BK6" s="75"/>
    </row>
    <row r="7" spans="1:63" x14ac:dyDescent="0.25">
      <c r="A7" s="67" t="s">
        <v>1288</v>
      </c>
      <c r="D7" s="54">
        <v>300</v>
      </c>
      <c r="E7" s="53">
        <v>0.3</v>
      </c>
      <c r="F7" s="54">
        <v>600</v>
      </c>
      <c r="G7" s="53">
        <v>0.6</v>
      </c>
      <c r="H7" s="54">
        <v>975</v>
      </c>
      <c r="I7" s="53">
        <v>0.9</v>
      </c>
      <c r="J7" s="54">
        <v>1350</v>
      </c>
      <c r="K7" s="53">
        <v>1.2</v>
      </c>
      <c r="L7" s="54">
        <v>1800</v>
      </c>
      <c r="M7" s="53">
        <v>1.5</v>
      </c>
      <c r="N7" s="54">
        <v>2400</v>
      </c>
      <c r="O7" s="53">
        <v>1.8</v>
      </c>
      <c r="P7" s="54">
        <v>3300</v>
      </c>
      <c r="Q7" s="53">
        <v>2.1</v>
      </c>
      <c r="R7" s="54">
        <v>4500</v>
      </c>
      <c r="S7" s="53">
        <v>2.4</v>
      </c>
      <c r="T7" s="54">
        <v>6000</v>
      </c>
      <c r="U7" s="53">
        <v>2.7</v>
      </c>
      <c r="V7" s="54">
        <v>9000</v>
      </c>
      <c r="W7" s="53">
        <v>3</v>
      </c>
      <c r="X7" s="274"/>
      <c r="Y7" s="274"/>
      <c r="Z7" s="274"/>
      <c r="AA7" s="274"/>
      <c r="AB7" s="274"/>
      <c r="AC7" s="274"/>
      <c r="AD7" s="274"/>
      <c r="AE7" s="274"/>
      <c r="AF7" s="274"/>
      <c r="AG7" s="274"/>
      <c r="AH7" s="274"/>
      <c r="AI7" s="274"/>
      <c r="AJ7" s="274"/>
      <c r="AK7" s="274"/>
      <c r="AL7" s="274"/>
      <c r="AM7" s="274"/>
      <c r="AN7" s="274"/>
      <c r="AO7" s="274"/>
      <c r="AP7" s="274"/>
      <c r="AQ7" s="274"/>
      <c r="AR7" s="274"/>
      <c r="AS7" s="274"/>
      <c r="AT7" s="274"/>
      <c r="AU7" s="274"/>
      <c r="AV7" s="274"/>
      <c r="AW7" s="75"/>
      <c r="AX7" s="75"/>
      <c r="AY7" s="75"/>
      <c r="AZ7" s="75"/>
      <c r="BA7" s="75"/>
      <c r="BB7" s="75"/>
      <c r="BC7" s="75"/>
      <c r="BD7" s="75"/>
      <c r="BE7" s="75"/>
      <c r="BF7" s="75"/>
      <c r="BG7" s="75"/>
      <c r="BH7" s="75"/>
      <c r="BI7" s="75"/>
      <c r="BJ7" s="75"/>
      <c r="BK7" s="75"/>
    </row>
    <row r="8" spans="1:63" x14ac:dyDescent="0.25">
      <c r="A8" s="67" t="s">
        <v>1016</v>
      </c>
      <c r="B8" s="67">
        <v>60</v>
      </c>
      <c r="C8" s="67" t="s">
        <v>1147</v>
      </c>
      <c r="D8" s="75">
        <v>1.2</v>
      </c>
      <c r="E8" s="75">
        <v>1.26</v>
      </c>
      <c r="F8" s="75">
        <v>1.29</v>
      </c>
      <c r="G8" s="75">
        <v>1.32</v>
      </c>
      <c r="H8" s="75">
        <v>1.35</v>
      </c>
      <c r="I8" s="75">
        <v>1.38</v>
      </c>
      <c r="J8" s="75">
        <v>1.41</v>
      </c>
      <c r="K8" s="75">
        <v>1.44</v>
      </c>
      <c r="L8" s="75">
        <v>1.47</v>
      </c>
      <c r="M8" s="75">
        <v>1.5</v>
      </c>
      <c r="N8" s="75">
        <v>1.54</v>
      </c>
      <c r="O8" s="75">
        <v>1.58</v>
      </c>
      <c r="P8" s="75">
        <v>1.62</v>
      </c>
      <c r="Q8" s="75">
        <v>1.66</v>
      </c>
      <c r="R8" s="75">
        <v>1.7</v>
      </c>
      <c r="S8" s="75">
        <v>1.74</v>
      </c>
      <c r="T8" s="75">
        <v>1.78</v>
      </c>
      <c r="U8" s="75">
        <v>1.82</v>
      </c>
      <c r="V8" s="75">
        <v>1.86</v>
      </c>
      <c r="W8" s="75">
        <v>1.9</v>
      </c>
      <c r="X8" s="75">
        <v>1.95</v>
      </c>
      <c r="Y8" s="75">
        <v>2</v>
      </c>
      <c r="Z8" s="75">
        <v>2.0499999999999998</v>
      </c>
      <c r="AA8" s="75">
        <v>2.1</v>
      </c>
      <c r="AB8" s="75">
        <v>2.15</v>
      </c>
      <c r="AC8" s="75">
        <v>2.2000000000000002</v>
      </c>
      <c r="AD8" s="75">
        <v>2.25</v>
      </c>
      <c r="AE8" s="75">
        <v>2.2999999999999998</v>
      </c>
      <c r="AF8" s="75">
        <v>2.35</v>
      </c>
      <c r="AG8" s="75">
        <v>2.4</v>
      </c>
      <c r="AH8" s="75">
        <v>2.46</v>
      </c>
      <c r="AI8" s="75">
        <v>2.52</v>
      </c>
      <c r="AJ8" s="75">
        <v>2.58</v>
      </c>
      <c r="AK8" s="75">
        <v>2.64</v>
      </c>
      <c r="AL8" s="75">
        <v>2.7</v>
      </c>
      <c r="AM8" s="75">
        <v>2.76</v>
      </c>
      <c r="AN8" s="75">
        <v>2.82</v>
      </c>
      <c r="AO8" s="75">
        <v>2.88</v>
      </c>
      <c r="AP8" s="75">
        <v>2.94</v>
      </c>
      <c r="AQ8" s="75">
        <v>3</v>
      </c>
      <c r="AR8" s="75">
        <v>3.08</v>
      </c>
      <c r="AS8" s="75">
        <v>3.15</v>
      </c>
      <c r="AT8" s="75">
        <v>3.23</v>
      </c>
      <c r="AU8" s="75">
        <v>3.3</v>
      </c>
      <c r="AV8" s="75">
        <v>3.38</v>
      </c>
      <c r="AW8" s="75">
        <v>3.45</v>
      </c>
      <c r="AX8" s="75">
        <v>3.53</v>
      </c>
      <c r="AY8" s="75">
        <v>3.6</v>
      </c>
      <c r="AZ8" s="75">
        <v>3.68</v>
      </c>
      <c r="BA8" s="75">
        <v>3.75</v>
      </c>
      <c r="BB8" s="75">
        <v>3.85</v>
      </c>
      <c r="BC8" s="75">
        <v>3.95</v>
      </c>
      <c r="BD8" s="75">
        <v>4.05</v>
      </c>
      <c r="BE8" s="75">
        <v>4.1500000000000004</v>
      </c>
      <c r="BF8" s="75">
        <v>4.25</v>
      </c>
      <c r="BG8" s="75">
        <v>4.3499999999999996</v>
      </c>
      <c r="BH8" s="75">
        <v>4.5</v>
      </c>
      <c r="BI8" s="75">
        <v>4.6500000000000004</v>
      </c>
      <c r="BJ8" s="75">
        <v>4.8</v>
      </c>
      <c r="BK8" s="75">
        <v>5</v>
      </c>
    </row>
    <row r="9" spans="1:63" x14ac:dyDescent="0.25">
      <c r="A9" s="67" t="s">
        <v>962</v>
      </c>
      <c r="B9" s="67">
        <v>60</v>
      </c>
      <c r="D9" s="274">
        <v>0</v>
      </c>
      <c r="E9" s="274">
        <v>0</v>
      </c>
      <c r="F9" s="274">
        <v>0</v>
      </c>
      <c r="G9" s="274">
        <v>0</v>
      </c>
      <c r="H9" s="274">
        <v>1</v>
      </c>
      <c r="I9" s="274">
        <v>1</v>
      </c>
      <c r="J9" s="274">
        <v>1</v>
      </c>
      <c r="K9" s="274">
        <v>1</v>
      </c>
      <c r="L9" s="274">
        <v>1</v>
      </c>
      <c r="M9" s="274">
        <v>2</v>
      </c>
      <c r="N9" s="274">
        <v>2</v>
      </c>
      <c r="O9" s="274">
        <v>2</v>
      </c>
      <c r="P9" s="274">
        <v>2</v>
      </c>
      <c r="Q9" s="274">
        <v>2</v>
      </c>
      <c r="R9" s="274">
        <v>2</v>
      </c>
      <c r="S9" s="274">
        <v>2</v>
      </c>
      <c r="T9" s="274">
        <v>2</v>
      </c>
      <c r="U9" s="274">
        <v>2</v>
      </c>
      <c r="V9" s="274">
        <v>2</v>
      </c>
      <c r="W9" s="274">
        <v>3</v>
      </c>
      <c r="X9" s="274">
        <v>3</v>
      </c>
      <c r="Y9" s="274">
        <v>3</v>
      </c>
      <c r="Z9" s="274">
        <v>3</v>
      </c>
      <c r="AA9" s="274">
        <v>3</v>
      </c>
      <c r="AB9" s="274">
        <v>3</v>
      </c>
      <c r="AC9" s="274">
        <v>3</v>
      </c>
      <c r="AD9" s="274">
        <v>3</v>
      </c>
      <c r="AE9" s="274">
        <v>3</v>
      </c>
      <c r="AF9" s="274">
        <v>3</v>
      </c>
      <c r="AG9" s="274">
        <v>3</v>
      </c>
      <c r="AH9" s="274">
        <v>3</v>
      </c>
      <c r="AI9" s="274">
        <v>3</v>
      </c>
      <c r="AJ9" s="274">
        <v>3</v>
      </c>
      <c r="AK9" s="274">
        <v>3</v>
      </c>
      <c r="AL9" s="274">
        <v>4</v>
      </c>
      <c r="AM9" s="274">
        <v>4</v>
      </c>
      <c r="AN9" s="274">
        <v>4</v>
      </c>
      <c r="AO9" s="274">
        <v>4</v>
      </c>
      <c r="AP9" s="274">
        <v>4</v>
      </c>
      <c r="AQ9" s="274">
        <v>4</v>
      </c>
      <c r="AR9" s="274">
        <v>4</v>
      </c>
      <c r="AS9" s="274">
        <v>4</v>
      </c>
      <c r="AT9" s="274">
        <v>4</v>
      </c>
      <c r="AU9" s="274">
        <v>4</v>
      </c>
      <c r="AV9" s="274">
        <v>4</v>
      </c>
      <c r="AW9" s="274">
        <v>4</v>
      </c>
      <c r="AX9" s="274">
        <v>4</v>
      </c>
      <c r="AY9" s="274">
        <v>4</v>
      </c>
      <c r="AZ9" s="274">
        <v>4</v>
      </c>
      <c r="BA9" s="274">
        <v>4</v>
      </c>
      <c r="BB9" s="274">
        <v>4</v>
      </c>
      <c r="BC9" s="274">
        <v>4</v>
      </c>
      <c r="BD9" s="274">
        <v>4</v>
      </c>
      <c r="BE9" s="274">
        <v>4</v>
      </c>
      <c r="BF9" s="274">
        <v>5</v>
      </c>
      <c r="BG9" s="274">
        <v>5</v>
      </c>
      <c r="BH9" s="274">
        <v>5</v>
      </c>
      <c r="BI9" s="274">
        <v>5</v>
      </c>
      <c r="BJ9" s="274">
        <v>5</v>
      </c>
      <c r="BK9" s="274">
        <v>5</v>
      </c>
    </row>
    <row r="10" spans="1:63" x14ac:dyDescent="0.25">
      <c r="A10" s="67" t="s">
        <v>1289</v>
      </c>
      <c r="D10" s="45">
        <v>600</v>
      </c>
      <c r="E10" s="53">
        <v>0.35</v>
      </c>
      <c r="F10" s="45">
        <v>1200</v>
      </c>
      <c r="G10" s="53">
        <v>0.7</v>
      </c>
      <c r="H10" s="45">
        <v>1950</v>
      </c>
      <c r="I10" s="53">
        <v>1.05</v>
      </c>
      <c r="J10" s="45">
        <v>2700</v>
      </c>
      <c r="K10" s="53">
        <v>1.4</v>
      </c>
      <c r="L10" s="45">
        <v>3600</v>
      </c>
      <c r="M10" s="53">
        <v>1.75</v>
      </c>
      <c r="N10" s="45">
        <v>4800</v>
      </c>
      <c r="O10" s="53">
        <v>2.1</v>
      </c>
      <c r="P10" s="45">
        <v>6600</v>
      </c>
      <c r="Q10" s="53">
        <v>2.4500000000000002</v>
      </c>
      <c r="R10" s="45">
        <v>9000</v>
      </c>
      <c r="S10" s="53">
        <v>2.8</v>
      </c>
      <c r="T10" s="45">
        <v>12000</v>
      </c>
      <c r="U10" s="53">
        <v>3.15</v>
      </c>
      <c r="V10" s="45">
        <v>18000</v>
      </c>
      <c r="W10" s="53">
        <v>3.5</v>
      </c>
      <c r="X10" s="274"/>
      <c r="Y10" s="274"/>
      <c r="Z10" s="274"/>
      <c r="AA10" s="274"/>
      <c r="AB10" s="274"/>
      <c r="AC10" s="274"/>
      <c r="AD10" s="274"/>
      <c r="AE10" s="274"/>
      <c r="AF10" s="274"/>
      <c r="AG10" s="274"/>
      <c r="AH10" s="274"/>
      <c r="AI10" s="274"/>
      <c r="AJ10" s="274"/>
      <c r="AK10" s="274"/>
      <c r="AL10" s="274"/>
      <c r="AM10" s="274"/>
      <c r="AN10" s="274"/>
      <c r="AO10" s="274"/>
      <c r="AP10" s="274"/>
      <c r="AQ10" s="274"/>
      <c r="AR10" s="274"/>
      <c r="AS10" s="274"/>
      <c r="AT10" s="274"/>
      <c r="AU10" s="274"/>
      <c r="AV10" s="274"/>
      <c r="AW10" s="274"/>
      <c r="AX10" s="274"/>
      <c r="AY10" s="274"/>
      <c r="AZ10" s="274"/>
      <c r="BA10" s="274"/>
      <c r="BB10" s="274"/>
      <c r="BC10" s="274"/>
      <c r="BD10" s="274"/>
      <c r="BE10" s="274"/>
      <c r="BF10" s="274"/>
      <c r="BG10" s="274"/>
      <c r="BH10" s="274"/>
      <c r="BI10" s="274"/>
      <c r="BJ10" s="274"/>
      <c r="BK10" s="274"/>
    </row>
    <row r="11" spans="1:63" x14ac:dyDescent="0.25">
      <c r="A11" s="67" t="s">
        <v>1017</v>
      </c>
      <c r="B11" s="67">
        <v>45</v>
      </c>
      <c r="C11" s="67" t="s">
        <v>1135</v>
      </c>
      <c r="D11" s="75">
        <v>0.1</v>
      </c>
      <c r="E11" s="75">
        <v>0.1</v>
      </c>
      <c r="F11" s="75">
        <v>0.11</v>
      </c>
      <c r="G11" s="75">
        <v>0.11</v>
      </c>
      <c r="H11" s="75">
        <v>0.12</v>
      </c>
      <c r="I11" s="75">
        <v>0.12</v>
      </c>
      <c r="J11" s="75">
        <v>0.13</v>
      </c>
      <c r="K11" s="75">
        <v>0.13</v>
      </c>
      <c r="L11" s="75">
        <v>0.14000000000000001</v>
      </c>
      <c r="M11" s="75">
        <v>0.14000000000000001</v>
      </c>
      <c r="N11" s="75">
        <v>0.15</v>
      </c>
      <c r="O11" s="75">
        <v>0.15</v>
      </c>
      <c r="P11" s="75">
        <v>0.16</v>
      </c>
      <c r="Q11" s="75">
        <v>0.16</v>
      </c>
      <c r="R11" s="75">
        <v>0.17</v>
      </c>
      <c r="S11" s="75">
        <v>0.17</v>
      </c>
      <c r="T11" s="75">
        <v>0.18</v>
      </c>
      <c r="U11" s="75">
        <v>0.18</v>
      </c>
      <c r="V11" s="75">
        <v>0.19</v>
      </c>
      <c r="W11" s="75">
        <v>0.19</v>
      </c>
      <c r="X11" s="75">
        <v>0.2</v>
      </c>
      <c r="Y11" s="75">
        <v>0.2</v>
      </c>
      <c r="Z11" s="75">
        <v>0.21</v>
      </c>
      <c r="AA11" s="75">
        <v>0.21</v>
      </c>
      <c r="AB11" s="75">
        <v>0.22</v>
      </c>
      <c r="AC11" s="75">
        <v>0.22</v>
      </c>
      <c r="AD11" s="75">
        <v>0.23</v>
      </c>
      <c r="AE11" s="75">
        <v>0.23</v>
      </c>
      <c r="AF11" s="75">
        <v>0.24</v>
      </c>
      <c r="AG11" s="75">
        <v>0.24</v>
      </c>
      <c r="AH11" s="75">
        <v>0.25</v>
      </c>
      <c r="AI11" s="75">
        <v>0.25</v>
      </c>
      <c r="AJ11" s="75">
        <v>0.26</v>
      </c>
      <c r="AK11" s="75">
        <v>0.26</v>
      </c>
      <c r="AL11" s="75">
        <v>0.27</v>
      </c>
      <c r="AM11" s="75">
        <v>0.27</v>
      </c>
      <c r="AN11" s="75">
        <v>0.28000000000000003</v>
      </c>
      <c r="AO11" s="75">
        <v>0.28000000000000003</v>
      </c>
      <c r="AP11" s="75">
        <v>0.28999999999999998</v>
      </c>
      <c r="AQ11" s="75">
        <v>0.28999999999999998</v>
      </c>
      <c r="AR11" s="75">
        <v>0.3</v>
      </c>
      <c r="AS11" s="75">
        <v>0.3</v>
      </c>
      <c r="AT11" s="75">
        <v>0.31</v>
      </c>
      <c r="AU11" s="75">
        <v>0.31</v>
      </c>
      <c r="AV11" s="75">
        <v>0.32</v>
      </c>
      <c r="AW11" s="75"/>
      <c r="AX11" s="75"/>
      <c r="AY11" s="75"/>
      <c r="AZ11" s="75"/>
      <c r="BA11" s="75"/>
      <c r="BB11" s="75"/>
      <c r="BC11" s="75"/>
      <c r="BD11" s="75"/>
      <c r="BE11" s="75"/>
      <c r="BF11" s="75"/>
      <c r="BG11" s="75"/>
      <c r="BH11" s="75"/>
      <c r="BI11" s="75"/>
      <c r="BJ11" s="75"/>
      <c r="BK11" s="75"/>
    </row>
    <row r="12" spans="1:63" x14ac:dyDescent="0.25">
      <c r="A12" s="67" t="s">
        <v>963</v>
      </c>
      <c r="B12" s="67">
        <v>45</v>
      </c>
      <c r="C12" s="274"/>
      <c r="D12" s="274">
        <v>0</v>
      </c>
      <c r="E12" s="274">
        <v>0</v>
      </c>
      <c r="F12" s="274">
        <v>0</v>
      </c>
      <c r="G12" s="274">
        <v>0</v>
      </c>
      <c r="H12" s="274">
        <v>1</v>
      </c>
      <c r="I12" s="274">
        <v>1</v>
      </c>
      <c r="J12" s="274">
        <v>1</v>
      </c>
      <c r="K12" s="274">
        <v>1</v>
      </c>
      <c r="L12" s="274">
        <v>1</v>
      </c>
      <c r="M12" s="274">
        <v>2</v>
      </c>
      <c r="N12" s="274">
        <v>2</v>
      </c>
      <c r="O12" s="274">
        <v>2</v>
      </c>
      <c r="P12" s="274">
        <v>2</v>
      </c>
      <c r="Q12" s="274">
        <v>2</v>
      </c>
      <c r="R12" s="274">
        <v>2</v>
      </c>
      <c r="S12" s="274">
        <v>2</v>
      </c>
      <c r="T12" s="274">
        <v>2</v>
      </c>
      <c r="U12" s="274">
        <v>2</v>
      </c>
      <c r="V12" s="274">
        <v>2</v>
      </c>
      <c r="W12" s="274">
        <v>3</v>
      </c>
      <c r="X12" s="274">
        <v>3</v>
      </c>
      <c r="Y12" s="274">
        <v>3</v>
      </c>
      <c r="Z12" s="274">
        <v>3</v>
      </c>
      <c r="AA12" s="274">
        <v>3</v>
      </c>
      <c r="AB12" s="274">
        <v>3</v>
      </c>
      <c r="AC12" s="274">
        <v>3</v>
      </c>
      <c r="AD12" s="274">
        <v>3</v>
      </c>
      <c r="AE12" s="274">
        <v>3</v>
      </c>
      <c r="AF12" s="274">
        <v>3</v>
      </c>
      <c r="AG12" s="274">
        <v>4</v>
      </c>
      <c r="AH12" s="274">
        <v>4</v>
      </c>
      <c r="AI12" s="274">
        <v>4</v>
      </c>
      <c r="AJ12" s="274">
        <v>4</v>
      </c>
      <c r="AK12" s="274">
        <v>4</v>
      </c>
      <c r="AL12" s="274">
        <v>5</v>
      </c>
      <c r="AM12" s="274">
        <v>5</v>
      </c>
      <c r="AN12" s="274">
        <v>5</v>
      </c>
      <c r="AO12" s="274">
        <v>5</v>
      </c>
      <c r="AP12" s="274">
        <v>5</v>
      </c>
      <c r="AQ12" s="274">
        <v>6</v>
      </c>
      <c r="AR12" s="274">
        <v>6</v>
      </c>
      <c r="AS12" s="274">
        <v>6</v>
      </c>
      <c r="AT12" s="274">
        <v>6</v>
      </c>
      <c r="AU12" s="274">
        <v>6</v>
      </c>
      <c r="AV12" s="274">
        <v>7</v>
      </c>
      <c r="AW12" s="75"/>
      <c r="AX12" s="75"/>
      <c r="AY12" s="75"/>
      <c r="AZ12" s="75"/>
      <c r="BA12" s="75"/>
      <c r="BB12" s="75"/>
      <c r="BC12" s="75"/>
      <c r="BD12" s="75"/>
      <c r="BE12" s="75"/>
      <c r="BF12" s="75"/>
      <c r="BG12" s="75"/>
      <c r="BH12" s="75"/>
      <c r="BI12" s="75"/>
      <c r="BJ12" s="75"/>
      <c r="BK12" s="75"/>
    </row>
    <row r="13" spans="1:63" x14ac:dyDescent="0.25">
      <c r="A13" s="67" t="s">
        <v>1290</v>
      </c>
      <c r="C13" s="274"/>
      <c r="D13" s="45">
        <v>140</v>
      </c>
      <c r="E13" s="53">
        <v>0.3</v>
      </c>
      <c r="F13" s="45">
        <v>280</v>
      </c>
      <c r="G13" s="53">
        <v>0.6</v>
      </c>
      <c r="H13" s="45">
        <v>455</v>
      </c>
      <c r="I13" s="53">
        <v>0.9</v>
      </c>
      <c r="J13" s="45">
        <v>630</v>
      </c>
      <c r="K13" s="53">
        <v>1.2</v>
      </c>
      <c r="L13" s="45">
        <v>840</v>
      </c>
      <c r="M13" s="53">
        <v>1.5</v>
      </c>
      <c r="N13" s="45">
        <v>1120</v>
      </c>
      <c r="O13" s="53">
        <v>1.8</v>
      </c>
      <c r="P13" s="45">
        <v>1540</v>
      </c>
      <c r="Q13" s="53">
        <v>2.1</v>
      </c>
      <c r="R13" s="45">
        <v>2100</v>
      </c>
      <c r="S13" s="53">
        <v>2.4</v>
      </c>
      <c r="T13" s="45">
        <v>2800</v>
      </c>
      <c r="U13" s="53">
        <v>2.7</v>
      </c>
      <c r="V13" s="45">
        <v>4200</v>
      </c>
      <c r="W13" s="53">
        <v>3</v>
      </c>
      <c r="X13" s="274"/>
      <c r="Y13" s="274"/>
      <c r="Z13" s="274"/>
      <c r="AA13" s="274"/>
      <c r="AB13" s="274"/>
      <c r="AC13" s="274"/>
      <c r="AD13" s="274"/>
      <c r="AE13" s="274"/>
      <c r="AF13" s="274"/>
      <c r="AG13" s="274"/>
      <c r="AH13" s="274"/>
      <c r="AI13" s="274"/>
      <c r="AJ13" s="274"/>
      <c r="AK13" s="274"/>
      <c r="AL13" s="274"/>
      <c r="AM13" s="274"/>
      <c r="AN13" s="274"/>
      <c r="AO13" s="274"/>
      <c r="AP13" s="274"/>
      <c r="AQ13" s="274"/>
      <c r="AR13" s="274"/>
      <c r="AS13" s="274"/>
      <c r="AT13" s="274"/>
      <c r="AU13" s="274"/>
      <c r="AV13" s="274"/>
      <c r="AW13" s="75"/>
      <c r="AX13" s="75"/>
      <c r="AY13" s="75"/>
      <c r="AZ13" s="75"/>
      <c r="BA13" s="75"/>
      <c r="BB13" s="75"/>
      <c r="BC13" s="75"/>
      <c r="BD13" s="75"/>
      <c r="BE13" s="75"/>
      <c r="BF13" s="75"/>
      <c r="BG13" s="75"/>
      <c r="BH13" s="75"/>
      <c r="BI13" s="75"/>
      <c r="BJ13" s="75"/>
      <c r="BK13" s="75"/>
    </row>
    <row r="14" spans="1:63" x14ac:dyDescent="0.25">
      <c r="A14" s="67" t="s">
        <v>1018</v>
      </c>
      <c r="B14" s="67">
        <v>45</v>
      </c>
      <c r="C14" s="67" t="s">
        <v>1126</v>
      </c>
      <c r="D14" s="75">
        <v>265</v>
      </c>
      <c r="E14" s="75">
        <v>268.5</v>
      </c>
      <c r="F14" s="75">
        <v>272</v>
      </c>
      <c r="G14" s="75">
        <v>275</v>
      </c>
      <c r="H14" s="75">
        <v>278</v>
      </c>
      <c r="I14" s="75">
        <v>281.5</v>
      </c>
      <c r="J14" s="75">
        <v>285</v>
      </c>
      <c r="K14" s="75">
        <v>288</v>
      </c>
      <c r="L14" s="75">
        <v>291</v>
      </c>
      <c r="M14" s="75">
        <v>294.5</v>
      </c>
      <c r="N14" s="75">
        <v>298</v>
      </c>
      <c r="O14" s="75">
        <v>301.25</v>
      </c>
      <c r="P14" s="75">
        <v>304.5</v>
      </c>
      <c r="Q14" s="75">
        <v>308</v>
      </c>
      <c r="R14" s="75">
        <v>311</v>
      </c>
      <c r="S14" s="75">
        <v>314.5</v>
      </c>
      <c r="T14" s="75">
        <v>318</v>
      </c>
      <c r="U14" s="75">
        <v>321</v>
      </c>
      <c r="V14" s="75">
        <v>324</v>
      </c>
      <c r="W14" s="75">
        <v>327.5</v>
      </c>
      <c r="X14" s="75">
        <v>331</v>
      </c>
      <c r="Y14" s="75">
        <v>334.5</v>
      </c>
      <c r="Z14" s="75">
        <v>337.5</v>
      </c>
      <c r="AA14" s="75">
        <v>341</v>
      </c>
      <c r="AB14" s="75">
        <v>344</v>
      </c>
      <c r="AC14" s="75">
        <v>347.5</v>
      </c>
      <c r="AD14" s="75">
        <v>351</v>
      </c>
      <c r="AE14" s="75">
        <v>354</v>
      </c>
      <c r="AF14" s="75">
        <v>357</v>
      </c>
      <c r="AG14" s="75">
        <v>360</v>
      </c>
      <c r="AH14" s="75">
        <v>363.5</v>
      </c>
      <c r="AI14" s="75">
        <v>367</v>
      </c>
      <c r="AJ14" s="75">
        <v>370.5</v>
      </c>
      <c r="AK14" s="75">
        <v>374</v>
      </c>
      <c r="AL14" s="75">
        <v>377</v>
      </c>
      <c r="AM14" s="75">
        <v>380.5</v>
      </c>
      <c r="AN14" s="75">
        <v>383.5</v>
      </c>
      <c r="AO14" s="75">
        <v>387</v>
      </c>
      <c r="AP14" s="75">
        <v>390.5</v>
      </c>
      <c r="AQ14" s="75">
        <v>393.5</v>
      </c>
      <c r="AR14" s="75">
        <v>397</v>
      </c>
      <c r="AS14" s="75">
        <v>400</v>
      </c>
      <c r="AT14" s="75">
        <v>403.5</v>
      </c>
      <c r="AU14" s="75">
        <v>407</v>
      </c>
      <c r="AV14" s="75">
        <v>410</v>
      </c>
      <c r="AW14" s="75"/>
      <c r="AX14" s="75"/>
      <c r="AY14" s="75"/>
      <c r="AZ14" s="75"/>
      <c r="BA14" s="75"/>
      <c r="BB14" s="75"/>
      <c r="BC14" s="75"/>
      <c r="BD14" s="75"/>
      <c r="BE14" s="75"/>
      <c r="BF14" s="75"/>
      <c r="BG14" s="75"/>
      <c r="BH14" s="75"/>
      <c r="BI14" s="75"/>
      <c r="BJ14" s="75"/>
      <c r="BK14" s="75"/>
    </row>
    <row r="15" spans="1:63" x14ac:dyDescent="0.25">
      <c r="A15" s="67" t="s">
        <v>964</v>
      </c>
      <c r="B15" s="67">
        <v>45</v>
      </c>
      <c r="D15" s="274">
        <v>0</v>
      </c>
      <c r="E15" s="274">
        <v>0</v>
      </c>
      <c r="F15" s="274">
        <v>0</v>
      </c>
      <c r="G15" s="274">
        <v>0</v>
      </c>
      <c r="H15" s="274">
        <v>1</v>
      </c>
      <c r="I15" s="274">
        <v>1</v>
      </c>
      <c r="J15" s="274">
        <v>1</v>
      </c>
      <c r="K15" s="274">
        <v>1</v>
      </c>
      <c r="L15" s="274">
        <v>1</v>
      </c>
      <c r="M15" s="274">
        <v>2</v>
      </c>
      <c r="N15" s="274">
        <v>2</v>
      </c>
      <c r="O15" s="274">
        <v>2</v>
      </c>
      <c r="P15" s="274">
        <v>2</v>
      </c>
      <c r="Q15" s="274">
        <v>2</v>
      </c>
      <c r="R15" s="274">
        <v>3</v>
      </c>
      <c r="S15" s="274">
        <v>3</v>
      </c>
      <c r="T15" s="274">
        <v>3</v>
      </c>
      <c r="U15" s="274">
        <v>3</v>
      </c>
      <c r="V15" s="274">
        <v>3</v>
      </c>
      <c r="W15" s="274">
        <v>3</v>
      </c>
      <c r="X15" s="274">
        <v>3</v>
      </c>
      <c r="Y15" s="274">
        <v>3</v>
      </c>
      <c r="Z15" s="274">
        <v>3</v>
      </c>
      <c r="AA15" s="274">
        <v>3</v>
      </c>
      <c r="AB15" s="274">
        <v>4</v>
      </c>
      <c r="AC15" s="274">
        <v>4</v>
      </c>
      <c r="AD15" s="274">
        <v>4</v>
      </c>
      <c r="AE15" s="274">
        <v>4</v>
      </c>
      <c r="AF15" s="274">
        <v>4</v>
      </c>
      <c r="AG15" s="274">
        <v>4</v>
      </c>
      <c r="AH15" s="274">
        <v>4</v>
      </c>
      <c r="AI15" s="274">
        <v>4</v>
      </c>
      <c r="AJ15" s="274">
        <v>4</v>
      </c>
      <c r="AK15" s="274">
        <v>4</v>
      </c>
      <c r="AL15" s="274">
        <v>5</v>
      </c>
      <c r="AM15" s="274">
        <v>5</v>
      </c>
      <c r="AN15" s="274">
        <v>5</v>
      </c>
      <c r="AO15" s="274">
        <v>5</v>
      </c>
      <c r="AP15" s="274">
        <v>5</v>
      </c>
      <c r="AQ15" s="274">
        <v>5</v>
      </c>
      <c r="AR15" s="274">
        <v>5</v>
      </c>
      <c r="AS15" s="274">
        <v>5</v>
      </c>
      <c r="AT15" s="274">
        <v>5</v>
      </c>
      <c r="AU15" s="274">
        <v>5</v>
      </c>
      <c r="AV15" s="274">
        <v>6</v>
      </c>
      <c r="AW15" s="75"/>
      <c r="AX15" s="75"/>
      <c r="AY15" s="75"/>
      <c r="AZ15" s="75"/>
      <c r="BA15" s="75"/>
      <c r="BB15" s="75"/>
      <c r="BC15" s="75"/>
      <c r="BD15" s="75"/>
      <c r="BE15" s="75"/>
      <c r="BF15" s="75"/>
      <c r="BG15" s="75"/>
      <c r="BH15" s="75"/>
      <c r="BI15" s="75"/>
      <c r="BJ15" s="75"/>
      <c r="BK15" s="75"/>
    </row>
    <row r="16" spans="1:63" x14ac:dyDescent="0.25">
      <c r="A16" s="67" t="s">
        <v>1291</v>
      </c>
      <c r="D16" s="45">
        <v>100</v>
      </c>
      <c r="E16" s="53">
        <v>0.25</v>
      </c>
      <c r="F16" s="45">
        <v>200</v>
      </c>
      <c r="G16" s="53">
        <v>0.5</v>
      </c>
      <c r="H16" s="45">
        <v>325</v>
      </c>
      <c r="I16" s="53">
        <v>0.75</v>
      </c>
      <c r="J16" s="45">
        <v>450</v>
      </c>
      <c r="K16" s="53">
        <v>1</v>
      </c>
      <c r="L16" s="45">
        <v>600</v>
      </c>
      <c r="M16" s="53">
        <v>1.25</v>
      </c>
      <c r="N16" s="45">
        <v>800</v>
      </c>
      <c r="O16" s="53">
        <v>1.5</v>
      </c>
      <c r="P16" s="45">
        <v>1100</v>
      </c>
      <c r="Q16" s="53">
        <v>1.75</v>
      </c>
      <c r="R16" s="45">
        <v>1500</v>
      </c>
      <c r="S16" s="53">
        <v>2</v>
      </c>
      <c r="T16" s="45">
        <v>2000</v>
      </c>
      <c r="U16" s="53">
        <v>2.25</v>
      </c>
      <c r="V16" s="45">
        <v>3000</v>
      </c>
      <c r="W16" s="53">
        <v>2.5</v>
      </c>
      <c r="X16" s="274"/>
      <c r="Y16" s="274"/>
      <c r="Z16" s="274"/>
      <c r="AA16" s="274"/>
      <c r="AB16" s="274"/>
      <c r="AC16" s="274"/>
      <c r="AD16" s="274"/>
      <c r="AE16" s="274"/>
      <c r="AF16" s="274"/>
      <c r="AG16" s="274"/>
      <c r="AH16" s="274"/>
      <c r="AI16" s="274"/>
      <c r="AJ16" s="274"/>
      <c r="AK16" s="274"/>
      <c r="AL16" s="274"/>
      <c r="AM16" s="274"/>
      <c r="AN16" s="274"/>
      <c r="AO16" s="274"/>
      <c r="AP16" s="274"/>
      <c r="AQ16" s="274"/>
      <c r="AR16" s="274"/>
      <c r="AS16" s="274"/>
      <c r="AT16" s="274"/>
      <c r="AU16" s="274"/>
      <c r="AV16" s="274"/>
      <c r="AW16" s="75"/>
      <c r="AX16" s="75"/>
      <c r="AY16" s="75"/>
      <c r="AZ16" s="75"/>
      <c r="BA16" s="75"/>
      <c r="BB16" s="75"/>
      <c r="BC16" s="75"/>
      <c r="BD16" s="75"/>
      <c r="BE16" s="75"/>
      <c r="BF16" s="75"/>
      <c r="BG16" s="75"/>
      <c r="BH16" s="75"/>
      <c r="BI16" s="75"/>
      <c r="BJ16" s="75"/>
      <c r="BK16" s="75"/>
    </row>
    <row r="17" spans="1:63" x14ac:dyDescent="0.25">
      <c r="A17" s="67" t="s">
        <v>1019</v>
      </c>
      <c r="B17" s="67">
        <v>45</v>
      </c>
      <c r="C17" s="67" t="s">
        <v>1139</v>
      </c>
      <c r="D17" s="75">
        <v>0.15</v>
      </c>
      <c r="E17" s="75">
        <v>0.15</v>
      </c>
      <c r="F17" s="75">
        <v>0.16</v>
      </c>
      <c r="G17" s="75">
        <v>0.16</v>
      </c>
      <c r="H17" s="75">
        <v>0.17</v>
      </c>
      <c r="I17" s="75">
        <v>0.17</v>
      </c>
      <c r="J17" s="75">
        <v>0.17</v>
      </c>
      <c r="K17" s="75">
        <v>0.18</v>
      </c>
      <c r="L17" s="75">
        <v>0.18</v>
      </c>
      <c r="M17" s="75">
        <v>0.19</v>
      </c>
      <c r="N17" s="75">
        <v>0.19</v>
      </c>
      <c r="O17" s="75">
        <v>0.19</v>
      </c>
      <c r="P17" s="75">
        <v>0.2</v>
      </c>
      <c r="Q17" s="75">
        <v>0.2</v>
      </c>
      <c r="R17" s="75">
        <v>0.21</v>
      </c>
      <c r="S17" s="75">
        <v>0.21</v>
      </c>
      <c r="T17" s="75">
        <v>0.21</v>
      </c>
      <c r="U17" s="75">
        <v>0.22</v>
      </c>
      <c r="V17" s="75">
        <v>0.22</v>
      </c>
      <c r="W17" s="75">
        <v>0.23</v>
      </c>
      <c r="X17" s="75">
        <v>0.23</v>
      </c>
      <c r="Y17" s="75">
        <v>0.23</v>
      </c>
      <c r="Z17" s="75">
        <v>0.24</v>
      </c>
      <c r="AA17" s="75">
        <v>0.24</v>
      </c>
      <c r="AB17" s="75">
        <v>0.25</v>
      </c>
      <c r="AC17" s="75">
        <v>0.25</v>
      </c>
      <c r="AD17" s="75">
        <v>0.25</v>
      </c>
      <c r="AE17" s="75">
        <v>0.26</v>
      </c>
      <c r="AF17" s="75">
        <v>0.26</v>
      </c>
      <c r="AG17" s="75">
        <v>0.27</v>
      </c>
      <c r="AH17" s="75">
        <v>0.27</v>
      </c>
      <c r="AI17" s="75">
        <v>0.27</v>
      </c>
      <c r="AJ17" s="75">
        <v>0.28000000000000003</v>
      </c>
      <c r="AK17" s="75">
        <v>0.28000000000000003</v>
      </c>
      <c r="AL17" s="75">
        <v>0.28999999999999998</v>
      </c>
      <c r="AM17" s="75">
        <v>0.28999999999999998</v>
      </c>
      <c r="AN17" s="75">
        <v>0.28999999999999998</v>
      </c>
      <c r="AO17" s="75">
        <v>0.3</v>
      </c>
      <c r="AP17" s="75">
        <v>0.3</v>
      </c>
      <c r="AQ17" s="75">
        <v>0.31</v>
      </c>
      <c r="AR17" s="75">
        <v>0.31</v>
      </c>
      <c r="AS17" s="75">
        <v>0.31</v>
      </c>
      <c r="AT17" s="75">
        <v>0.32</v>
      </c>
      <c r="AU17" s="75">
        <v>0.32</v>
      </c>
      <c r="AV17" s="75">
        <v>0.35</v>
      </c>
      <c r="AW17" s="75"/>
      <c r="AX17" s="75"/>
      <c r="AY17" s="75"/>
      <c r="AZ17" s="75"/>
      <c r="BA17" s="75"/>
      <c r="BB17" s="75"/>
      <c r="BC17" s="75"/>
      <c r="BD17" s="75"/>
      <c r="BE17" s="75"/>
      <c r="BF17" s="75"/>
      <c r="BG17" s="75"/>
      <c r="BH17" s="75"/>
      <c r="BI17" s="75"/>
      <c r="BJ17" s="75"/>
      <c r="BK17" s="75"/>
    </row>
    <row r="18" spans="1:63" x14ac:dyDescent="0.25">
      <c r="A18" s="67" t="s">
        <v>965</v>
      </c>
      <c r="B18" s="67">
        <v>45</v>
      </c>
      <c r="C18" s="274"/>
      <c r="D18" s="274">
        <v>0</v>
      </c>
      <c r="E18" s="274">
        <v>0</v>
      </c>
      <c r="F18" s="274">
        <v>0</v>
      </c>
      <c r="G18" s="274">
        <v>0</v>
      </c>
      <c r="H18" s="274">
        <v>1</v>
      </c>
      <c r="I18" s="274">
        <v>1</v>
      </c>
      <c r="J18" s="274">
        <v>1</v>
      </c>
      <c r="K18" s="274">
        <v>1</v>
      </c>
      <c r="L18" s="274">
        <v>1</v>
      </c>
      <c r="M18" s="274">
        <v>2</v>
      </c>
      <c r="N18" s="274">
        <v>2</v>
      </c>
      <c r="O18" s="274">
        <v>2</v>
      </c>
      <c r="P18" s="274">
        <v>2</v>
      </c>
      <c r="Q18" s="274">
        <v>2</v>
      </c>
      <c r="R18" s="274">
        <v>2</v>
      </c>
      <c r="S18" s="274">
        <v>2</v>
      </c>
      <c r="T18" s="274">
        <v>2</v>
      </c>
      <c r="U18" s="274">
        <v>2</v>
      </c>
      <c r="V18" s="274">
        <v>2</v>
      </c>
      <c r="W18" s="274">
        <v>3</v>
      </c>
      <c r="X18" s="274">
        <v>3</v>
      </c>
      <c r="Y18" s="274">
        <v>3</v>
      </c>
      <c r="Z18" s="274">
        <v>3</v>
      </c>
      <c r="AA18" s="274">
        <v>3</v>
      </c>
      <c r="AB18" s="274">
        <v>3</v>
      </c>
      <c r="AC18" s="274">
        <v>3</v>
      </c>
      <c r="AD18" s="274">
        <v>3</v>
      </c>
      <c r="AE18" s="274">
        <v>3</v>
      </c>
      <c r="AF18" s="274">
        <v>3</v>
      </c>
      <c r="AG18" s="274">
        <v>4</v>
      </c>
      <c r="AH18" s="274">
        <v>4</v>
      </c>
      <c r="AI18" s="274">
        <v>4</v>
      </c>
      <c r="AJ18" s="274">
        <v>4</v>
      </c>
      <c r="AK18" s="274">
        <v>4</v>
      </c>
      <c r="AL18" s="274">
        <v>5</v>
      </c>
      <c r="AM18" s="274">
        <v>5</v>
      </c>
      <c r="AN18" s="274">
        <v>5</v>
      </c>
      <c r="AO18" s="274">
        <v>5</v>
      </c>
      <c r="AP18" s="274">
        <v>5</v>
      </c>
      <c r="AQ18" s="274">
        <v>6</v>
      </c>
      <c r="AR18" s="274">
        <v>6</v>
      </c>
      <c r="AS18" s="274">
        <v>6</v>
      </c>
      <c r="AT18" s="274">
        <v>6</v>
      </c>
      <c r="AU18" s="274">
        <v>6</v>
      </c>
      <c r="AV18" s="274">
        <v>7</v>
      </c>
      <c r="AW18" s="75"/>
      <c r="AX18" s="75"/>
      <c r="AY18" s="75"/>
      <c r="AZ18" s="75"/>
      <c r="BA18" s="75"/>
      <c r="BB18" s="75"/>
      <c r="BC18" s="75"/>
      <c r="BD18" s="75"/>
      <c r="BE18" s="75"/>
      <c r="BF18" s="75"/>
      <c r="BG18" s="75"/>
      <c r="BH18" s="75"/>
      <c r="BI18" s="75"/>
      <c r="BJ18" s="75"/>
      <c r="BK18" s="75"/>
    </row>
    <row r="19" spans="1:63" x14ac:dyDescent="0.25">
      <c r="A19" s="67" t="s">
        <v>1292</v>
      </c>
      <c r="C19" s="274"/>
      <c r="D19" s="45">
        <v>200</v>
      </c>
      <c r="E19" s="53">
        <v>0.3</v>
      </c>
      <c r="F19" s="45">
        <v>400</v>
      </c>
      <c r="G19" s="53">
        <v>0.6</v>
      </c>
      <c r="H19" s="45">
        <v>650</v>
      </c>
      <c r="I19" s="53">
        <v>0.9</v>
      </c>
      <c r="J19" s="45">
        <v>900</v>
      </c>
      <c r="K19" s="53">
        <v>1.2</v>
      </c>
      <c r="L19" s="45">
        <v>1200</v>
      </c>
      <c r="M19" s="53">
        <v>1.5</v>
      </c>
      <c r="N19" s="45">
        <v>1600</v>
      </c>
      <c r="O19" s="53">
        <v>1.8</v>
      </c>
      <c r="P19" s="45">
        <v>2200</v>
      </c>
      <c r="Q19" s="53">
        <v>2.1</v>
      </c>
      <c r="R19" s="45">
        <v>3000</v>
      </c>
      <c r="S19" s="53">
        <v>2.4</v>
      </c>
      <c r="T19" s="45">
        <v>4000</v>
      </c>
      <c r="U19" s="53">
        <v>2.7</v>
      </c>
      <c r="V19" s="45">
        <v>6000</v>
      </c>
      <c r="W19" s="53">
        <v>3</v>
      </c>
      <c r="X19" s="274"/>
      <c r="Y19" s="274"/>
      <c r="Z19" s="274"/>
      <c r="AA19" s="274"/>
      <c r="AB19" s="274"/>
      <c r="AC19" s="274"/>
      <c r="AD19" s="274"/>
      <c r="AE19" s="274"/>
      <c r="AF19" s="274"/>
      <c r="AG19" s="274"/>
      <c r="AH19" s="274"/>
      <c r="AI19" s="274"/>
      <c r="AJ19" s="274"/>
      <c r="AK19" s="274"/>
      <c r="AL19" s="274"/>
      <c r="AM19" s="274"/>
      <c r="AN19" s="274"/>
      <c r="AO19" s="274"/>
      <c r="AP19" s="274"/>
      <c r="AQ19" s="274"/>
      <c r="AR19" s="274"/>
      <c r="AS19" s="274"/>
      <c r="AT19" s="274"/>
      <c r="AU19" s="274"/>
      <c r="AV19" s="274"/>
      <c r="AW19" s="75"/>
      <c r="AX19" s="75"/>
      <c r="AY19" s="75"/>
      <c r="AZ19" s="75"/>
      <c r="BA19" s="75"/>
      <c r="BB19" s="75"/>
      <c r="BC19" s="75"/>
      <c r="BD19" s="75"/>
      <c r="BE19" s="75"/>
      <c r="BF19" s="75"/>
      <c r="BG19" s="75"/>
      <c r="BH19" s="75"/>
      <c r="BI19" s="75"/>
      <c r="BJ19" s="75"/>
      <c r="BK19" s="75"/>
    </row>
    <row r="20" spans="1:63" x14ac:dyDescent="0.25">
      <c r="A20" s="67" t="s">
        <v>1020</v>
      </c>
      <c r="B20" s="67">
        <v>45</v>
      </c>
      <c r="C20" s="67" t="s">
        <v>1177</v>
      </c>
      <c r="D20" s="75">
        <v>0.2</v>
      </c>
      <c r="E20" s="75">
        <v>0.2</v>
      </c>
      <c r="F20" s="75">
        <v>0.22</v>
      </c>
      <c r="G20" s="75">
        <v>0.22</v>
      </c>
      <c r="H20" s="75">
        <v>0.23</v>
      </c>
      <c r="I20" s="75">
        <v>0.24</v>
      </c>
      <c r="J20" s="75">
        <v>0.25</v>
      </c>
      <c r="K20" s="75">
        <v>0.25</v>
      </c>
      <c r="L20" s="75">
        <v>0.26</v>
      </c>
      <c r="M20" s="75">
        <v>0.27</v>
      </c>
      <c r="N20" s="75">
        <v>0.28000000000000003</v>
      </c>
      <c r="O20" s="75">
        <v>0.28999999999999998</v>
      </c>
      <c r="P20" s="75">
        <v>0.28999999999999998</v>
      </c>
      <c r="Q20" s="75">
        <v>0.3</v>
      </c>
      <c r="R20" s="75">
        <v>0.31</v>
      </c>
      <c r="S20" s="75">
        <v>0.32</v>
      </c>
      <c r="T20" s="75">
        <v>0.33</v>
      </c>
      <c r="U20" s="75">
        <v>0.33</v>
      </c>
      <c r="V20" s="75">
        <v>0.34</v>
      </c>
      <c r="W20" s="75">
        <v>0.35</v>
      </c>
      <c r="X20" s="75">
        <v>0.36</v>
      </c>
      <c r="Y20" s="75">
        <v>0.37</v>
      </c>
      <c r="Z20" s="75">
        <v>0.37</v>
      </c>
      <c r="AA20" s="75">
        <v>0.38</v>
      </c>
      <c r="AB20" s="75">
        <v>0.39</v>
      </c>
      <c r="AC20" s="75">
        <v>0.4</v>
      </c>
      <c r="AD20" s="75">
        <v>0.41</v>
      </c>
      <c r="AE20" s="75">
        <v>0.41</v>
      </c>
      <c r="AF20" s="75">
        <v>0.42</v>
      </c>
      <c r="AG20" s="75">
        <v>0.43</v>
      </c>
      <c r="AH20" s="75">
        <v>0.44</v>
      </c>
      <c r="AI20" s="75">
        <v>0.45</v>
      </c>
      <c r="AJ20" s="75">
        <v>0.45</v>
      </c>
      <c r="AK20" s="75">
        <v>0.46</v>
      </c>
      <c r="AL20" s="75">
        <v>0.47</v>
      </c>
      <c r="AM20" s="75">
        <v>0.48</v>
      </c>
      <c r="AN20" s="75">
        <v>0.49</v>
      </c>
      <c r="AO20" s="75">
        <v>0.49</v>
      </c>
      <c r="AP20" s="75">
        <v>0.5</v>
      </c>
      <c r="AQ20" s="75">
        <v>0.51</v>
      </c>
      <c r="AR20" s="75">
        <v>0.52</v>
      </c>
      <c r="AS20" s="75">
        <v>0.53</v>
      </c>
      <c r="AT20" s="75">
        <v>0.53</v>
      </c>
      <c r="AU20" s="75">
        <v>0.55000000000000004</v>
      </c>
      <c r="AV20" s="75">
        <v>0.6</v>
      </c>
      <c r="AW20" s="75"/>
      <c r="AX20" s="75"/>
      <c r="AY20" s="75"/>
      <c r="AZ20" s="75"/>
      <c r="BA20" s="75"/>
      <c r="BB20" s="75"/>
      <c r="BC20" s="75"/>
      <c r="BD20" s="75"/>
      <c r="BE20" s="75"/>
      <c r="BF20" s="75"/>
      <c r="BG20" s="75"/>
      <c r="BH20" s="75"/>
      <c r="BI20" s="75"/>
      <c r="BJ20" s="75"/>
      <c r="BK20" s="75"/>
    </row>
    <row r="21" spans="1:63" x14ac:dyDescent="0.25">
      <c r="A21" s="67" t="s">
        <v>966</v>
      </c>
      <c r="B21" s="67">
        <v>45</v>
      </c>
      <c r="D21" s="274">
        <v>0</v>
      </c>
      <c r="E21" s="274">
        <v>0</v>
      </c>
      <c r="F21" s="274">
        <v>0</v>
      </c>
      <c r="G21" s="274">
        <v>0</v>
      </c>
      <c r="H21" s="274">
        <v>1</v>
      </c>
      <c r="I21" s="274">
        <v>1</v>
      </c>
      <c r="J21" s="274">
        <v>1</v>
      </c>
      <c r="K21" s="274">
        <v>1</v>
      </c>
      <c r="L21" s="274">
        <v>1</v>
      </c>
      <c r="M21" s="274">
        <v>2</v>
      </c>
      <c r="N21" s="274">
        <v>2</v>
      </c>
      <c r="O21" s="274">
        <v>2</v>
      </c>
      <c r="P21" s="274">
        <v>2</v>
      </c>
      <c r="Q21" s="274">
        <v>2</v>
      </c>
      <c r="R21" s="274">
        <v>2</v>
      </c>
      <c r="S21" s="274">
        <v>2</v>
      </c>
      <c r="T21" s="274">
        <v>2</v>
      </c>
      <c r="U21" s="274">
        <v>2</v>
      </c>
      <c r="V21" s="274">
        <v>2</v>
      </c>
      <c r="W21" s="274">
        <v>3</v>
      </c>
      <c r="X21" s="274">
        <v>3</v>
      </c>
      <c r="Y21" s="274">
        <v>3</v>
      </c>
      <c r="Z21" s="274">
        <v>3</v>
      </c>
      <c r="AA21" s="274">
        <v>3</v>
      </c>
      <c r="AB21" s="274">
        <v>3</v>
      </c>
      <c r="AC21" s="274">
        <v>3</v>
      </c>
      <c r="AD21" s="274">
        <v>3</v>
      </c>
      <c r="AE21" s="274">
        <v>3</v>
      </c>
      <c r="AF21" s="274">
        <v>3</v>
      </c>
      <c r="AG21" s="274">
        <v>4</v>
      </c>
      <c r="AH21" s="274">
        <v>4</v>
      </c>
      <c r="AI21" s="274">
        <v>4</v>
      </c>
      <c r="AJ21" s="274">
        <v>4</v>
      </c>
      <c r="AK21" s="274">
        <v>4</v>
      </c>
      <c r="AL21" s="274">
        <v>5</v>
      </c>
      <c r="AM21" s="274">
        <v>5</v>
      </c>
      <c r="AN21" s="274">
        <v>5</v>
      </c>
      <c r="AO21" s="274">
        <v>5</v>
      </c>
      <c r="AP21" s="274">
        <v>5</v>
      </c>
      <c r="AQ21" s="274">
        <v>6</v>
      </c>
      <c r="AR21" s="274">
        <v>6</v>
      </c>
      <c r="AS21" s="274">
        <v>6</v>
      </c>
      <c r="AT21" s="274">
        <v>6</v>
      </c>
      <c r="AU21" s="274">
        <v>6</v>
      </c>
      <c r="AV21" s="274">
        <v>7</v>
      </c>
      <c r="AW21" s="75"/>
      <c r="AX21" s="75"/>
      <c r="AY21" s="75"/>
      <c r="AZ21" s="75"/>
      <c r="BA21" s="75"/>
      <c r="BB21" s="75"/>
      <c r="BC21" s="75"/>
      <c r="BD21" s="75"/>
      <c r="BE21" s="75"/>
      <c r="BF21" s="75"/>
      <c r="BG21" s="75"/>
      <c r="BH21" s="75"/>
      <c r="BI21" s="75"/>
      <c r="BJ21" s="75"/>
      <c r="BK21" s="75"/>
    </row>
    <row r="22" spans="1:63" x14ac:dyDescent="0.25">
      <c r="A22" s="67" t="s">
        <v>1293</v>
      </c>
      <c r="D22" s="45">
        <v>140</v>
      </c>
      <c r="E22" s="53">
        <v>0.3</v>
      </c>
      <c r="F22" s="45">
        <v>280</v>
      </c>
      <c r="G22" s="53">
        <v>0.6</v>
      </c>
      <c r="H22" s="45">
        <v>455</v>
      </c>
      <c r="I22" s="53">
        <v>0.9</v>
      </c>
      <c r="J22" s="45">
        <v>630</v>
      </c>
      <c r="K22" s="53">
        <v>1.2</v>
      </c>
      <c r="L22" s="45">
        <v>840</v>
      </c>
      <c r="M22" s="53">
        <v>1.5</v>
      </c>
      <c r="N22" s="45">
        <v>1120</v>
      </c>
      <c r="O22" s="53">
        <v>1.8</v>
      </c>
      <c r="P22" s="45">
        <v>1540</v>
      </c>
      <c r="Q22" s="53">
        <v>2.1</v>
      </c>
      <c r="R22" s="45">
        <v>2100</v>
      </c>
      <c r="S22" s="53">
        <v>2.4</v>
      </c>
      <c r="T22" s="45">
        <v>2800</v>
      </c>
      <c r="U22" s="53">
        <v>2.7</v>
      </c>
      <c r="V22" s="45">
        <v>4200</v>
      </c>
      <c r="W22" s="53">
        <v>3</v>
      </c>
      <c r="X22" s="274"/>
      <c r="Y22" s="274"/>
      <c r="Z22" s="274"/>
      <c r="AA22" s="274"/>
      <c r="AB22" s="274"/>
      <c r="AC22" s="274"/>
      <c r="AD22" s="274"/>
      <c r="AE22" s="274"/>
      <c r="AF22" s="274"/>
      <c r="AG22" s="274"/>
      <c r="AH22" s="274"/>
      <c r="AI22" s="274"/>
      <c r="AJ22" s="274"/>
      <c r="AK22" s="274"/>
      <c r="AL22" s="274"/>
      <c r="AM22" s="274"/>
      <c r="AN22" s="274"/>
      <c r="AO22" s="274"/>
      <c r="AP22" s="274"/>
      <c r="AQ22" s="274"/>
      <c r="AR22" s="274"/>
      <c r="AS22" s="274"/>
      <c r="AT22" s="274"/>
      <c r="AU22" s="274"/>
      <c r="AV22" s="274"/>
      <c r="AW22" s="75"/>
      <c r="AX22" s="75"/>
      <c r="AY22" s="75"/>
      <c r="AZ22" s="75"/>
      <c r="BA22" s="75"/>
      <c r="BB22" s="75"/>
      <c r="BC22" s="75"/>
      <c r="BD22" s="75"/>
      <c r="BE22" s="75"/>
      <c r="BF22" s="75"/>
      <c r="BG22" s="75"/>
      <c r="BH22" s="75"/>
      <c r="BI22" s="75"/>
      <c r="BJ22" s="75"/>
      <c r="BK22" s="75"/>
    </row>
    <row r="23" spans="1:63" x14ac:dyDescent="0.25">
      <c r="A23" s="67" t="s">
        <v>1709</v>
      </c>
      <c r="B23" s="67">
        <v>60</v>
      </c>
      <c r="C23" s="67" t="s">
        <v>1712</v>
      </c>
      <c r="D23" s="465" t="s">
        <v>1713</v>
      </c>
      <c r="E23" s="465" t="s">
        <v>1713</v>
      </c>
      <c r="F23" s="465" t="s">
        <v>1713</v>
      </c>
      <c r="G23" s="465" t="s">
        <v>1714</v>
      </c>
      <c r="H23" s="465" t="s">
        <v>1714</v>
      </c>
      <c r="I23" s="465" t="s">
        <v>1714</v>
      </c>
      <c r="J23" s="465" t="s">
        <v>1715</v>
      </c>
      <c r="K23" s="465" t="s">
        <v>1715</v>
      </c>
      <c r="L23" s="465" t="s">
        <v>1715</v>
      </c>
      <c r="M23" s="465" t="s">
        <v>1716</v>
      </c>
      <c r="N23" s="465" t="s">
        <v>1716</v>
      </c>
      <c r="O23" s="465" t="s">
        <v>1716</v>
      </c>
      <c r="P23" s="465" t="s">
        <v>1717</v>
      </c>
      <c r="Q23" s="465" t="s">
        <v>1717</v>
      </c>
      <c r="R23" s="465" t="s">
        <v>1717</v>
      </c>
      <c r="S23" s="465" t="s">
        <v>1718</v>
      </c>
      <c r="T23" s="465" t="s">
        <v>1718</v>
      </c>
      <c r="U23" s="465" t="s">
        <v>1718</v>
      </c>
      <c r="V23" s="465" t="s">
        <v>1719</v>
      </c>
      <c r="W23" s="465" t="s">
        <v>1720</v>
      </c>
      <c r="X23" s="466" t="s">
        <v>1721</v>
      </c>
      <c r="Y23" s="466" t="s">
        <v>1722</v>
      </c>
      <c r="Z23" s="466" t="s">
        <v>1723</v>
      </c>
      <c r="AA23" s="466" t="s">
        <v>1724</v>
      </c>
      <c r="AB23" s="466" t="s">
        <v>1725</v>
      </c>
      <c r="AC23" s="466" t="s">
        <v>1726</v>
      </c>
      <c r="AD23" s="466" t="s">
        <v>1727</v>
      </c>
      <c r="AE23" s="466" t="s">
        <v>1728</v>
      </c>
      <c r="AF23" s="466" t="s">
        <v>1729</v>
      </c>
      <c r="AG23" s="466" t="s">
        <v>1730</v>
      </c>
      <c r="AH23" s="466" t="s">
        <v>1731</v>
      </c>
      <c r="AI23" s="466" t="s">
        <v>1732</v>
      </c>
      <c r="AJ23" s="466" t="s">
        <v>1706</v>
      </c>
      <c r="AK23" s="466" t="s">
        <v>1733</v>
      </c>
      <c r="AL23" s="466" t="s">
        <v>1734</v>
      </c>
      <c r="AM23" s="466" t="s">
        <v>1735</v>
      </c>
      <c r="AN23" s="466" t="s">
        <v>1736</v>
      </c>
      <c r="AO23" s="466" t="s">
        <v>1737</v>
      </c>
      <c r="AP23" s="466" t="s">
        <v>1738</v>
      </c>
      <c r="AQ23" s="466" t="s">
        <v>1739</v>
      </c>
      <c r="AR23" s="466" t="s">
        <v>1740</v>
      </c>
      <c r="AS23" s="466" t="s">
        <v>1741</v>
      </c>
      <c r="AT23" s="466" t="s">
        <v>1742</v>
      </c>
      <c r="AU23" s="466" t="s">
        <v>1743</v>
      </c>
      <c r="AV23" s="466" t="s">
        <v>1744</v>
      </c>
      <c r="AW23" s="466" t="s">
        <v>1745</v>
      </c>
      <c r="AX23" s="466" t="s">
        <v>1746</v>
      </c>
      <c r="AY23" s="466" t="s">
        <v>1747</v>
      </c>
      <c r="AZ23" s="466" t="s">
        <v>1748</v>
      </c>
      <c r="BA23" s="466" t="s">
        <v>1749</v>
      </c>
      <c r="BB23" s="466" t="s">
        <v>1750</v>
      </c>
      <c r="BC23" s="466" t="s">
        <v>1751</v>
      </c>
      <c r="BD23" s="466" t="s">
        <v>1707</v>
      </c>
      <c r="BE23" s="466" t="s">
        <v>1752</v>
      </c>
      <c r="BF23" s="466" t="s">
        <v>1753</v>
      </c>
      <c r="BG23" s="466" t="s">
        <v>1754</v>
      </c>
      <c r="BH23" s="466" t="s">
        <v>1755</v>
      </c>
      <c r="BI23" s="466" t="s">
        <v>1756</v>
      </c>
      <c r="BJ23" s="466" t="s">
        <v>1757</v>
      </c>
      <c r="BK23" s="466" t="s">
        <v>1758</v>
      </c>
    </row>
    <row r="24" spans="1:63" x14ac:dyDescent="0.25">
      <c r="A24" s="67" t="s">
        <v>1710</v>
      </c>
      <c r="B24" s="67">
        <v>60</v>
      </c>
      <c r="D24" s="274">
        <v>0</v>
      </c>
      <c r="E24" s="274">
        <v>0</v>
      </c>
      <c r="F24" s="274">
        <v>0</v>
      </c>
      <c r="G24" s="274">
        <v>0</v>
      </c>
      <c r="H24" s="274">
        <v>1</v>
      </c>
      <c r="I24" s="274">
        <v>1</v>
      </c>
      <c r="J24" s="274">
        <v>1</v>
      </c>
      <c r="K24" s="274">
        <v>1</v>
      </c>
      <c r="L24" s="274">
        <v>1</v>
      </c>
      <c r="M24" s="274">
        <v>2</v>
      </c>
      <c r="N24" s="274">
        <v>2</v>
      </c>
      <c r="O24" s="274">
        <v>2</v>
      </c>
      <c r="P24" s="274">
        <v>2</v>
      </c>
      <c r="Q24" s="274">
        <v>2</v>
      </c>
      <c r="R24" s="274">
        <v>2</v>
      </c>
      <c r="S24" s="274">
        <v>2</v>
      </c>
      <c r="T24" s="274">
        <v>2</v>
      </c>
      <c r="U24" s="274">
        <v>2</v>
      </c>
      <c r="V24" s="274">
        <v>2</v>
      </c>
      <c r="W24" s="274">
        <v>3</v>
      </c>
      <c r="X24" s="274">
        <v>3</v>
      </c>
      <c r="Y24" s="274">
        <v>3</v>
      </c>
      <c r="Z24" s="274">
        <v>3</v>
      </c>
      <c r="AA24" s="274">
        <v>3</v>
      </c>
      <c r="AB24" s="274">
        <v>3</v>
      </c>
      <c r="AC24" s="274">
        <v>3</v>
      </c>
      <c r="AD24" s="274">
        <v>3</v>
      </c>
      <c r="AE24" s="274">
        <v>3</v>
      </c>
      <c r="AF24" s="274">
        <v>3</v>
      </c>
      <c r="AG24" s="274">
        <v>3</v>
      </c>
      <c r="AH24" s="274">
        <v>3</v>
      </c>
      <c r="AI24" s="274">
        <v>3</v>
      </c>
      <c r="AJ24" s="274">
        <v>3</v>
      </c>
      <c r="AK24" s="274">
        <v>3</v>
      </c>
      <c r="AL24" s="274">
        <v>4</v>
      </c>
      <c r="AM24" s="274">
        <v>4</v>
      </c>
      <c r="AN24" s="274">
        <v>4</v>
      </c>
      <c r="AO24" s="274">
        <v>4</v>
      </c>
      <c r="AP24" s="274">
        <v>4</v>
      </c>
      <c r="AQ24" s="274">
        <v>4</v>
      </c>
      <c r="AR24" s="274">
        <v>4</v>
      </c>
      <c r="AS24" s="274">
        <v>4</v>
      </c>
      <c r="AT24" s="274">
        <v>4</v>
      </c>
      <c r="AU24" s="274">
        <v>4</v>
      </c>
      <c r="AV24" s="274">
        <v>4</v>
      </c>
      <c r="AW24" s="274">
        <v>4</v>
      </c>
      <c r="AX24" s="274">
        <v>4</v>
      </c>
      <c r="AY24" s="274">
        <v>4</v>
      </c>
      <c r="AZ24" s="274">
        <v>4</v>
      </c>
      <c r="BA24" s="274">
        <v>4</v>
      </c>
      <c r="BB24" s="274">
        <v>4</v>
      </c>
      <c r="BC24" s="274">
        <v>4</v>
      </c>
      <c r="BD24" s="274">
        <v>4</v>
      </c>
      <c r="BE24" s="274">
        <v>4</v>
      </c>
      <c r="BF24" s="274">
        <v>5</v>
      </c>
      <c r="BG24" s="274">
        <v>5</v>
      </c>
      <c r="BH24" s="274">
        <v>5</v>
      </c>
      <c r="BI24" s="274">
        <v>5</v>
      </c>
      <c r="BJ24" s="274">
        <v>5</v>
      </c>
      <c r="BK24" s="274">
        <v>5</v>
      </c>
    </row>
    <row r="25" spans="1:63" x14ac:dyDescent="0.25">
      <c r="A25" s="67" t="s">
        <v>1711</v>
      </c>
      <c r="D25" s="464">
        <v>1600</v>
      </c>
      <c r="E25" s="465">
        <v>0.55000000000000004</v>
      </c>
      <c r="F25" s="464">
        <v>3200</v>
      </c>
      <c r="G25" s="465">
        <v>1.1000000000000001</v>
      </c>
      <c r="H25" s="464">
        <v>5200</v>
      </c>
      <c r="I25" s="465">
        <v>1.65</v>
      </c>
      <c r="J25" s="464">
        <v>7200</v>
      </c>
      <c r="K25" s="465">
        <v>2.2000000000000002</v>
      </c>
      <c r="L25" s="464">
        <v>9600</v>
      </c>
      <c r="M25" s="465">
        <v>2.75</v>
      </c>
      <c r="N25" s="464">
        <v>12800</v>
      </c>
      <c r="O25" s="465">
        <v>3.3</v>
      </c>
      <c r="P25" s="464">
        <v>17600</v>
      </c>
      <c r="Q25" s="465">
        <v>3.8499999999999996</v>
      </c>
      <c r="R25" s="464">
        <v>24000</v>
      </c>
      <c r="S25" s="465">
        <v>4.4000000000000004</v>
      </c>
      <c r="T25" s="464">
        <v>32000</v>
      </c>
      <c r="U25" s="465">
        <v>4.95</v>
      </c>
      <c r="V25" s="464">
        <v>48000</v>
      </c>
      <c r="W25" s="465">
        <v>5.5</v>
      </c>
      <c r="X25" s="466"/>
      <c r="Y25" s="466"/>
      <c r="Z25" s="466"/>
      <c r="AA25" s="466"/>
      <c r="AB25" s="466"/>
      <c r="AC25" s="466"/>
      <c r="AD25" s="466"/>
      <c r="AE25" s="466"/>
      <c r="AF25" s="466"/>
      <c r="AG25" s="466"/>
      <c r="AH25" s="466"/>
      <c r="AI25" s="466"/>
      <c r="AJ25" s="466"/>
      <c r="AK25" s="466"/>
      <c r="AL25" s="466"/>
      <c r="AM25" s="466"/>
      <c r="AN25" s="466"/>
      <c r="AO25" s="466"/>
      <c r="AP25" s="466"/>
      <c r="AQ25" s="466"/>
      <c r="AR25" s="466"/>
      <c r="AS25" s="466"/>
      <c r="AT25" s="466"/>
      <c r="AU25" s="466"/>
      <c r="AV25" s="466"/>
      <c r="AW25" s="466"/>
      <c r="AX25" s="466"/>
      <c r="AY25" s="466"/>
      <c r="AZ25" s="466"/>
      <c r="BA25" s="466"/>
      <c r="BB25" s="466"/>
      <c r="BC25" s="466"/>
      <c r="BD25" s="466"/>
      <c r="BE25" s="466"/>
      <c r="BF25" s="466"/>
      <c r="BG25" s="466"/>
      <c r="BH25" s="466"/>
      <c r="BI25" s="466"/>
      <c r="BJ25" s="466"/>
      <c r="BK25" s="466"/>
    </row>
    <row r="26" spans="1:63" x14ac:dyDescent="0.25">
      <c r="A26" s="67" t="s">
        <v>1021</v>
      </c>
      <c r="B26" s="67">
        <v>45</v>
      </c>
      <c r="C26" s="67" t="s">
        <v>1129</v>
      </c>
      <c r="D26" s="75">
        <v>0.3</v>
      </c>
      <c r="E26" s="75">
        <v>0.32</v>
      </c>
      <c r="F26" s="75">
        <v>0.34</v>
      </c>
      <c r="G26" s="75">
        <v>0.36</v>
      </c>
      <c r="H26" s="75">
        <v>0.38</v>
      </c>
      <c r="I26" s="75">
        <v>0.4</v>
      </c>
      <c r="J26" s="75">
        <v>0.42</v>
      </c>
      <c r="K26" s="75">
        <v>0.44</v>
      </c>
      <c r="L26" s="75">
        <v>0.46</v>
      </c>
      <c r="M26" s="75">
        <v>0.48</v>
      </c>
      <c r="N26" s="75">
        <v>0.5</v>
      </c>
      <c r="O26" s="75">
        <v>0.52</v>
      </c>
      <c r="P26" s="75">
        <v>0.54</v>
      </c>
      <c r="Q26" s="75">
        <v>0.56000000000000005</v>
      </c>
      <c r="R26" s="75">
        <v>0.57999999999999996</v>
      </c>
      <c r="S26" s="75">
        <v>0.6</v>
      </c>
      <c r="T26" s="75">
        <v>0.62</v>
      </c>
      <c r="U26" s="75">
        <v>0.64</v>
      </c>
      <c r="V26" s="75">
        <v>0.66</v>
      </c>
      <c r="W26" s="75">
        <v>0.68</v>
      </c>
      <c r="X26" s="75">
        <v>0.7</v>
      </c>
      <c r="Y26" s="75">
        <v>0.72</v>
      </c>
      <c r="Z26" s="75">
        <v>0.74</v>
      </c>
      <c r="AA26" s="75">
        <v>0.76</v>
      </c>
      <c r="AB26" s="75">
        <v>0.78</v>
      </c>
      <c r="AC26" s="75">
        <v>0.8</v>
      </c>
      <c r="AD26" s="75">
        <v>0.82</v>
      </c>
      <c r="AE26" s="75">
        <v>0.84</v>
      </c>
      <c r="AF26" s="75">
        <v>0.86</v>
      </c>
      <c r="AG26" s="75">
        <v>0.88</v>
      </c>
      <c r="AH26" s="75">
        <v>0.9</v>
      </c>
      <c r="AI26" s="75">
        <v>0.92</v>
      </c>
      <c r="AJ26" s="75">
        <v>0.94</v>
      </c>
      <c r="AK26" s="75">
        <v>0.96</v>
      </c>
      <c r="AL26" s="75">
        <v>0.98</v>
      </c>
      <c r="AM26" s="75">
        <v>1</v>
      </c>
      <c r="AN26" s="75">
        <v>1.02</v>
      </c>
      <c r="AO26" s="75">
        <v>1.04</v>
      </c>
      <c r="AP26" s="75">
        <v>1.06</v>
      </c>
      <c r="AQ26" s="75">
        <v>1.08</v>
      </c>
      <c r="AR26" s="75">
        <v>1.1000000000000001</v>
      </c>
      <c r="AS26" s="75">
        <v>1.1200000000000001</v>
      </c>
      <c r="AT26" s="75">
        <v>1.1399999999999999</v>
      </c>
      <c r="AU26" s="75">
        <v>1.1599999999999999</v>
      </c>
      <c r="AV26" s="75">
        <v>1.2</v>
      </c>
      <c r="AW26" s="75"/>
      <c r="AX26" s="75"/>
      <c r="AY26" s="75"/>
      <c r="AZ26" s="75"/>
      <c r="BA26" s="75"/>
      <c r="BB26" s="75"/>
      <c r="BC26" s="75"/>
      <c r="BD26" s="75"/>
      <c r="BE26" s="75"/>
      <c r="BF26" s="75"/>
      <c r="BG26" s="75"/>
      <c r="BH26" s="75"/>
      <c r="BI26" s="75"/>
      <c r="BJ26" s="75"/>
      <c r="BK26" s="75"/>
    </row>
    <row r="27" spans="1:63" x14ac:dyDescent="0.25">
      <c r="A27" s="67" t="s">
        <v>967</v>
      </c>
      <c r="B27" s="67">
        <v>45</v>
      </c>
      <c r="D27" s="274">
        <v>0</v>
      </c>
      <c r="E27" s="274">
        <v>0</v>
      </c>
      <c r="F27" s="274">
        <v>0</v>
      </c>
      <c r="G27" s="274">
        <v>0</v>
      </c>
      <c r="H27" s="274">
        <v>1</v>
      </c>
      <c r="I27" s="274">
        <v>1</v>
      </c>
      <c r="J27" s="274">
        <v>1</v>
      </c>
      <c r="K27" s="274">
        <v>1</v>
      </c>
      <c r="L27" s="274">
        <v>1</v>
      </c>
      <c r="M27" s="274">
        <v>2</v>
      </c>
      <c r="N27" s="274">
        <v>2</v>
      </c>
      <c r="O27" s="274">
        <v>2</v>
      </c>
      <c r="P27" s="274">
        <v>2</v>
      </c>
      <c r="Q27" s="274">
        <v>2</v>
      </c>
      <c r="R27" s="274">
        <v>2</v>
      </c>
      <c r="S27" s="274">
        <v>2</v>
      </c>
      <c r="T27" s="274">
        <v>2</v>
      </c>
      <c r="U27" s="274">
        <v>2</v>
      </c>
      <c r="V27" s="274">
        <v>2</v>
      </c>
      <c r="W27" s="274">
        <v>3</v>
      </c>
      <c r="X27" s="274">
        <v>3</v>
      </c>
      <c r="Y27" s="274">
        <v>3</v>
      </c>
      <c r="Z27" s="274">
        <v>3</v>
      </c>
      <c r="AA27" s="274">
        <v>3</v>
      </c>
      <c r="AB27" s="274">
        <v>3</v>
      </c>
      <c r="AC27" s="274">
        <v>3</v>
      </c>
      <c r="AD27" s="274">
        <v>3</v>
      </c>
      <c r="AE27" s="274">
        <v>3</v>
      </c>
      <c r="AF27" s="274">
        <v>3</v>
      </c>
      <c r="AG27" s="274">
        <v>4</v>
      </c>
      <c r="AH27" s="274">
        <v>4</v>
      </c>
      <c r="AI27" s="274">
        <v>4</v>
      </c>
      <c r="AJ27" s="274">
        <v>4</v>
      </c>
      <c r="AK27" s="274">
        <v>4</v>
      </c>
      <c r="AL27" s="274">
        <v>4</v>
      </c>
      <c r="AM27" s="274">
        <v>4</v>
      </c>
      <c r="AN27" s="274">
        <v>4</v>
      </c>
      <c r="AO27" s="274">
        <v>4</v>
      </c>
      <c r="AP27" s="274">
        <v>4</v>
      </c>
      <c r="AQ27" s="274">
        <v>5</v>
      </c>
      <c r="AR27" s="274">
        <v>5</v>
      </c>
      <c r="AS27" s="274">
        <v>5</v>
      </c>
      <c r="AT27" s="274">
        <v>5</v>
      </c>
      <c r="AU27" s="274">
        <v>5</v>
      </c>
      <c r="AV27" s="274">
        <v>5</v>
      </c>
      <c r="AW27" s="75"/>
      <c r="AX27" s="75"/>
      <c r="AY27" s="75"/>
      <c r="AZ27" s="75"/>
      <c r="BA27" s="75"/>
      <c r="BB27" s="75"/>
      <c r="BC27" s="75"/>
      <c r="BD27" s="75"/>
      <c r="BE27" s="75"/>
      <c r="BF27" s="75"/>
      <c r="BG27" s="75"/>
      <c r="BH27" s="75"/>
      <c r="BI27" s="75"/>
      <c r="BJ27" s="75"/>
      <c r="BK27" s="75"/>
    </row>
    <row r="28" spans="1:63" x14ac:dyDescent="0.25">
      <c r="A28" s="67" t="s">
        <v>1294</v>
      </c>
      <c r="D28" s="45">
        <v>120</v>
      </c>
      <c r="E28" s="53">
        <v>0.3</v>
      </c>
      <c r="F28" s="45">
        <v>240</v>
      </c>
      <c r="G28" s="53">
        <v>0.6</v>
      </c>
      <c r="H28" s="45">
        <v>390</v>
      </c>
      <c r="I28" s="53">
        <v>0.9</v>
      </c>
      <c r="J28" s="45">
        <v>540</v>
      </c>
      <c r="K28" s="53">
        <v>1.2</v>
      </c>
      <c r="L28" s="45">
        <v>720</v>
      </c>
      <c r="M28" s="53">
        <v>1.5</v>
      </c>
      <c r="N28" s="45">
        <v>960</v>
      </c>
      <c r="O28" s="53">
        <v>1.8</v>
      </c>
      <c r="P28" s="45">
        <v>1320</v>
      </c>
      <c r="Q28" s="53">
        <v>2.1</v>
      </c>
      <c r="R28" s="45">
        <v>1800</v>
      </c>
      <c r="S28" s="53">
        <v>2.4</v>
      </c>
      <c r="T28" s="45">
        <v>2400</v>
      </c>
      <c r="U28" s="53">
        <v>2.7</v>
      </c>
      <c r="V28" s="45">
        <v>3600</v>
      </c>
      <c r="W28" s="53">
        <v>3</v>
      </c>
      <c r="X28" s="274"/>
      <c r="Y28" s="274"/>
      <c r="Z28" s="274"/>
      <c r="AA28" s="274"/>
      <c r="AB28" s="274"/>
      <c r="AC28" s="274"/>
      <c r="AD28" s="274"/>
      <c r="AE28" s="274"/>
      <c r="AF28" s="274"/>
      <c r="AG28" s="274"/>
      <c r="AH28" s="274"/>
      <c r="AI28" s="274"/>
      <c r="AJ28" s="274"/>
      <c r="AK28" s="274"/>
      <c r="AL28" s="274"/>
      <c r="AM28" s="274"/>
      <c r="AN28" s="274"/>
      <c r="AO28" s="274"/>
      <c r="AP28" s="274"/>
      <c r="AQ28" s="274"/>
      <c r="AR28" s="274"/>
      <c r="AS28" s="274"/>
      <c r="AT28" s="274"/>
      <c r="AU28" s="274"/>
      <c r="AV28" s="274"/>
      <c r="AW28" s="75"/>
      <c r="AX28" s="75"/>
      <c r="AY28" s="75"/>
      <c r="AZ28" s="75"/>
      <c r="BA28" s="75"/>
      <c r="BB28" s="75"/>
      <c r="BC28" s="75"/>
      <c r="BD28" s="75"/>
      <c r="BE28" s="75"/>
      <c r="BF28" s="75"/>
      <c r="BG28" s="75"/>
      <c r="BH28" s="75"/>
      <c r="BI28" s="75"/>
      <c r="BJ28" s="75"/>
      <c r="BK28" s="75"/>
    </row>
    <row r="29" spans="1:63" x14ac:dyDescent="0.25">
      <c r="A29" s="67" t="s">
        <v>1022</v>
      </c>
      <c r="B29" s="67">
        <v>45</v>
      </c>
      <c r="C29" s="67" t="s">
        <v>1144</v>
      </c>
      <c r="D29" s="75">
        <v>0.01</v>
      </c>
      <c r="E29" s="75">
        <v>0.01</v>
      </c>
      <c r="F29" s="75">
        <v>0.02</v>
      </c>
      <c r="G29" s="75">
        <v>0.02</v>
      </c>
      <c r="H29" s="75">
        <v>0.03</v>
      </c>
      <c r="I29" s="75">
        <v>0.03</v>
      </c>
      <c r="J29" s="75">
        <v>0.04</v>
      </c>
      <c r="K29" s="75">
        <v>0.04</v>
      </c>
      <c r="L29" s="75">
        <v>0.05</v>
      </c>
      <c r="M29" s="75">
        <v>0.05</v>
      </c>
      <c r="N29" s="75">
        <v>0.06</v>
      </c>
      <c r="O29" s="75">
        <v>0.06</v>
      </c>
      <c r="P29" s="75">
        <v>7.0000000000000007E-2</v>
      </c>
      <c r="Q29" s="75">
        <v>7.0000000000000007E-2</v>
      </c>
      <c r="R29" s="75">
        <v>0.08</v>
      </c>
      <c r="S29" s="75">
        <v>0.08</v>
      </c>
      <c r="T29" s="75">
        <v>0.09</v>
      </c>
      <c r="U29" s="75">
        <v>0.09</v>
      </c>
      <c r="V29" s="75">
        <v>0.1</v>
      </c>
      <c r="W29" s="75">
        <v>0.1</v>
      </c>
      <c r="X29" s="75">
        <v>0.11</v>
      </c>
      <c r="Y29" s="75">
        <v>0.11</v>
      </c>
      <c r="Z29" s="75">
        <v>0.12</v>
      </c>
      <c r="AA29" s="75">
        <v>0.12</v>
      </c>
      <c r="AB29" s="75">
        <v>0.13</v>
      </c>
      <c r="AC29" s="75">
        <v>0.13</v>
      </c>
      <c r="AD29" s="75">
        <v>0.14000000000000001</v>
      </c>
      <c r="AE29" s="75">
        <v>0.14000000000000001</v>
      </c>
      <c r="AF29" s="75">
        <v>0.15</v>
      </c>
      <c r="AG29" s="75">
        <v>0.15</v>
      </c>
      <c r="AH29" s="75">
        <v>0.16</v>
      </c>
      <c r="AI29" s="75">
        <v>0.16</v>
      </c>
      <c r="AJ29" s="75">
        <v>0.17</v>
      </c>
      <c r="AK29" s="75">
        <v>0.17</v>
      </c>
      <c r="AL29" s="75">
        <v>0.18</v>
      </c>
      <c r="AM29" s="75">
        <v>0.18</v>
      </c>
      <c r="AN29" s="75">
        <v>0.19</v>
      </c>
      <c r="AO29" s="75">
        <v>0.19</v>
      </c>
      <c r="AP29" s="75">
        <v>0.2</v>
      </c>
      <c r="AQ29" s="75">
        <v>0.2</v>
      </c>
      <c r="AR29" s="75">
        <v>0.21</v>
      </c>
      <c r="AS29" s="75">
        <v>0.22</v>
      </c>
      <c r="AT29" s="75">
        <v>0.23</v>
      </c>
      <c r="AU29" s="75">
        <v>0.24</v>
      </c>
      <c r="AV29" s="75">
        <v>0.25</v>
      </c>
      <c r="AW29" s="75"/>
      <c r="AX29" s="75"/>
      <c r="AY29" s="75"/>
      <c r="AZ29" s="75"/>
      <c r="BA29" s="75"/>
      <c r="BB29" s="75"/>
      <c r="BC29" s="75"/>
      <c r="BD29" s="75"/>
      <c r="BE29" s="75"/>
      <c r="BF29" s="75"/>
      <c r="BG29" s="75"/>
      <c r="BH29" s="75"/>
      <c r="BI29" s="75"/>
      <c r="BJ29" s="75"/>
      <c r="BK29" s="75"/>
    </row>
    <row r="30" spans="1:63" x14ac:dyDescent="0.25">
      <c r="A30" s="67" t="s">
        <v>968</v>
      </c>
      <c r="B30" s="67">
        <v>45</v>
      </c>
      <c r="D30" s="274">
        <v>0</v>
      </c>
      <c r="E30" s="274">
        <v>0</v>
      </c>
      <c r="F30" s="274">
        <v>0</v>
      </c>
      <c r="G30" s="274">
        <v>0</v>
      </c>
      <c r="H30" s="274">
        <v>1</v>
      </c>
      <c r="I30" s="274">
        <v>1</v>
      </c>
      <c r="J30" s="274">
        <v>1</v>
      </c>
      <c r="K30" s="274">
        <v>1</v>
      </c>
      <c r="L30" s="274">
        <v>1</v>
      </c>
      <c r="M30" s="274">
        <v>2</v>
      </c>
      <c r="N30" s="274">
        <v>2</v>
      </c>
      <c r="O30" s="274">
        <v>2</v>
      </c>
      <c r="P30" s="274">
        <v>2</v>
      </c>
      <c r="Q30" s="274">
        <v>2</v>
      </c>
      <c r="R30" s="274">
        <v>2</v>
      </c>
      <c r="S30" s="274">
        <v>2</v>
      </c>
      <c r="T30" s="274">
        <v>2</v>
      </c>
      <c r="U30" s="274">
        <v>2</v>
      </c>
      <c r="V30" s="274">
        <v>2</v>
      </c>
      <c r="W30" s="274">
        <v>3</v>
      </c>
      <c r="X30" s="274">
        <v>3</v>
      </c>
      <c r="Y30" s="274">
        <v>3</v>
      </c>
      <c r="Z30" s="274">
        <v>3</v>
      </c>
      <c r="AA30" s="274">
        <v>3</v>
      </c>
      <c r="AB30" s="274">
        <v>3</v>
      </c>
      <c r="AC30" s="274">
        <v>3</v>
      </c>
      <c r="AD30" s="274">
        <v>3</v>
      </c>
      <c r="AE30" s="274">
        <v>3</v>
      </c>
      <c r="AF30" s="274">
        <v>3</v>
      </c>
      <c r="AG30" s="274">
        <v>4</v>
      </c>
      <c r="AH30" s="274">
        <v>4</v>
      </c>
      <c r="AI30" s="274">
        <v>4</v>
      </c>
      <c r="AJ30" s="274">
        <v>4</v>
      </c>
      <c r="AK30" s="274">
        <v>4</v>
      </c>
      <c r="AL30" s="274">
        <v>5</v>
      </c>
      <c r="AM30" s="274">
        <v>5</v>
      </c>
      <c r="AN30" s="274">
        <v>5</v>
      </c>
      <c r="AO30" s="274">
        <v>5</v>
      </c>
      <c r="AP30" s="274">
        <v>5</v>
      </c>
      <c r="AQ30" s="274">
        <v>6</v>
      </c>
      <c r="AR30" s="274">
        <v>6</v>
      </c>
      <c r="AS30" s="274">
        <v>6</v>
      </c>
      <c r="AT30" s="274">
        <v>6</v>
      </c>
      <c r="AU30" s="274">
        <v>6</v>
      </c>
      <c r="AV30" s="274">
        <v>7</v>
      </c>
      <c r="AW30" s="75"/>
      <c r="AX30" s="75"/>
      <c r="AY30" s="75"/>
      <c r="AZ30" s="75"/>
      <c r="BA30" s="75"/>
      <c r="BB30" s="75"/>
      <c r="BC30" s="75"/>
      <c r="BD30" s="75"/>
      <c r="BE30" s="75"/>
      <c r="BF30" s="75"/>
      <c r="BG30" s="75"/>
      <c r="BH30" s="75"/>
      <c r="BI30" s="75"/>
      <c r="BJ30" s="75"/>
      <c r="BK30" s="75"/>
    </row>
    <row r="31" spans="1:63" x14ac:dyDescent="0.25">
      <c r="A31" s="67" t="s">
        <v>1295</v>
      </c>
      <c r="D31" s="45">
        <v>300</v>
      </c>
      <c r="E31" s="53">
        <v>0.3</v>
      </c>
      <c r="F31" s="45">
        <v>600</v>
      </c>
      <c r="G31" s="53">
        <v>0.6</v>
      </c>
      <c r="H31" s="45">
        <v>975</v>
      </c>
      <c r="I31" s="53">
        <v>0.9</v>
      </c>
      <c r="J31" s="45">
        <v>1350</v>
      </c>
      <c r="K31" s="53">
        <v>1.2</v>
      </c>
      <c r="L31" s="45">
        <v>1800</v>
      </c>
      <c r="M31" s="53">
        <v>1.5</v>
      </c>
      <c r="N31" s="45">
        <v>2400</v>
      </c>
      <c r="O31" s="53">
        <v>1.8</v>
      </c>
      <c r="P31" s="45">
        <v>3300</v>
      </c>
      <c r="Q31" s="53">
        <v>2.1</v>
      </c>
      <c r="R31" s="45">
        <v>4500</v>
      </c>
      <c r="S31" s="53">
        <v>2.4</v>
      </c>
      <c r="T31" s="45">
        <v>6000</v>
      </c>
      <c r="U31" s="53">
        <v>2.7</v>
      </c>
      <c r="V31" s="45">
        <v>9000</v>
      </c>
      <c r="W31" s="53">
        <v>3</v>
      </c>
      <c r="X31" s="274"/>
      <c r="Y31" s="274"/>
      <c r="Z31" s="274"/>
      <c r="AA31" s="274"/>
      <c r="AB31" s="274"/>
      <c r="AC31" s="274"/>
      <c r="AD31" s="274"/>
      <c r="AE31" s="274"/>
      <c r="AF31" s="274"/>
      <c r="AG31" s="274"/>
      <c r="AH31" s="274"/>
      <c r="AI31" s="274"/>
      <c r="AJ31" s="274"/>
      <c r="AK31" s="274"/>
      <c r="AL31" s="274"/>
      <c r="AM31" s="274"/>
      <c r="AN31" s="274"/>
      <c r="AO31" s="274"/>
      <c r="AP31" s="274"/>
      <c r="AQ31" s="274"/>
      <c r="AR31" s="274"/>
      <c r="AS31" s="274"/>
      <c r="AT31" s="274"/>
      <c r="AU31" s="274"/>
      <c r="AV31" s="274"/>
      <c r="AW31" s="75"/>
      <c r="AX31" s="75"/>
      <c r="AY31" s="75"/>
      <c r="AZ31" s="75"/>
      <c r="BA31" s="75"/>
      <c r="BB31" s="75"/>
      <c r="BC31" s="75"/>
      <c r="BD31" s="75"/>
      <c r="BE31" s="75"/>
      <c r="BF31" s="75"/>
      <c r="BG31" s="75"/>
      <c r="BH31" s="75"/>
      <c r="BI31" s="75"/>
      <c r="BJ31" s="75"/>
      <c r="BK31" s="75"/>
    </row>
    <row r="32" spans="1:63" x14ac:dyDescent="0.25">
      <c r="A32" s="67" t="s">
        <v>1763</v>
      </c>
      <c r="B32" s="67">
        <v>60</v>
      </c>
      <c r="C32" s="276" t="s">
        <v>1766</v>
      </c>
      <c r="D32" s="53">
        <v>0.1</v>
      </c>
      <c r="E32" s="53">
        <v>0.1</v>
      </c>
      <c r="F32" s="53">
        <v>0.1</v>
      </c>
      <c r="G32" s="53">
        <v>0.1</v>
      </c>
      <c r="H32" s="53">
        <v>0.1</v>
      </c>
      <c r="I32" s="53">
        <v>0.1</v>
      </c>
      <c r="J32" s="53">
        <v>0.11</v>
      </c>
      <c r="K32" s="53">
        <v>0.11</v>
      </c>
      <c r="L32" s="53">
        <v>0.11</v>
      </c>
      <c r="M32" s="53">
        <v>0.11</v>
      </c>
      <c r="N32" s="53">
        <v>0.11</v>
      </c>
      <c r="O32" s="53">
        <v>0.11</v>
      </c>
      <c r="P32" s="53">
        <v>0.12</v>
      </c>
      <c r="Q32" s="53">
        <v>0.12</v>
      </c>
      <c r="R32" s="53">
        <v>0.12</v>
      </c>
      <c r="S32" s="53">
        <v>0.12</v>
      </c>
      <c r="T32" s="53">
        <v>0.12</v>
      </c>
      <c r="U32" s="53">
        <v>0.12</v>
      </c>
      <c r="V32" s="53">
        <v>0.13</v>
      </c>
      <c r="W32" s="53">
        <v>0.13</v>
      </c>
      <c r="X32" s="75">
        <v>0.13</v>
      </c>
      <c r="Y32" s="75">
        <v>0.13</v>
      </c>
      <c r="Z32" s="75">
        <v>0.13</v>
      </c>
      <c r="AA32" s="75">
        <v>0.13</v>
      </c>
      <c r="AB32" s="75">
        <v>0.14000000000000001</v>
      </c>
      <c r="AC32" s="75">
        <v>0.14000000000000001</v>
      </c>
      <c r="AD32" s="75">
        <v>0.14000000000000001</v>
      </c>
      <c r="AE32" s="75">
        <v>0.14000000000000001</v>
      </c>
      <c r="AF32" s="75">
        <v>0.14000000000000001</v>
      </c>
      <c r="AG32" s="75">
        <v>0.14000000000000001</v>
      </c>
      <c r="AH32" s="75">
        <v>0.15</v>
      </c>
      <c r="AI32" s="75">
        <v>0.15</v>
      </c>
      <c r="AJ32" s="75">
        <v>0.15</v>
      </c>
      <c r="AK32" s="75">
        <v>0.15</v>
      </c>
      <c r="AL32" s="75">
        <v>0.15</v>
      </c>
      <c r="AM32" s="75">
        <v>0.15</v>
      </c>
      <c r="AN32" s="75">
        <v>0.16</v>
      </c>
      <c r="AO32" s="75">
        <v>0.16</v>
      </c>
      <c r="AP32" s="75">
        <v>0.16</v>
      </c>
      <c r="AQ32" s="75">
        <v>0.16</v>
      </c>
      <c r="AR32" s="75">
        <v>0.16</v>
      </c>
      <c r="AS32" s="75">
        <v>0.16</v>
      </c>
      <c r="AT32" s="75">
        <v>0.17</v>
      </c>
      <c r="AU32" s="75">
        <v>0.17</v>
      </c>
      <c r="AV32" s="75">
        <v>0.17</v>
      </c>
      <c r="AW32" s="75">
        <v>0.17</v>
      </c>
      <c r="AX32" s="75">
        <v>0.17</v>
      </c>
      <c r="AY32" s="75">
        <v>0.17</v>
      </c>
      <c r="AZ32" s="75">
        <v>0.18</v>
      </c>
      <c r="BA32" s="75">
        <v>0.18</v>
      </c>
      <c r="BB32" s="75">
        <v>0.18</v>
      </c>
      <c r="BC32" s="75">
        <v>0.18</v>
      </c>
      <c r="BD32" s="75">
        <v>0.18</v>
      </c>
      <c r="BE32" s="75">
        <v>0.18</v>
      </c>
      <c r="BF32" s="75">
        <v>0.19</v>
      </c>
      <c r="BG32" s="75">
        <v>0.19</v>
      </c>
      <c r="BH32" s="75">
        <v>0.19</v>
      </c>
      <c r="BI32" s="75">
        <v>0.19</v>
      </c>
      <c r="BJ32" s="75">
        <v>0.19</v>
      </c>
      <c r="BK32" s="75">
        <v>0.2</v>
      </c>
    </row>
    <row r="33" spans="1:63" x14ac:dyDescent="0.25">
      <c r="A33" s="67" t="s">
        <v>1764</v>
      </c>
      <c r="B33" s="67">
        <v>60</v>
      </c>
      <c r="D33" s="54">
        <v>0</v>
      </c>
      <c r="E33" s="54">
        <v>0</v>
      </c>
      <c r="F33" s="54">
        <v>0</v>
      </c>
      <c r="G33" s="54">
        <v>0</v>
      </c>
      <c r="H33" s="54">
        <v>1</v>
      </c>
      <c r="I33" s="54">
        <v>1</v>
      </c>
      <c r="J33" s="54">
        <v>1</v>
      </c>
      <c r="K33" s="54">
        <v>1</v>
      </c>
      <c r="L33" s="54">
        <v>1</v>
      </c>
      <c r="M33" s="54">
        <v>2</v>
      </c>
      <c r="N33" s="54">
        <v>2</v>
      </c>
      <c r="O33" s="54">
        <v>2</v>
      </c>
      <c r="P33" s="54">
        <v>2</v>
      </c>
      <c r="Q33" s="54">
        <v>2</v>
      </c>
      <c r="R33" s="54">
        <v>2</v>
      </c>
      <c r="S33" s="54">
        <v>2</v>
      </c>
      <c r="T33" s="54">
        <v>2</v>
      </c>
      <c r="U33" s="54">
        <v>2</v>
      </c>
      <c r="V33" s="54">
        <v>2</v>
      </c>
      <c r="W33" s="54">
        <v>3</v>
      </c>
      <c r="X33" s="274">
        <v>3</v>
      </c>
      <c r="Y33" s="274">
        <v>3</v>
      </c>
      <c r="Z33" s="274">
        <v>3</v>
      </c>
      <c r="AA33" s="274">
        <v>3</v>
      </c>
      <c r="AB33" s="274">
        <v>3</v>
      </c>
      <c r="AC33" s="274">
        <v>3</v>
      </c>
      <c r="AD33" s="274">
        <v>3</v>
      </c>
      <c r="AE33" s="274">
        <v>3</v>
      </c>
      <c r="AF33" s="274">
        <v>3</v>
      </c>
      <c r="AG33" s="274">
        <v>4</v>
      </c>
      <c r="AH33" s="274">
        <v>4</v>
      </c>
      <c r="AI33" s="274">
        <v>4</v>
      </c>
      <c r="AJ33" s="274">
        <v>4</v>
      </c>
      <c r="AK33" s="274">
        <v>4</v>
      </c>
      <c r="AL33" s="274">
        <v>4</v>
      </c>
      <c r="AM33" s="274">
        <v>4</v>
      </c>
      <c r="AN33" s="274">
        <v>4</v>
      </c>
      <c r="AO33" s="274">
        <v>4</v>
      </c>
      <c r="AP33" s="274">
        <v>4</v>
      </c>
      <c r="AQ33" s="274">
        <v>5</v>
      </c>
      <c r="AR33" s="274">
        <v>5</v>
      </c>
      <c r="AS33" s="274">
        <v>5</v>
      </c>
      <c r="AT33" s="274">
        <v>5</v>
      </c>
      <c r="AU33" s="274">
        <v>5</v>
      </c>
      <c r="AV33" s="274">
        <v>6</v>
      </c>
      <c r="AW33" s="274">
        <v>6</v>
      </c>
      <c r="AX33" s="274">
        <v>6</v>
      </c>
      <c r="AY33" s="274">
        <v>6</v>
      </c>
      <c r="AZ33" s="274">
        <v>6</v>
      </c>
      <c r="BA33" s="274">
        <v>6</v>
      </c>
      <c r="BB33" s="274">
        <v>6</v>
      </c>
      <c r="BC33" s="274">
        <v>6</v>
      </c>
      <c r="BD33" s="274">
        <v>6</v>
      </c>
      <c r="BE33" s="274">
        <v>6</v>
      </c>
      <c r="BF33" s="274">
        <v>7</v>
      </c>
      <c r="BG33" s="274">
        <v>7</v>
      </c>
      <c r="BH33" s="274">
        <v>7</v>
      </c>
      <c r="BI33" s="274">
        <v>7</v>
      </c>
      <c r="BJ33" s="274">
        <v>7</v>
      </c>
      <c r="BK33" s="274">
        <v>7</v>
      </c>
    </row>
    <row r="34" spans="1:63" x14ac:dyDescent="0.25">
      <c r="A34" s="67" t="s">
        <v>1765</v>
      </c>
      <c r="D34" s="45">
        <v>2200</v>
      </c>
      <c r="E34" s="53">
        <v>0.65</v>
      </c>
      <c r="F34" s="45">
        <v>4400</v>
      </c>
      <c r="G34" s="53">
        <v>1.3</v>
      </c>
      <c r="H34" s="45">
        <v>7150</v>
      </c>
      <c r="I34" s="53">
        <v>1.95</v>
      </c>
      <c r="J34" s="45">
        <v>9900</v>
      </c>
      <c r="K34" s="53">
        <v>2.6</v>
      </c>
      <c r="L34" s="45">
        <v>13200</v>
      </c>
      <c r="M34" s="53">
        <v>3.25</v>
      </c>
      <c r="N34" s="45">
        <v>17600</v>
      </c>
      <c r="O34" s="53">
        <v>3.9</v>
      </c>
      <c r="P34" s="45">
        <v>24200</v>
      </c>
      <c r="Q34" s="53">
        <v>4.55</v>
      </c>
      <c r="R34" s="45">
        <v>33000</v>
      </c>
      <c r="S34" s="53">
        <v>5.2</v>
      </c>
      <c r="T34" s="45">
        <v>44000</v>
      </c>
      <c r="U34" s="53">
        <v>5.85</v>
      </c>
      <c r="V34" s="45">
        <v>66000</v>
      </c>
      <c r="W34" s="53">
        <v>6.5</v>
      </c>
      <c r="X34" s="274"/>
      <c r="Y34" s="274"/>
      <c r="Z34" s="274"/>
      <c r="AA34" s="274"/>
      <c r="AB34" s="274"/>
      <c r="AC34" s="274"/>
      <c r="AD34" s="274"/>
      <c r="AE34" s="274"/>
      <c r="AF34" s="274"/>
      <c r="AG34" s="274"/>
      <c r="AH34" s="274"/>
      <c r="AI34" s="274"/>
      <c r="AJ34" s="274"/>
      <c r="AK34" s="274"/>
      <c r="AL34" s="274"/>
      <c r="AM34" s="274"/>
      <c r="AN34" s="274"/>
      <c r="AO34" s="274"/>
      <c r="AP34" s="274"/>
      <c r="AQ34" s="274"/>
      <c r="AR34" s="274"/>
      <c r="AS34" s="274"/>
      <c r="AT34" s="274"/>
      <c r="AU34" s="274"/>
      <c r="AV34" s="274"/>
      <c r="AW34" s="75"/>
      <c r="AX34" s="75"/>
      <c r="AY34" s="75"/>
      <c r="AZ34" s="75"/>
      <c r="BA34" s="75"/>
      <c r="BB34" s="75"/>
      <c r="BC34" s="75"/>
      <c r="BD34" s="75"/>
      <c r="BE34" s="75"/>
      <c r="BF34" s="75"/>
      <c r="BG34" s="75"/>
      <c r="BH34" s="75"/>
      <c r="BI34" s="75"/>
      <c r="BJ34" s="75"/>
      <c r="BK34" s="75"/>
    </row>
    <row r="35" spans="1:63" x14ac:dyDescent="0.25">
      <c r="A35" s="67" t="s">
        <v>1987</v>
      </c>
      <c r="B35" s="67">
        <v>60</v>
      </c>
      <c r="C35" s="67" t="s">
        <v>2051</v>
      </c>
      <c r="D35" s="45" t="s">
        <v>1991</v>
      </c>
      <c r="E35" s="53" t="s">
        <v>1992</v>
      </c>
      <c r="F35" s="45" t="s">
        <v>1993</v>
      </c>
      <c r="G35" s="53" t="s">
        <v>1994</v>
      </c>
      <c r="H35" s="45" t="s">
        <v>1995</v>
      </c>
      <c r="I35" s="53" t="s">
        <v>1996</v>
      </c>
      <c r="J35" s="45" t="s">
        <v>1997</v>
      </c>
      <c r="K35" s="53" t="s">
        <v>1998</v>
      </c>
      <c r="L35" s="45" t="s">
        <v>1999</v>
      </c>
      <c r="M35" s="53" t="s">
        <v>2000</v>
      </c>
      <c r="N35" s="45" t="s">
        <v>2001</v>
      </c>
      <c r="O35" s="53" t="s">
        <v>2002</v>
      </c>
      <c r="P35" s="45" t="s">
        <v>2003</v>
      </c>
      <c r="Q35" s="53" t="s">
        <v>2004</v>
      </c>
      <c r="R35" s="45" t="s">
        <v>2005</v>
      </c>
      <c r="S35" s="53" t="s">
        <v>2006</v>
      </c>
      <c r="T35" s="45" t="s">
        <v>2007</v>
      </c>
      <c r="U35" s="53" t="s">
        <v>2008</v>
      </c>
      <c r="V35" s="45" t="s">
        <v>2009</v>
      </c>
      <c r="W35" s="53" t="s">
        <v>2010</v>
      </c>
      <c r="X35" s="274" t="s">
        <v>2011</v>
      </c>
      <c r="Y35" s="274" t="s">
        <v>2012</v>
      </c>
      <c r="Z35" s="274" t="s">
        <v>2013</v>
      </c>
      <c r="AA35" s="274" t="s">
        <v>2014</v>
      </c>
      <c r="AB35" s="274" t="s">
        <v>2015</v>
      </c>
      <c r="AC35" s="274" t="s">
        <v>2016</v>
      </c>
      <c r="AD35" s="274" t="s">
        <v>2017</v>
      </c>
      <c r="AE35" s="274" t="s">
        <v>2018</v>
      </c>
      <c r="AF35" s="274" t="s">
        <v>2019</v>
      </c>
      <c r="AG35" s="274" t="s">
        <v>2020</v>
      </c>
      <c r="AH35" s="274" t="s">
        <v>2021</v>
      </c>
      <c r="AI35" s="274" t="s">
        <v>2022</v>
      </c>
      <c r="AJ35" s="274" t="s">
        <v>2023</v>
      </c>
      <c r="AK35" s="274" t="s">
        <v>2024</v>
      </c>
      <c r="AL35" s="274" t="s">
        <v>2025</v>
      </c>
      <c r="AM35" s="274" t="s">
        <v>2026</v>
      </c>
      <c r="AN35" s="274" t="s">
        <v>2027</v>
      </c>
      <c r="AO35" s="274" t="s">
        <v>2028</v>
      </c>
      <c r="AP35" s="274" t="s">
        <v>2029</v>
      </c>
      <c r="AQ35" s="274" t="s">
        <v>2030</v>
      </c>
      <c r="AR35" s="274" t="s">
        <v>2031</v>
      </c>
      <c r="AS35" s="274" t="s">
        <v>2032</v>
      </c>
      <c r="AT35" s="274" t="s">
        <v>2033</v>
      </c>
      <c r="AU35" s="274" t="s">
        <v>2034</v>
      </c>
      <c r="AV35" s="274" t="s">
        <v>2035</v>
      </c>
      <c r="AW35" s="75" t="s">
        <v>2036</v>
      </c>
      <c r="AX35" s="75" t="s">
        <v>2037</v>
      </c>
      <c r="AY35" s="75" t="s">
        <v>2038</v>
      </c>
      <c r="AZ35" s="75" t="s">
        <v>2039</v>
      </c>
      <c r="BA35" s="75" t="s">
        <v>2040</v>
      </c>
      <c r="BB35" s="75" t="s">
        <v>2041</v>
      </c>
      <c r="BC35" s="75" t="s">
        <v>2042</v>
      </c>
      <c r="BD35" s="75" t="s">
        <v>2043</v>
      </c>
      <c r="BE35" s="75" t="s">
        <v>2044</v>
      </c>
      <c r="BF35" s="75" t="s">
        <v>2045</v>
      </c>
      <c r="BG35" s="75" t="s">
        <v>2046</v>
      </c>
      <c r="BH35" s="75" t="s">
        <v>2047</v>
      </c>
      <c r="BI35" s="75" t="s">
        <v>2048</v>
      </c>
      <c r="BJ35" s="75" t="s">
        <v>2049</v>
      </c>
      <c r="BK35" s="75" t="s">
        <v>2050</v>
      </c>
    </row>
    <row r="36" spans="1:63" x14ac:dyDescent="0.25">
      <c r="A36" s="67" t="s">
        <v>1988</v>
      </c>
      <c r="B36" s="67">
        <v>60</v>
      </c>
      <c r="D36" s="54">
        <v>0</v>
      </c>
      <c r="E36" s="54">
        <v>0</v>
      </c>
      <c r="F36" s="54">
        <v>0</v>
      </c>
      <c r="G36" s="54">
        <v>0</v>
      </c>
      <c r="H36" s="54">
        <v>1</v>
      </c>
      <c r="I36" s="54">
        <v>1</v>
      </c>
      <c r="J36" s="54">
        <v>1</v>
      </c>
      <c r="K36" s="54">
        <v>1</v>
      </c>
      <c r="L36" s="54">
        <v>1</v>
      </c>
      <c r="M36" s="54">
        <v>2</v>
      </c>
      <c r="N36" s="54">
        <v>2</v>
      </c>
      <c r="O36" s="54">
        <v>2</v>
      </c>
      <c r="P36" s="54">
        <v>2</v>
      </c>
      <c r="Q36" s="54">
        <v>2</v>
      </c>
      <c r="R36" s="54">
        <v>2</v>
      </c>
      <c r="S36" s="54">
        <v>2</v>
      </c>
      <c r="T36" s="54">
        <v>2</v>
      </c>
      <c r="U36" s="54">
        <v>2</v>
      </c>
      <c r="V36" s="54">
        <v>2</v>
      </c>
      <c r="W36" s="54">
        <v>3</v>
      </c>
      <c r="X36" s="274">
        <v>3</v>
      </c>
      <c r="Y36" s="274">
        <v>3</v>
      </c>
      <c r="Z36" s="274">
        <v>3</v>
      </c>
      <c r="AA36" s="274">
        <v>3</v>
      </c>
      <c r="AB36" s="274">
        <v>3</v>
      </c>
      <c r="AC36" s="274">
        <v>3</v>
      </c>
      <c r="AD36" s="274">
        <v>3</v>
      </c>
      <c r="AE36" s="274">
        <v>3</v>
      </c>
      <c r="AF36" s="274">
        <v>3</v>
      </c>
      <c r="AG36" s="274">
        <v>3</v>
      </c>
      <c r="AH36" s="274">
        <v>3</v>
      </c>
      <c r="AI36" s="274">
        <v>3</v>
      </c>
      <c r="AJ36" s="274">
        <v>3</v>
      </c>
      <c r="AK36" s="274">
        <v>3</v>
      </c>
      <c r="AL36" s="274">
        <v>4</v>
      </c>
      <c r="AM36" s="274">
        <v>4</v>
      </c>
      <c r="AN36" s="274">
        <v>4</v>
      </c>
      <c r="AO36" s="274">
        <v>4</v>
      </c>
      <c r="AP36" s="274">
        <v>4</v>
      </c>
      <c r="AQ36" s="274">
        <v>4</v>
      </c>
      <c r="AR36" s="274">
        <v>4</v>
      </c>
      <c r="AS36" s="274">
        <v>4</v>
      </c>
      <c r="AT36" s="274">
        <v>4</v>
      </c>
      <c r="AU36" s="274">
        <v>4</v>
      </c>
      <c r="AV36" s="274">
        <v>4</v>
      </c>
      <c r="AW36" s="274">
        <v>4</v>
      </c>
      <c r="AX36" s="274">
        <v>4</v>
      </c>
      <c r="AY36" s="274">
        <v>4</v>
      </c>
      <c r="AZ36" s="274">
        <v>4</v>
      </c>
      <c r="BA36" s="274">
        <v>4</v>
      </c>
      <c r="BB36" s="274">
        <v>4</v>
      </c>
      <c r="BC36" s="274">
        <v>4</v>
      </c>
      <c r="BD36" s="274">
        <v>4</v>
      </c>
      <c r="BE36" s="274">
        <v>4</v>
      </c>
      <c r="BF36" s="274">
        <v>5</v>
      </c>
      <c r="BG36" s="274">
        <v>5</v>
      </c>
      <c r="BH36" s="274">
        <v>5</v>
      </c>
      <c r="BI36" s="274">
        <v>5</v>
      </c>
      <c r="BJ36" s="274">
        <v>5</v>
      </c>
      <c r="BK36" s="274">
        <v>5</v>
      </c>
    </row>
    <row r="37" spans="1:63" x14ac:dyDescent="0.25">
      <c r="A37" s="67" t="s">
        <v>1989</v>
      </c>
      <c r="D37" s="45">
        <v>600</v>
      </c>
      <c r="E37" s="53">
        <v>0.35</v>
      </c>
      <c r="F37" s="45">
        <v>1200</v>
      </c>
      <c r="G37" s="53">
        <v>0.7</v>
      </c>
      <c r="H37" s="45">
        <v>1950</v>
      </c>
      <c r="I37" s="53">
        <v>1.0499999999999998</v>
      </c>
      <c r="J37" s="45">
        <v>2700</v>
      </c>
      <c r="K37" s="53">
        <v>1.4</v>
      </c>
      <c r="L37" s="45">
        <v>3600</v>
      </c>
      <c r="M37" s="53">
        <v>1.7499999999999998</v>
      </c>
      <c r="N37" s="45">
        <v>4800</v>
      </c>
      <c r="O37" s="53">
        <v>2.0999999999999996</v>
      </c>
      <c r="P37" s="45">
        <v>6600</v>
      </c>
      <c r="Q37" s="53">
        <v>2.4499999999999997</v>
      </c>
      <c r="R37" s="45">
        <v>9000</v>
      </c>
      <c r="S37" s="53">
        <v>2.8</v>
      </c>
      <c r="T37" s="45">
        <v>12000</v>
      </c>
      <c r="U37" s="53">
        <v>3.1499999999999995</v>
      </c>
      <c r="V37" s="45">
        <v>18000</v>
      </c>
      <c r="W37" s="53">
        <v>3.4999999999999996</v>
      </c>
      <c r="X37" s="274"/>
      <c r="Y37" s="274"/>
      <c r="Z37" s="274"/>
      <c r="AA37" s="274"/>
      <c r="AB37" s="274"/>
      <c r="AC37" s="274"/>
      <c r="AD37" s="274"/>
      <c r="AE37" s="274"/>
      <c r="AF37" s="274"/>
      <c r="AG37" s="274"/>
      <c r="AH37" s="274"/>
      <c r="AI37" s="274"/>
      <c r="AJ37" s="274"/>
      <c r="AK37" s="274"/>
      <c r="AL37" s="274"/>
      <c r="AM37" s="274"/>
      <c r="AN37" s="274"/>
      <c r="AO37" s="274"/>
      <c r="AP37" s="274"/>
      <c r="AQ37" s="274"/>
      <c r="AR37" s="274"/>
      <c r="AS37" s="274"/>
      <c r="AT37" s="274"/>
      <c r="AU37" s="274"/>
      <c r="AV37" s="274"/>
      <c r="AW37" s="75"/>
      <c r="AX37" s="75"/>
      <c r="AY37" s="75"/>
      <c r="AZ37" s="75"/>
      <c r="BA37" s="75"/>
      <c r="BB37" s="75"/>
      <c r="BC37" s="75"/>
      <c r="BD37" s="75"/>
      <c r="BE37" s="75"/>
      <c r="BF37" s="75"/>
      <c r="BG37" s="75"/>
      <c r="BH37" s="75"/>
      <c r="BI37" s="75"/>
      <c r="BJ37" s="75"/>
      <c r="BK37" s="75"/>
    </row>
    <row r="38" spans="1:63" x14ac:dyDescent="0.25">
      <c r="A38" s="67" t="s">
        <v>1023</v>
      </c>
      <c r="B38" s="67">
        <v>20</v>
      </c>
      <c r="C38" s="67" t="s">
        <v>1077</v>
      </c>
      <c r="D38" s="75">
        <v>0.15</v>
      </c>
      <c r="E38" s="75">
        <v>0.17499999999999999</v>
      </c>
      <c r="F38" s="75">
        <v>0.2</v>
      </c>
      <c r="G38" s="75">
        <v>0.22500000000000001</v>
      </c>
      <c r="H38" s="75">
        <v>0.25</v>
      </c>
      <c r="I38" s="75">
        <v>0.28000000000000003</v>
      </c>
      <c r="J38" s="75">
        <v>0.31</v>
      </c>
      <c r="K38" s="75">
        <v>0.34</v>
      </c>
      <c r="L38" s="75">
        <v>0.37</v>
      </c>
      <c r="M38" s="75">
        <v>0.4</v>
      </c>
      <c r="N38" s="75">
        <v>0.45</v>
      </c>
      <c r="O38" s="75">
        <v>0.5</v>
      </c>
      <c r="P38" s="75">
        <v>0.55000000000000004</v>
      </c>
      <c r="Q38" s="75">
        <v>0.6</v>
      </c>
      <c r="R38" s="75">
        <v>0.65</v>
      </c>
      <c r="S38" s="75">
        <v>0.7</v>
      </c>
      <c r="T38" s="75">
        <v>0.75</v>
      </c>
      <c r="U38" s="75">
        <v>0.82</v>
      </c>
      <c r="V38" s="75">
        <v>0.9</v>
      </c>
      <c r="W38" s="75">
        <v>1</v>
      </c>
      <c r="X38" s="75"/>
      <c r="Y38" s="75"/>
      <c r="Z38" s="75"/>
      <c r="AA38" s="75"/>
      <c r="AB38" s="75"/>
      <c r="AC38" s="75"/>
      <c r="AD38" s="75"/>
      <c r="AE38" s="75"/>
      <c r="AF38" s="75"/>
      <c r="AG38" s="75"/>
      <c r="AH38" s="75"/>
      <c r="AI38" s="75"/>
      <c r="AJ38" s="75"/>
      <c r="AK38" s="75"/>
      <c r="AL38" s="75"/>
      <c r="AM38" s="75"/>
      <c r="AN38" s="75"/>
      <c r="AO38" s="75"/>
      <c r="AP38" s="75"/>
      <c r="AQ38" s="75"/>
      <c r="AR38" s="75"/>
      <c r="AS38" s="75"/>
      <c r="AT38" s="75"/>
      <c r="AU38" s="75"/>
      <c r="AV38" s="75"/>
      <c r="AW38" s="75"/>
      <c r="AX38" s="75"/>
      <c r="AY38" s="75"/>
      <c r="AZ38" s="75"/>
      <c r="BA38" s="75"/>
      <c r="BB38" s="75"/>
      <c r="BC38" s="75"/>
      <c r="BD38" s="75"/>
      <c r="BE38" s="75"/>
      <c r="BF38" s="75"/>
      <c r="BG38" s="75"/>
      <c r="BH38" s="75"/>
      <c r="BI38" s="75"/>
      <c r="BJ38" s="75"/>
      <c r="BK38" s="75"/>
    </row>
    <row r="39" spans="1:63" x14ac:dyDescent="0.25">
      <c r="A39" s="67" t="s">
        <v>969</v>
      </c>
      <c r="B39" s="67">
        <v>20</v>
      </c>
      <c r="D39" s="274">
        <v>0</v>
      </c>
      <c r="E39" s="274">
        <v>0</v>
      </c>
      <c r="F39" s="274">
        <v>0</v>
      </c>
      <c r="G39" s="274">
        <v>0</v>
      </c>
      <c r="H39" s="274">
        <v>1</v>
      </c>
      <c r="I39" s="274">
        <v>1</v>
      </c>
      <c r="J39" s="274">
        <v>1</v>
      </c>
      <c r="K39" s="274">
        <v>1</v>
      </c>
      <c r="L39" s="274">
        <v>1</v>
      </c>
      <c r="M39" s="274">
        <v>2</v>
      </c>
      <c r="N39" s="274">
        <v>2</v>
      </c>
      <c r="O39" s="274">
        <v>2</v>
      </c>
      <c r="P39" s="274">
        <v>2</v>
      </c>
      <c r="Q39" s="274">
        <v>2</v>
      </c>
      <c r="R39" s="274">
        <v>2</v>
      </c>
      <c r="S39" s="274">
        <v>2</v>
      </c>
      <c r="T39" s="274">
        <v>2</v>
      </c>
      <c r="U39" s="274">
        <v>2</v>
      </c>
      <c r="V39" s="274">
        <v>2</v>
      </c>
      <c r="W39" s="274">
        <v>3</v>
      </c>
      <c r="X39" s="75"/>
      <c r="Y39" s="75"/>
      <c r="Z39" s="75"/>
      <c r="AA39" s="75"/>
      <c r="AB39" s="75"/>
      <c r="AC39" s="75"/>
      <c r="AD39" s="75"/>
      <c r="AE39" s="75"/>
      <c r="AF39" s="75"/>
      <c r="AG39" s="75"/>
      <c r="AH39" s="75"/>
      <c r="AI39" s="75"/>
      <c r="AJ39" s="75"/>
      <c r="AK39" s="75"/>
      <c r="AL39" s="75"/>
      <c r="AM39" s="75"/>
      <c r="AN39" s="75"/>
      <c r="AO39" s="75"/>
      <c r="AP39" s="75"/>
      <c r="AQ39" s="75"/>
      <c r="AR39" s="75"/>
      <c r="AS39" s="75"/>
      <c r="AT39" s="75"/>
      <c r="AU39" s="75"/>
      <c r="AV39" s="75"/>
      <c r="AW39" s="75"/>
      <c r="AX39" s="75"/>
      <c r="AY39" s="75"/>
      <c r="AZ39" s="75"/>
      <c r="BA39" s="75"/>
      <c r="BB39" s="75"/>
      <c r="BC39" s="75"/>
      <c r="BD39" s="75"/>
      <c r="BE39" s="75"/>
      <c r="BF39" s="75"/>
      <c r="BG39" s="75"/>
      <c r="BH39" s="75"/>
      <c r="BI39" s="75"/>
      <c r="BJ39" s="75"/>
      <c r="BK39" s="75"/>
    </row>
    <row r="40" spans="1:63" x14ac:dyDescent="0.25">
      <c r="A40" s="67" t="s">
        <v>1296</v>
      </c>
      <c r="D40" s="45">
        <v>20</v>
      </c>
      <c r="E40" s="53">
        <v>0.15</v>
      </c>
      <c r="F40" s="45">
        <v>40</v>
      </c>
      <c r="G40" s="53">
        <v>0.3</v>
      </c>
      <c r="H40" s="45">
        <v>65</v>
      </c>
      <c r="I40" s="53">
        <v>0.45</v>
      </c>
      <c r="J40" s="45">
        <v>90</v>
      </c>
      <c r="K40" s="53">
        <v>0.6</v>
      </c>
      <c r="L40" s="45">
        <v>120</v>
      </c>
      <c r="M40" s="53">
        <v>0.75</v>
      </c>
      <c r="N40" s="45">
        <v>160</v>
      </c>
      <c r="O40" s="53">
        <v>0.9</v>
      </c>
      <c r="P40" s="45">
        <v>220</v>
      </c>
      <c r="Q40" s="53">
        <v>1.05</v>
      </c>
      <c r="R40" s="45">
        <v>300</v>
      </c>
      <c r="S40" s="53">
        <v>1.2</v>
      </c>
      <c r="T40" s="45">
        <v>400</v>
      </c>
      <c r="U40" s="53">
        <v>1.35</v>
      </c>
      <c r="V40" s="45">
        <v>600</v>
      </c>
      <c r="W40" s="53">
        <v>1.5</v>
      </c>
      <c r="X40" s="75"/>
      <c r="Y40" s="75"/>
      <c r="Z40" s="75"/>
      <c r="AA40" s="75"/>
      <c r="AB40" s="75"/>
      <c r="AC40" s="75"/>
      <c r="AD40" s="75"/>
      <c r="AE40" s="75"/>
      <c r="AF40" s="75"/>
      <c r="AG40" s="75"/>
      <c r="AH40" s="75"/>
      <c r="AI40" s="75"/>
      <c r="AJ40" s="75"/>
      <c r="AK40" s="75"/>
      <c r="AL40" s="75"/>
      <c r="AM40" s="75"/>
      <c r="AN40" s="75"/>
      <c r="AO40" s="75"/>
      <c r="AP40" s="75"/>
      <c r="AQ40" s="75"/>
      <c r="AR40" s="75"/>
      <c r="AS40" s="75"/>
      <c r="AT40" s="75"/>
      <c r="AU40" s="75"/>
      <c r="AV40" s="75"/>
      <c r="AW40" s="75"/>
      <c r="AX40" s="75"/>
      <c r="AY40" s="75"/>
      <c r="AZ40" s="75"/>
      <c r="BA40" s="75"/>
      <c r="BB40" s="75"/>
      <c r="BC40" s="75"/>
      <c r="BD40" s="75"/>
      <c r="BE40" s="75"/>
      <c r="BF40" s="75"/>
      <c r="BG40" s="75"/>
      <c r="BH40" s="75"/>
      <c r="BI40" s="75"/>
      <c r="BJ40" s="75"/>
      <c r="BK40" s="75"/>
    </row>
    <row r="41" spans="1:63" x14ac:dyDescent="0.25">
      <c r="A41" s="67" t="s">
        <v>1024</v>
      </c>
      <c r="B41" s="67">
        <v>45</v>
      </c>
      <c r="C41" s="67" t="s">
        <v>1128</v>
      </c>
      <c r="D41" s="75">
        <v>0.15</v>
      </c>
      <c r="E41" s="75">
        <v>0.16</v>
      </c>
      <c r="F41" s="75">
        <v>0.17</v>
      </c>
      <c r="G41" s="75">
        <v>0.18</v>
      </c>
      <c r="H41" s="75">
        <v>0.19</v>
      </c>
      <c r="I41" s="75">
        <v>0.2</v>
      </c>
      <c r="J41" s="75">
        <v>0.21</v>
      </c>
      <c r="K41" s="75">
        <v>0.22</v>
      </c>
      <c r="L41" s="75">
        <v>0.23</v>
      </c>
      <c r="M41" s="75">
        <v>0.25</v>
      </c>
      <c r="N41" s="284">
        <v>0.27500000000000002</v>
      </c>
      <c r="O41" s="75">
        <v>0.3</v>
      </c>
      <c r="P41" s="284">
        <v>0.32500000000000001</v>
      </c>
      <c r="Q41" s="75">
        <v>0.35</v>
      </c>
      <c r="R41" s="284">
        <v>0.375</v>
      </c>
      <c r="S41" s="75">
        <v>0.4</v>
      </c>
      <c r="T41" s="284">
        <v>0.42499999999999999</v>
      </c>
      <c r="U41" s="75">
        <v>0.45</v>
      </c>
      <c r="V41" s="284">
        <v>0.47499999999999998</v>
      </c>
      <c r="W41" s="75">
        <v>0.5</v>
      </c>
      <c r="X41" s="75">
        <v>0.54</v>
      </c>
      <c r="Y41" s="75">
        <v>0.57999999999999996</v>
      </c>
      <c r="Z41" s="75">
        <v>0.62</v>
      </c>
      <c r="AA41" s="75">
        <v>0.66</v>
      </c>
      <c r="AB41" s="75">
        <v>0.7</v>
      </c>
      <c r="AC41" s="75">
        <v>0.75</v>
      </c>
      <c r="AD41" s="75">
        <v>0.8</v>
      </c>
      <c r="AE41" s="75">
        <v>0.85</v>
      </c>
      <c r="AF41" s="75">
        <v>0.9</v>
      </c>
      <c r="AG41" s="75">
        <v>0.95</v>
      </c>
      <c r="AH41" s="75">
        <v>1</v>
      </c>
      <c r="AI41" s="75">
        <v>1.05</v>
      </c>
      <c r="AJ41" s="75">
        <v>1.1000000000000001</v>
      </c>
      <c r="AK41" s="75">
        <v>1.1499999999999999</v>
      </c>
      <c r="AL41" s="75">
        <v>1.2</v>
      </c>
      <c r="AM41" s="75">
        <v>1.25</v>
      </c>
      <c r="AN41" s="75">
        <v>1.3</v>
      </c>
      <c r="AO41" s="75">
        <v>1.35</v>
      </c>
      <c r="AP41" s="75">
        <v>1.4</v>
      </c>
      <c r="AQ41" s="75">
        <v>1.45</v>
      </c>
      <c r="AR41" s="75">
        <v>1.5</v>
      </c>
      <c r="AS41" s="75">
        <v>1.6</v>
      </c>
      <c r="AT41" s="75">
        <v>1.7</v>
      </c>
      <c r="AU41" s="75">
        <v>1.8</v>
      </c>
      <c r="AV41" s="75">
        <v>2</v>
      </c>
      <c r="AW41" s="75"/>
      <c r="AX41" s="75"/>
      <c r="AY41" s="75"/>
      <c r="AZ41" s="75"/>
      <c r="BA41" s="75"/>
      <c r="BB41" s="75"/>
      <c r="BC41" s="75"/>
      <c r="BD41" s="75"/>
      <c r="BE41" s="75"/>
      <c r="BF41" s="75"/>
      <c r="BG41" s="75"/>
      <c r="BH41" s="75"/>
      <c r="BI41" s="75"/>
      <c r="BJ41" s="75"/>
      <c r="BK41" s="75"/>
    </row>
    <row r="42" spans="1:63" x14ac:dyDescent="0.25">
      <c r="A42" s="67" t="s">
        <v>970</v>
      </c>
      <c r="B42" s="67">
        <v>45</v>
      </c>
      <c r="D42" s="274">
        <v>0</v>
      </c>
      <c r="E42" s="274">
        <v>0</v>
      </c>
      <c r="F42" s="274">
        <v>0</v>
      </c>
      <c r="G42" s="274">
        <v>0</v>
      </c>
      <c r="H42" s="274">
        <v>1</v>
      </c>
      <c r="I42" s="274">
        <v>1</v>
      </c>
      <c r="J42" s="274">
        <v>1</v>
      </c>
      <c r="K42" s="274">
        <v>1</v>
      </c>
      <c r="L42" s="274">
        <v>1</v>
      </c>
      <c r="M42" s="274">
        <v>2</v>
      </c>
      <c r="N42" s="274">
        <v>2</v>
      </c>
      <c r="O42" s="274">
        <v>2</v>
      </c>
      <c r="P42" s="274">
        <v>2</v>
      </c>
      <c r="Q42" s="274">
        <v>2</v>
      </c>
      <c r="R42" s="274">
        <v>2</v>
      </c>
      <c r="S42" s="274">
        <v>2</v>
      </c>
      <c r="T42" s="274">
        <v>2</v>
      </c>
      <c r="U42" s="274">
        <v>2</v>
      </c>
      <c r="V42" s="274">
        <v>2</v>
      </c>
      <c r="W42" s="274">
        <v>3</v>
      </c>
      <c r="X42" s="274">
        <v>3</v>
      </c>
      <c r="Y42" s="274">
        <v>3</v>
      </c>
      <c r="Z42" s="274">
        <v>3</v>
      </c>
      <c r="AA42" s="274">
        <v>3</v>
      </c>
      <c r="AB42" s="274">
        <v>3</v>
      </c>
      <c r="AC42" s="274">
        <v>3</v>
      </c>
      <c r="AD42" s="274">
        <v>3</v>
      </c>
      <c r="AE42" s="274">
        <v>3</v>
      </c>
      <c r="AF42" s="274">
        <v>3</v>
      </c>
      <c r="AG42" s="274">
        <v>4</v>
      </c>
      <c r="AH42" s="274">
        <v>4</v>
      </c>
      <c r="AI42" s="274">
        <v>4</v>
      </c>
      <c r="AJ42" s="274">
        <v>4</v>
      </c>
      <c r="AK42" s="274">
        <v>4</v>
      </c>
      <c r="AL42" s="274">
        <v>4</v>
      </c>
      <c r="AM42" s="274">
        <v>4</v>
      </c>
      <c r="AN42" s="274">
        <v>4</v>
      </c>
      <c r="AO42" s="274">
        <v>4</v>
      </c>
      <c r="AP42" s="274">
        <v>4</v>
      </c>
      <c r="AQ42" s="274">
        <v>4</v>
      </c>
      <c r="AR42" s="274">
        <v>4</v>
      </c>
      <c r="AS42" s="274">
        <v>4</v>
      </c>
      <c r="AT42" s="274">
        <v>4</v>
      </c>
      <c r="AU42" s="274">
        <v>4</v>
      </c>
      <c r="AV42" s="274">
        <v>5</v>
      </c>
      <c r="AW42" s="75"/>
      <c r="AX42" s="75"/>
      <c r="AY42" s="75"/>
      <c r="AZ42" s="75"/>
      <c r="BA42" s="75"/>
      <c r="BB42" s="75"/>
      <c r="BC42" s="75"/>
      <c r="BD42" s="75"/>
      <c r="BE42" s="75"/>
      <c r="BF42" s="75"/>
      <c r="BG42" s="75"/>
      <c r="BH42" s="75"/>
      <c r="BI42" s="75"/>
      <c r="BJ42" s="75"/>
      <c r="BK42" s="75"/>
    </row>
    <row r="43" spans="1:63" x14ac:dyDescent="0.25">
      <c r="A43" s="67" t="s">
        <v>1297</v>
      </c>
      <c r="D43" s="45">
        <v>100</v>
      </c>
      <c r="E43" s="53">
        <v>0.3</v>
      </c>
      <c r="F43" s="45">
        <v>200</v>
      </c>
      <c r="G43" s="53">
        <v>0.6</v>
      </c>
      <c r="H43" s="45">
        <v>325</v>
      </c>
      <c r="I43" s="53">
        <v>0.9</v>
      </c>
      <c r="J43" s="45">
        <v>450</v>
      </c>
      <c r="K43" s="53">
        <v>1.2</v>
      </c>
      <c r="L43" s="45">
        <v>600</v>
      </c>
      <c r="M43" s="53">
        <v>1.5</v>
      </c>
      <c r="N43" s="45">
        <v>800</v>
      </c>
      <c r="O43" s="53">
        <v>1.8</v>
      </c>
      <c r="P43" s="45">
        <v>1100</v>
      </c>
      <c r="Q43" s="53">
        <v>2.1</v>
      </c>
      <c r="R43" s="45">
        <v>1500</v>
      </c>
      <c r="S43" s="53">
        <v>2.4</v>
      </c>
      <c r="T43" s="45">
        <v>2000</v>
      </c>
      <c r="U43" s="53">
        <v>2.7</v>
      </c>
      <c r="V43" s="45">
        <v>3000</v>
      </c>
      <c r="W43" s="53">
        <v>3</v>
      </c>
      <c r="X43" s="274"/>
      <c r="Y43" s="274"/>
      <c r="Z43" s="274"/>
      <c r="AA43" s="274"/>
      <c r="AB43" s="274"/>
      <c r="AC43" s="274"/>
      <c r="AD43" s="274"/>
      <c r="AE43" s="274"/>
      <c r="AF43" s="274"/>
      <c r="AG43" s="274"/>
      <c r="AH43" s="274"/>
      <c r="AI43" s="274"/>
      <c r="AJ43" s="274"/>
      <c r="AK43" s="274"/>
      <c r="AL43" s="274"/>
      <c r="AM43" s="274"/>
      <c r="AN43" s="274"/>
      <c r="AO43" s="274"/>
      <c r="AP43" s="274"/>
      <c r="AQ43" s="274"/>
      <c r="AR43" s="274"/>
      <c r="AS43" s="274"/>
      <c r="AT43" s="274"/>
      <c r="AU43" s="274"/>
      <c r="AV43" s="274"/>
      <c r="AW43" s="75"/>
      <c r="AX43" s="75"/>
      <c r="AY43" s="75"/>
      <c r="AZ43" s="75"/>
      <c r="BA43" s="75"/>
      <c r="BB43" s="75"/>
      <c r="BC43" s="75"/>
      <c r="BD43" s="75"/>
      <c r="BE43" s="75"/>
      <c r="BF43" s="75"/>
      <c r="BG43" s="75"/>
      <c r="BH43" s="75"/>
      <c r="BI43" s="75"/>
      <c r="BJ43" s="75"/>
      <c r="BK43" s="75"/>
    </row>
    <row r="44" spans="1:63" x14ac:dyDescent="0.25">
      <c r="A44" s="67" t="s">
        <v>1025</v>
      </c>
      <c r="B44" s="67">
        <v>35</v>
      </c>
      <c r="C44" s="67" t="s">
        <v>1098</v>
      </c>
      <c r="D44" s="75">
        <v>0.15</v>
      </c>
      <c r="E44" s="284">
        <v>0.16500000000000001</v>
      </c>
      <c r="F44" s="75">
        <v>0.18</v>
      </c>
      <c r="G44" s="284">
        <v>0.19500000000000001</v>
      </c>
      <c r="H44" s="75">
        <v>0.21</v>
      </c>
      <c r="I44" s="75">
        <v>0.23</v>
      </c>
      <c r="J44" s="75">
        <v>0.25</v>
      </c>
      <c r="K44" s="75">
        <v>0.28000000000000003</v>
      </c>
      <c r="L44" s="75">
        <v>0.3</v>
      </c>
      <c r="M44" s="75">
        <v>0.33</v>
      </c>
      <c r="N44" s="75">
        <v>0.36</v>
      </c>
      <c r="O44" s="75">
        <v>0.39</v>
      </c>
      <c r="P44" s="75">
        <v>0.42</v>
      </c>
      <c r="Q44" s="75">
        <v>0.45</v>
      </c>
      <c r="R44" s="75">
        <v>0.48</v>
      </c>
      <c r="S44" s="75">
        <v>0.51</v>
      </c>
      <c r="T44" s="75">
        <v>0.54</v>
      </c>
      <c r="U44" s="75">
        <v>0.57999999999999996</v>
      </c>
      <c r="V44" s="75">
        <v>0.62</v>
      </c>
      <c r="W44" s="75">
        <v>0.66</v>
      </c>
      <c r="X44" s="75">
        <v>0.7</v>
      </c>
      <c r="Y44" s="75">
        <v>0.74</v>
      </c>
      <c r="Z44" s="75">
        <v>0.78</v>
      </c>
      <c r="AA44" s="75">
        <v>0.82</v>
      </c>
      <c r="AB44" s="75">
        <v>0.86</v>
      </c>
      <c r="AC44" s="75">
        <v>0.9</v>
      </c>
      <c r="AD44" s="75">
        <v>0.95</v>
      </c>
      <c r="AE44" s="75">
        <v>1</v>
      </c>
      <c r="AF44" s="75">
        <v>1.05</v>
      </c>
      <c r="AG44" s="75">
        <v>1.1000000000000001</v>
      </c>
      <c r="AH44" s="75">
        <v>1.1499999999999999</v>
      </c>
      <c r="AI44" s="75">
        <v>1.2</v>
      </c>
      <c r="AJ44" s="75">
        <v>1.25</v>
      </c>
      <c r="AK44" s="75">
        <v>1.35</v>
      </c>
      <c r="AL44" s="75">
        <v>1.5</v>
      </c>
      <c r="AM44" s="75"/>
      <c r="AN44" s="75"/>
      <c r="AO44" s="75"/>
      <c r="AP44" s="75"/>
      <c r="AQ44" s="75"/>
      <c r="AR44" s="75"/>
      <c r="AS44" s="75"/>
      <c r="AT44" s="75"/>
      <c r="AU44" s="75"/>
      <c r="AV44" s="75"/>
      <c r="AW44" s="75"/>
      <c r="AX44" s="75"/>
      <c r="AY44" s="75"/>
      <c r="AZ44" s="75"/>
      <c r="BA44" s="75"/>
      <c r="BB44" s="75"/>
      <c r="BC44" s="75"/>
      <c r="BD44" s="75"/>
      <c r="BE44" s="75"/>
      <c r="BF44" s="75"/>
      <c r="BG44" s="75"/>
      <c r="BH44" s="75"/>
      <c r="BI44" s="75"/>
      <c r="BJ44" s="75"/>
      <c r="BK44" s="75"/>
    </row>
    <row r="45" spans="1:63" x14ac:dyDescent="0.25">
      <c r="A45" s="67" t="s">
        <v>971</v>
      </c>
      <c r="B45" s="67">
        <v>35</v>
      </c>
      <c r="D45" s="274">
        <v>0</v>
      </c>
      <c r="E45" s="274">
        <v>0</v>
      </c>
      <c r="F45" s="274">
        <v>0</v>
      </c>
      <c r="G45" s="274">
        <v>0</v>
      </c>
      <c r="H45" s="274">
        <v>1</v>
      </c>
      <c r="I45" s="274">
        <v>1</v>
      </c>
      <c r="J45" s="274">
        <v>1</v>
      </c>
      <c r="K45" s="274">
        <v>1</v>
      </c>
      <c r="L45" s="274">
        <v>1</v>
      </c>
      <c r="M45" s="274">
        <v>2</v>
      </c>
      <c r="N45" s="274">
        <v>2</v>
      </c>
      <c r="O45" s="274">
        <v>2</v>
      </c>
      <c r="P45" s="274">
        <v>2</v>
      </c>
      <c r="Q45" s="274">
        <v>2</v>
      </c>
      <c r="R45" s="274">
        <v>2</v>
      </c>
      <c r="S45" s="274">
        <v>2</v>
      </c>
      <c r="T45" s="274">
        <v>2</v>
      </c>
      <c r="U45" s="274">
        <v>2</v>
      </c>
      <c r="V45" s="274">
        <v>2</v>
      </c>
      <c r="W45" s="274">
        <v>3</v>
      </c>
      <c r="X45" s="274">
        <v>3</v>
      </c>
      <c r="Y45" s="274">
        <v>3</v>
      </c>
      <c r="Z45" s="274">
        <v>3</v>
      </c>
      <c r="AA45" s="274">
        <v>3</v>
      </c>
      <c r="AB45" s="274">
        <v>3</v>
      </c>
      <c r="AC45" s="274">
        <v>3</v>
      </c>
      <c r="AD45" s="274">
        <v>3</v>
      </c>
      <c r="AE45" s="274">
        <v>3</v>
      </c>
      <c r="AF45" s="274">
        <v>3</v>
      </c>
      <c r="AG45" s="274">
        <v>3</v>
      </c>
      <c r="AH45" s="274">
        <v>3</v>
      </c>
      <c r="AI45" s="274">
        <v>3</v>
      </c>
      <c r="AJ45" s="274">
        <v>3</v>
      </c>
      <c r="AK45" s="274">
        <v>3</v>
      </c>
      <c r="AL45" s="274">
        <v>4</v>
      </c>
      <c r="AM45" s="75"/>
      <c r="AN45" s="75"/>
      <c r="AO45" s="75"/>
      <c r="AP45" s="75"/>
      <c r="AQ45" s="75"/>
      <c r="AR45" s="75"/>
      <c r="AS45" s="75"/>
      <c r="AT45" s="75"/>
      <c r="AU45" s="75"/>
      <c r="AV45" s="75"/>
      <c r="AW45" s="75"/>
      <c r="AX45" s="75"/>
      <c r="AY45" s="75"/>
      <c r="AZ45" s="75"/>
      <c r="BA45" s="75"/>
      <c r="BB45" s="75"/>
      <c r="BC45" s="75"/>
      <c r="BD45" s="75"/>
      <c r="BE45" s="75"/>
      <c r="BF45" s="75"/>
      <c r="BG45" s="75"/>
      <c r="BH45" s="75"/>
      <c r="BI45" s="75"/>
      <c r="BJ45" s="75"/>
      <c r="BK45" s="75"/>
    </row>
    <row r="46" spans="1:63" x14ac:dyDescent="0.25">
      <c r="A46" s="67" t="s">
        <v>1298</v>
      </c>
      <c r="D46" s="45">
        <v>40</v>
      </c>
      <c r="E46" s="53">
        <v>0.25</v>
      </c>
      <c r="F46" s="45">
        <v>80</v>
      </c>
      <c r="G46" s="53">
        <v>0.5</v>
      </c>
      <c r="H46" s="45">
        <v>130</v>
      </c>
      <c r="I46" s="53">
        <v>0.75</v>
      </c>
      <c r="J46" s="45">
        <v>180</v>
      </c>
      <c r="K46" s="53">
        <v>1</v>
      </c>
      <c r="L46" s="45">
        <v>240</v>
      </c>
      <c r="M46" s="53">
        <v>1.25</v>
      </c>
      <c r="N46" s="45">
        <v>320</v>
      </c>
      <c r="O46" s="53">
        <v>1.5</v>
      </c>
      <c r="P46" s="45">
        <v>440</v>
      </c>
      <c r="Q46" s="53">
        <v>1.75</v>
      </c>
      <c r="R46" s="45">
        <v>600</v>
      </c>
      <c r="S46" s="53">
        <v>2</v>
      </c>
      <c r="T46" s="45">
        <v>800</v>
      </c>
      <c r="U46" s="53">
        <v>2.25</v>
      </c>
      <c r="V46" s="45">
        <v>1200</v>
      </c>
      <c r="W46" s="53">
        <v>2.5</v>
      </c>
      <c r="X46" s="274"/>
      <c r="Y46" s="274"/>
      <c r="Z46" s="274"/>
      <c r="AA46" s="274"/>
      <c r="AB46" s="274"/>
      <c r="AC46" s="274"/>
      <c r="AD46" s="274"/>
      <c r="AE46" s="274"/>
      <c r="AF46" s="274"/>
      <c r="AG46" s="274"/>
      <c r="AH46" s="274"/>
      <c r="AI46" s="274"/>
      <c r="AJ46" s="274"/>
      <c r="AK46" s="274"/>
      <c r="AL46" s="274"/>
      <c r="AM46" s="75"/>
      <c r="AN46" s="75"/>
      <c r="AO46" s="75"/>
      <c r="AP46" s="75"/>
      <c r="AQ46" s="75"/>
      <c r="AR46" s="75"/>
      <c r="AS46" s="75"/>
      <c r="AT46" s="75"/>
      <c r="AU46" s="75"/>
      <c r="AV46" s="75"/>
      <c r="AW46" s="75"/>
      <c r="AX46" s="75"/>
      <c r="AY46" s="75"/>
      <c r="AZ46" s="75"/>
      <c r="BA46" s="75"/>
      <c r="BB46" s="75"/>
      <c r="BC46" s="75"/>
      <c r="BD46" s="75"/>
      <c r="BE46" s="75"/>
      <c r="BF46" s="75"/>
      <c r="BG46" s="75"/>
      <c r="BH46" s="75"/>
      <c r="BI46" s="75"/>
      <c r="BJ46" s="75"/>
      <c r="BK46" s="75"/>
    </row>
    <row r="47" spans="1:63" x14ac:dyDescent="0.25">
      <c r="A47" s="67" t="s">
        <v>1026</v>
      </c>
      <c r="B47" s="67">
        <v>45</v>
      </c>
      <c r="C47" s="67" t="s">
        <v>1125</v>
      </c>
      <c r="D47" s="75">
        <v>120</v>
      </c>
      <c r="E47" s="75">
        <v>121.25</v>
      </c>
      <c r="F47" s="75">
        <v>122.5</v>
      </c>
      <c r="G47" s="75">
        <v>123.75</v>
      </c>
      <c r="H47" s="75">
        <v>125</v>
      </c>
      <c r="I47" s="75">
        <v>126.88</v>
      </c>
      <c r="J47" s="75">
        <v>128.76</v>
      </c>
      <c r="K47" s="75">
        <v>130.63999999999999</v>
      </c>
      <c r="L47" s="75">
        <v>132.52000000000001</v>
      </c>
      <c r="M47" s="75">
        <v>134.4</v>
      </c>
      <c r="N47" s="75">
        <v>135.32</v>
      </c>
      <c r="O47" s="75">
        <v>136.24</v>
      </c>
      <c r="P47" s="75">
        <v>137.16</v>
      </c>
      <c r="Q47" s="75">
        <v>138.08000000000001</v>
      </c>
      <c r="R47" s="75">
        <v>139</v>
      </c>
      <c r="S47" s="75">
        <v>139.62</v>
      </c>
      <c r="T47" s="75">
        <v>140.24</v>
      </c>
      <c r="U47" s="75">
        <v>140.86000000000001</v>
      </c>
      <c r="V47" s="75">
        <v>141.47999999999999</v>
      </c>
      <c r="W47" s="75">
        <v>142.1</v>
      </c>
      <c r="X47" s="75">
        <v>145.68</v>
      </c>
      <c r="Y47" s="75">
        <v>149.26</v>
      </c>
      <c r="Z47" s="75">
        <v>152.84</v>
      </c>
      <c r="AA47" s="75">
        <v>156.41999999999999</v>
      </c>
      <c r="AB47" s="75">
        <v>160</v>
      </c>
      <c r="AC47" s="75">
        <v>160.4</v>
      </c>
      <c r="AD47" s="75">
        <v>160.80000000000001</v>
      </c>
      <c r="AE47" s="75">
        <v>161.19999999999999</v>
      </c>
      <c r="AF47" s="75">
        <v>161.6</v>
      </c>
      <c r="AG47" s="75">
        <v>162</v>
      </c>
      <c r="AH47" s="75">
        <v>162.32</v>
      </c>
      <c r="AI47" s="75">
        <v>162.63999999999999</v>
      </c>
      <c r="AJ47" s="75">
        <v>162.96</v>
      </c>
      <c r="AK47" s="75">
        <v>163.28</v>
      </c>
      <c r="AL47" s="75">
        <v>163.6</v>
      </c>
      <c r="AM47" s="75">
        <v>163.92</v>
      </c>
      <c r="AN47" s="75">
        <v>164.24</v>
      </c>
      <c r="AO47" s="75">
        <v>164.56</v>
      </c>
      <c r="AP47" s="75">
        <v>164.88</v>
      </c>
      <c r="AQ47" s="75">
        <v>165.2</v>
      </c>
      <c r="AR47" s="75">
        <v>167.16</v>
      </c>
      <c r="AS47" s="75">
        <v>169.12</v>
      </c>
      <c r="AT47" s="75">
        <v>171.08</v>
      </c>
      <c r="AU47" s="75">
        <v>173.04</v>
      </c>
      <c r="AV47" s="75">
        <v>175</v>
      </c>
      <c r="AW47" s="75"/>
      <c r="AX47" s="75"/>
      <c r="AY47" s="75"/>
      <c r="AZ47" s="75"/>
      <c r="BA47" s="75"/>
      <c r="BB47" s="75"/>
      <c r="BC47" s="75"/>
      <c r="BD47" s="75"/>
      <c r="BE47" s="75"/>
      <c r="BF47" s="75"/>
      <c r="BG47" s="75"/>
      <c r="BH47" s="75"/>
      <c r="BI47" s="75"/>
      <c r="BJ47" s="75"/>
      <c r="BK47" s="75"/>
    </row>
    <row r="48" spans="1:63" x14ac:dyDescent="0.25">
      <c r="A48" s="67" t="s">
        <v>972</v>
      </c>
      <c r="B48" s="67">
        <v>45</v>
      </c>
      <c r="D48" s="274">
        <v>0</v>
      </c>
      <c r="E48" s="274">
        <v>0</v>
      </c>
      <c r="F48" s="274">
        <v>0</v>
      </c>
      <c r="G48" s="274">
        <v>0</v>
      </c>
      <c r="H48" s="274">
        <v>1</v>
      </c>
      <c r="I48" s="274">
        <v>1</v>
      </c>
      <c r="J48" s="274">
        <v>1</v>
      </c>
      <c r="K48" s="274">
        <v>1</v>
      </c>
      <c r="L48" s="274">
        <v>1</v>
      </c>
      <c r="M48" s="274">
        <v>2</v>
      </c>
      <c r="N48" s="274">
        <v>2</v>
      </c>
      <c r="O48" s="274">
        <v>2</v>
      </c>
      <c r="P48" s="274">
        <v>2</v>
      </c>
      <c r="Q48" s="274">
        <v>2</v>
      </c>
      <c r="R48" s="274">
        <v>3</v>
      </c>
      <c r="S48" s="274">
        <v>3</v>
      </c>
      <c r="T48" s="274">
        <v>3</v>
      </c>
      <c r="U48" s="274">
        <v>3</v>
      </c>
      <c r="V48" s="274">
        <v>3</v>
      </c>
      <c r="W48" s="274">
        <v>3</v>
      </c>
      <c r="X48" s="274">
        <v>3</v>
      </c>
      <c r="Y48" s="274">
        <v>3</v>
      </c>
      <c r="Z48" s="274">
        <v>3</v>
      </c>
      <c r="AA48" s="274">
        <v>3</v>
      </c>
      <c r="AB48" s="274">
        <v>3</v>
      </c>
      <c r="AC48" s="274">
        <v>3</v>
      </c>
      <c r="AD48" s="274">
        <v>3</v>
      </c>
      <c r="AE48" s="274">
        <v>3</v>
      </c>
      <c r="AF48" s="274">
        <v>3</v>
      </c>
      <c r="AG48" s="274">
        <v>4</v>
      </c>
      <c r="AH48" s="274">
        <v>4</v>
      </c>
      <c r="AI48" s="274">
        <v>4</v>
      </c>
      <c r="AJ48" s="274">
        <v>4</v>
      </c>
      <c r="AK48" s="274">
        <v>4</v>
      </c>
      <c r="AL48" s="274">
        <v>4</v>
      </c>
      <c r="AM48" s="274">
        <v>4</v>
      </c>
      <c r="AN48" s="274">
        <v>4</v>
      </c>
      <c r="AO48" s="274">
        <v>4</v>
      </c>
      <c r="AP48" s="274">
        <v>4</v>
      </c>
      <c r="AQ48" s="274">
        <v>4</v>
      </c>
      <c r="AR48" s="274">
        <v>4</v>
      </c>
      <c r="AS48" s="274">
        <v>4</v>
      </c>
      <c r="AT48" s="274">
        <v>4</v>
      </c>
      <c r="AU48" s="274">
        <v>4</v>
      </c>
      <c r="AV48" s="274">
        <v>5</v>
      </c>
      <c r="AW48" s="75"/>
      <c r="AX48" s="75"/>
      <c r="AY48" s="75"/>
      <c r="AZ48" s="75"/>
      <c r="BA48" s="75"/>
      <c r="BB48" s="75"/>
      <c r="BC48" s="75"/>
      <c r="BD48" s="75"/>
      <c r="BE48" s="75"/>
      <c r="BF48" s="75"/>
      <c r="BG48" s="75"/>
      <c r="BH48" s="75"/>
      <c r="BI48" s="75"/>
      <c r="BJ48" s="75"/>
      <c r="BK48" s="75"/>
    </row>
    <row r="49" spans="1:63" x14ac:dyDescent="0.25">
      <c r="A49" s="67" t="s">
        <v>1299</v>
      </c>
      <c r="D49" s="45">
        <v>100</v>
      </c>
      <c r="E49" s="53">
        <v>0.3</v>
      </c>
      <c r="F49" s="45">
        <v>200</v>
      </c>
      <c r="G49" s="53">
        <v>0.6</v>
      </c>
      <c r="H49" s="45">
        <v>325</v>
      </c>
      <c r="I49" s="53">
        <v>0.9</v>
      </c>
      <c r="J49" s="45">
        <v>450</v>
      </c>
      <c r="K49" s="53">
        <v>1.2</v>
      </c>
      <c r="L49" s="45">
        <v>600</v>
      </c>
      <c r="M49" s="53">
        <v>1.5</v>
      </c>
      <c r="N49" s="45">
        <v>800</v>
      </c>
      <c r="O49" s="53">
        <v>1.8</v>
      </c>
      <c r="P49" s="45">
        <v>1100</v>
      </c>
      <c r="Q49" s="53">
        <v>2.1</v>
      </c>
      <c r="R49" s="45">
        <v>1500</v>
      </c>
      <c r="S49" s="53">
        <v>2.4</v>
      </c>
      <c r="T49" s="45">
        <v>2000</v>
      </c>
      <c r="U49" s="53">
        <v>2.7</v>
      </c>
      <c r="V49" s="45">
        <v>3000</v>
      </c>
      <c r="W49" s="53">
        <v>3</v>
      </c>
      <c r="X49" s="274"/>
      <c r="Y49" s="274"/>
      <c r="Z49" s="274"/>
      <c r="AA49" s="274"/>
      <c r="AB49" s="274"/>
      <c r="AC49" s="274"/>
      <c r="AD49" s="274"/>
      <c r="AE49" s="274"/>
      <c r="AF49" s="274"/>
      <c r="AG49" s="274"/>
      <c r="AH49" s="274"/>
      <c r="AI49" s="274"/>
      <c r="AJ49" s="274"/>
      <c r="AK49" s="274"/>
      <c r="AL49" s="274"/>
      <c r="AM49" s="274"/>
      <c r="AN49" s="274"/>
      <c r="AO49" s="274"/>
      <c r="AP49" s="274"/>
      <c r="AQ49" s="274"/>
      <c r="AR49" s="274"/>
      <c r="AS49" s="274"/>
      <c r="AT49" s="274"/>
      <c r="AU49" s="274"/>
      <c r="AV49" s="274"/>
      <c r="AW49" s="75"/>
      <c r="AX49" s="75"/>
      <c r="AY49" s="75"/>
      <c r="AZ49" s="75"/>
      <c r="BA49" s="75"/>
      <c r="BB49" s="75"/>
      <c r="BC49" s="75"/>
      <c r="BD49" s="75"/>
      <c r="BE49" s="75"/>
      <c r="BF49" s="75"/>
      <c r="BG49" s="75"/>
      <c r="BH49" s="75"/>
      <c r="BI49" s="75"/>
      <c r="BJ49" s="75"/>
      <c r="BK49" s="75"/>
    </row>
    <row r="50" spans="1:63" x14ac:dyDescent="0.25">
      <c r="A50" s="67" t="s">
        <v>1027</v>
      </c>
      <c r="B50" s="67">
        <v>45</v>
      </c>
      <c r="C50" s="67" t="s">
        <v>1183</v>
      </c>
      <c r="D50" s="75">
        <v>0.35</v>
      </c>
      <c r="E50" s="75">
        <v>0.36</v>
      </c>
      <c r="F50" s="75">
        <v>0.37</v>
      </c>
      <c r="G50" s="75">
        <v>0.38</v>
      </c>
      <c r="H50" s="75">
        <v>0.39</v>
      </c>
      <c r="I50" s="75">
        <v>0.4</v>
      </c>
      <c r="J50" s="75">
        <v>0.41</v>
      </c>
      <c r="K50" s="75">
        <v>0.42</v>
      </c>
      <c r="L50" s="75">
        <v>0.43</v>
      </c>
      <c r="M50" s="75">
        <v>0.44</v>
      </c>
      <c r="N50" s="75">
        <v>0.45</v>
      </c>
      <c r="O50" s="75">
        <v>0.46</v>
      </c>
      <c r="P50" s="75">
        <v>0.47</v>
      </c>
      <c r="Q50" s="75">
        <v>0.48</v>
      </c>
      <c r="R50" s="75">
        <v>0.49</v>
      </c>
      <c r="S50" s="75">
        <v>0.5</v>
      </c>
      <c r="T50" s="75">
        <v>0.51</v>
      </c>
      <c r="U50" s="75">
        <v>0.52</v>
      </c>
      <c r="V50" s="75">
        <v>0.53</v>
      </c>
      <c r="W50" s="75">
        <v>0.54</v>
      </c>
      <c r="X50" s="75">
        <v>0.55000000000000004</v>
      </c>
      <c r="Y50" s="75">
        <v>0.56000000000000005</v>
      </c>
      <c r="Z50" s="75">
        <v>0.56999999999999995</v>
      </c>
      <c r="AA50" s="75">
        <v>0.57999999999999996</v>
      </c>
      <c r="AB50" s="75">
        <v>0.59</v>
      </c>
      <c r="AC50" s="75">
        <v>0.6</v>
      </c>
      <c r="AD50" s="75">
        <v>0.61</v>
      </c>
      <c r="AE50" s="75">
        <v>0.62</v>
      </c>
      <c r="AF50" s="75">
        <v>0.63</v>
      </c>
      <c r="AG50" s="75">
        <v>0.64</v>
      </c>
      <c r="AH50" s="75">
        <v>0.65</v>
      </c>
      <c r="AI50" s="75">
        <v>0.66</v>
      </c>
      <c r="AJ50" s="75">
        <v>0.67</v>
      </c>
      <c r="AK50" s="75">
        <v>0.68</v>
      </c>
      <c r="AL50" s="75">
        <v>0.69</v>
      </c>
      <c r="AM50" s="75">
        <v>0.7</v>
      </c>
      <c r="AN50" s="75">
        <v>0.71</v>
      </c>
      <c r="AO50" s="75">
        <v>0.72</v>
      </c>
      <c r="AP50" s="75">
        <v>0.73</v>
      </c>
      <c r="AQ50" s="75">
        <v>0.74</v>
      </c>
      <c r="AR50" s="75">
        <v>0.75</v>
      </c>
      <c r="AS50" s="75">
        <v>0.76</v>
      </c>
      <c r="AT50" s="75">
        <v>0.77</v>
      </c>
      <c r="AU50" s="75">
        <v>0.78</v>
      </c>
      <c r="AV50" s="75">
        <v>0.8</v>
      </c>
      <c r="AW50" s="75"/>
      <c r="AX50" s="75"/>
      <c r="AY50" s="75"/>
      <c r="AZ50" s="75"/>
      <c r="BA50" s="75"/>
      <c r="BB50" s="75"/>
      <c r="BC50" s="75"/>
      <c r="BD50" s="75"/>
      <c r="BE50" s="75"/>
      <c r="BF50" s="75"/>
      <c r="BG50" s="75"/>
      <c r="BH50" s="75"/>
      <c r="BI50" s="75"/>
      <c r="BJ50" s="75"/>
      <c r="BK50" s="75"/>
    </row>
    <row r="51" spans="1:63" x14ac:dyDescent="0.25">
      <c r="A51" s="67" t="s">
        <v>973</v>
      </c>
      <c r="B51" s="67">
        <v>45</v>
      </c>
      <c r="D51" s="274">
        <v>0</v>
      </c>
      <c r="E51" s="274">
        <v>0</v>
      </c>
      <c r="F51" s="274">
        <v>0</v>
      </c>
      <c r="G51" s="274">
        <v>0</v>
      </c>
      <c r="H51" s="274">
        <v>1</v>
      </c>
      <c r="I51" s="274">
        <v>1</v>
      </c>
      <c r="J51" s="274">
        <v>1</v>
      </c>
      <c r="K51" s="274">
        <v>1</v>
      </c>
      <c r="L51" s="274">
        <v>1</v>
      </c>
      <c r="M51" s="274">
        <v>2</v>
      </c>
      <c r="N51" s="274">
        <v>2</v>
      </c>
      <c r="O51" s="274">
        <v>2</v>
      </c>
      <c r="P51" s="274">
        <v>2</v>
      </c>
      <c r="Q51" s="274">
        <v>2</v>
      </c>
      <c r="R51" s="274">
        <v>2</v>
      </c>
      <c r="S51" s="274">
        <v>2</v>
      </c>
      <c r="T51" s="274">
        <v>2</v>
      </c>
      <c r="U51" s="274">
        <v>2</v>
      </c>
      <c r="V51" s="274">
        <v>2</v>
      </c>
      <c r="W51" s="274">
        <v>3</v>
      </c>
      <c r="X51" s="274">
        <v>3</v>
      </c>
      <c r="Y51" s="274">
        <v>3</v>
      </c>
      <c r="Z51" s="274">
        <v>3</v>
      </c>
      <c r="AA51" s="274">
        <v>3</v>
      </c>
      <c r="AB51" s="274">
        <v>3</v>
      </c>
      <c r="AC51" s="274">
        <v>3</v>
      </c>
      <c r="AD51" s="274">
        <v>3</v>
      </c>
      <c r="AE51" s="274">
        <v>3</v>
      </c>
      <c r="AF51" s="274">
        <v>3</v>
      </c>
      <c r="AG51" s="274">
        <v>4</v>
      </c>
      <c r="AH51" s="274">
        <v>4</v>
      </c>
      <c r="AI51" s="274">
        <v>4</v>
      </c>
      <c r="AJ51" s="274">
        <v>4</v>
      </c>
      <c r="AK51" s="274">
        <v>4</v>
      </c>
      <c r="AL51" s="274">
        <v>5</v>
      </c>
      <c r="AM51" s="274">
        <v>5</v>
      </c>
      <c r="AN51" s="274">
        <v>5</v>
      </c>
      <c r="AO51" s="274">
        <v>5</v>
      </c>
      <c r="AP51" s="274">
        <v>5</v>
      </c>
      <c r="AQ51" s="274">
        <v>6</v>
      </c>
      <c r="AR51" s="274">
        <v>6</v>
      </c>
      <c r="AS51" s="274">
        <v>6</v>
      </c>
      <c r="AT51" s="274">
        <v>6</v>
      </c>
      <c r="AU51" s="274">
        <v>6</v>
      </c>
      <c r="AV51" s="274">
        <v>7</v>
      </c>
      <c r="AW51" s="75"/>
      <c r="AX51" s="75"/>
      <c r="AY51" s="75"/>
      <c r="AZ51" s="75"/>
      <c r="BA51" s="75"/>
      <c r="BB51" s="75"/>
      <c r="BC51" s="75"/>
      <c r="BD51" s="75"/>
      <c r="BE51" s="75"/>
      <c r="BF51" s="75"/>
      <c r="BG51" s="75"/>
      <c r="BH51" s="75"/>
      <c r="BI51" s="75"/>
      <c r="BJ51" s="75"/>
      <c r="BK51" s="75"/>
    </row>
    <row r="52" spans="1:63" x14ac:dyDescent="0.25">
      <c r="A52" s="67" t="s">
        <v>1300</v>
      </c>
      <c r="D52" s="45">
        <v>200</v>
      </c>
      <c r="E52" s="53">
        <v>0.3</v>
      </c>
      <c r="F52" s="45">
        <v>400</v>
      </c>
      <c r="G52" s="53">
        <v>0.6</v>
      </c>
      <c r="H52" s="45">
        <v>650</v>
      </c>
      <c r="I52" s="53">
        <v>0.9</v>
      </c>
      <c r="J52" s="45">
        <v>900</v>
      </c>
      <c r="K52" s="53">
        <v>1.2</v>
      </c>
      <c r="L52" s="45">
        <v>1200</v>
      </c>
      <c r="M52" s="53">
        <v>1.5</v>
      </c>
      <c r="N52" s="45">
        <v>1600</v>
      </c>
      <c r="O52" s="53">
        <v>1.8</v>
      </c>
      <c r="P52" s="45">
        <v>2200</v>
      </c>
      <c r="Q52" s="53">
        <v>2.1</v>
      </c>
      <c r="R52" s="45">
        <v>3000</v>
      </c>
      <c r="S52" s="53">
        <v>2.4</v>
      </c>
      <c r="T52" s="45">
        <v>4000</v>
      </c>
      <c r="U52" s="53">
        <v>2.7</v>
      </c>
      <c r="V52" s="45">
        <v>6000</v>
      </c>
      <c r="W52" s="53">
        <v>3</v>
      </c>
      <c r="X52" s="274"/>
      <c r="Y52" s="274"/>
      <c r="Z52" s="274"/>
      <c r="AA52" s="274"/>
      <c r="AB52" s="274"/>
      <c r="AC52" s="274"/>
      <c r="AD52" s="274"/>
      <c r="AE52" s="274"/>
      <c r="AF52" s="274"/>
      <c r="AG52" s="274"/>
      <c r="AH52" s="274"/>
      <c r="AI52" s="274"/>
      <c r="AJ52" s="274"/>
      <c r="AK52" s="274"/>
      <c r="AL52" s="274"/>
      <c r="AM52" s="274"/>
      <c r="AN52" s="274"/>
      <c r="AO52" s="274"/>
      <c r="AP52" s="274"/>
      <c r="AQ52" s="274"/>
      <c r="AR52" s="274"/>
      <c r="AS52" s="274"/>
      <c r="AT52" s="274"/>
      <c r="AU52" s="274"/>
      <c r="AV52" s="274"/>
      <c r="AW52" s="75"/>
      <c r="AX52" s="75"/>
      <c r="AY52" s="75"/>
      <c r="AZ52" s="75"/>
      <c r="BA52" s="75"/>
      <c r="BB52" s="75"/>
      <c r="BC52" s="75"/>
      <c r="BD52" s="75"/>
      <c r="BE52" s="75"/>
      <c r="BF52" s="75"/>
      <c r="BG52" s="75"/>
      <c r="BH52" s="75"/>
      <c r="BI52" s="75"/>
      <c r="BJ52" s="75"/>
      <c r="BK52" s="75"/>
    </row>
    <row r="53" spans="1:63" x14ac:dyDescent="0.25">
      <c r="A53" s="67" t="s">
        <v>1028</v>
      </c>
      <c r="B53" s="67">
        <v>60</v>
      </c>
      <c r="C53" s="67" t="s">
        <v>1238</v>
      </c>
      <c r="D53" s="75">
        <v>0.02</v>
      </c>
      <c r="E53" s="75">
        <v>0.02</v>
      </c>
      <c r="F53" s="75">
        <v>0.02</v>
      </c>
      <c r="G53" s="75">
        <v>0.02</v>
      </c>
      <c r="H53" s="75">
        <v>0.02</v>
      </c>
      <c r="I53" s="75">
        <v>0.04</v>
      </c>
      <c r="J53" s="75">
        <v>0.03</v>
      </c>
      <c r="K53" s="75">
        <v>0.04</v>
      </c>
      <c r="L53" s="75">
        <v>0.04</v>
      </c>
      <c r="M53" s="75">
        <v>0.04</v>
      </c>
      <c r="N53" s="75">
        <v>0.04</v>
      </c>
      <c r="O53" s="75">
        <v>0.05</v>
      </c>
      <c r="P53" s="75">
        <v>0.05</v>
      </c>
      <c r="Q53" s="75">
        <v>0.05</v>
      </c>
      <c r="R53" s="75">
        <v>0.06</v>
      </c>
      <c r="S53" s="75">
        <v>0.06</v>
      </c>
      <c r="T53" s="75">
        <v>0.06</v>
      </c>
      <c r="U53" s="75">
        <v>0.06</v>
      </c>
      <c r="V53" s="75">
        <v>7.0000000000000007E-2</v>
      </c>
      <c r="W53" s="75">
        <v>7.0000000000000007E-2</v>
      </c>
      <c r="X53" s="75">
        <v>7.0000000000000007E-2</v>
      </c>
      <c r="Y53" s="75">
        <v>0.08</v>
      </c>
      <c r="Z53" s="75">
        <v>0.08</v>
      </c>
      <c r="AA53" s="75">
        <v>0.08</v>
      </c>
      <c r="AB53" s="75">
        <v>0.08</v>
      </c>
      <c r="AC53" s="75">
        <v>0.09</v>
      </c>
      <c r="AD53" s="75">
        <v>0.09</v>
      </c>
      <c r="AE53" s="75">
        <v>0.09</v>
      </c>
      <c r="AF53" s="75">
        <v>0.1</v>
      </c>
      <c r="AG53" s="75">
        <v>0.1</v>
      </c>
      <c r="AH53" s="75">
        <v>0.1</v>
      </c>
      <c r="AI53" s="75">
        <v>0.1</v>
      </c>
      <c r="AJ53" s="75">
        <v>0.11</v>
      </c>
      <c r="AK53" s="75">
        <v>0.11</v>
      </c>
      <c r="AL53" s="75">
        <v>0.11</v>
      </c>
      <c r="AM53" s="75">
        <v>0.12</v>
      </c>
      <c r="AN53" s="75">
        <v>0.12</v>
      </c>
      <c r="AO53" s="75">
        <v>0.12</v>
      </c>
      <c r="AP53" s="75">
        <v>0.12</v>
      </c>
      <c r="AQ53" s="75">
        <v>0.13</v>
      </c>
      <c r="AR53" s="75">
        <v>0.13</v>
      </c>
      <c r="AS53" s="75">
        <v>0.13</v>
      </c>
      <c r="AT53" s="75">
        <v>0.14000000000000001</v>
      </c>
      <c r="AU53" s="75">
        <v>0.14000000000000001</v>
      </c>
      <c r="AV53" s="75">
        <v>0.14000000000000001</v>
      </c>
      <c r="AW53" s="75">
        <v>0.14000000000000001</v>
      </c>
      <c r="AX53" s="75">
        <v>0.15</v>
      </c>
      <c r="AY53" s="75">
        <v>0.15</v>
      </c>
      <c r="AZ53" s="75">
        <v>0.15</v>
      </c>
      <c r="BA53" s="75">
        <v>0.16</v>
      </c>
      <c r="BB53" s="75">
        <v>0.16</v>
      </c>
      <c r="BC53" s="75">
        <v>0.16</v>
      </c>
      <c r="BD53" s="75">
        <v>0.16</v>
      </c>
      <c r="BE53" s="75">
        <v>0.17</v>
      </c>
      <c r="BF53" s="75">
        <v>0.17</v>
      </c>
      <c r="BG53" s="75">
        <v>0.17</v>
      </c>
      <c r="BH53" s="75">
        <v>0.18</v>
      </c>
      <c r="BI53" s="75">
        <v>0.18</v>
      </c>
      <c r="BJ53" s="75">
        <v>0.18</v>
      </c>
      <c r="BK53" s="75">
        <v>0.2</v>
      </c>
    </row>
    <row r="54" spans="1:63" x14ac:dyDescent="0.25">
      <c r="A54" s="67" t="s">
        <v>974</v>
      </c>
      <c r="B54" s="67">
        <v>60</v>
      </c>
      <c r="D54" s="274">
        <v>0</v>
      </c>
      <c r="E54" s="274">
        <v>0</v>
      </c>
      <c r="F54" s="274">
        <v>0</v>
      </c>
      <c r="G54" s="274">
        <v>0</v>
      </c>
      <c r="H54" s="274">
        <v>1</v>
      </c>
      <c r="I54" s="274">
        <v>1</v>
      </c>
      <c r="J54" s="274">
        <v>1</v>
      </c>
      <c r="K54" s="274">
        <v>1</v>
      </c>
      <c r="L54" s="274">
        <v>1</v>
      </c>
      <c r="M54" s="274">
        <v>2</v>
      </c>
      <c r="N54" s="274">
        <v>2</v>
      </c>
      <c r="O54" s="274">
        <v>2</v>
      </c>
      <c r="P54" s="274">
        <v>2</v>
      </c>
      <c r="Q54" s="274">
        <v>2</v>
      </c>
      <c r="R54" s="274">
        <v>2</v>
      </c>
      <c r="S54" s="274">
        <v>2</v>
      </c>
      <c r="T54" s="274">
        <v>2</v>
      </c>
      <c r="U54" s="274">
        <v>2</v>
      </c>
      <c r="V54" s="274">
        <v>2</v>
      </c>
      <c r="W54" s="274">
        <v>3</v>
      </c>
      <c r="X54" s="274">
        <v>3</v>
      </c>
      <c r="Y54" s="274">
        <v>3</v>
      </c>
      <c r="Z54" s="274">
        <v>3</v>
      </c>
      <c r="AA54" s="274">
        <v>3</v>
      </c>
      <c r="AB54" s="274">
        <v>3</v>
      </c>
      <c r="AC54" s="274">
        <v>3</v>
      </c>
      <c r="AD54" s="274">
        <v>3</v>
      </c>
      <c r="AE54" s="274">
        <v>3</v>
      </c>
      <c r="AF54" s="274">
        <v>3</v>
      </c>
      <c r="AG54" s="274">
        <v>4</v>
      </c>
      <c r="AH54" s="274">
        <v>4</v>
      </c>
      <c r="AI54" s="274">
        <v>4</v>
      </c>
      <c r="AJ54" s="274">
        <v>4</v>
      </c>
      <c r="AK54" s="274">
        <v>4</v>
      </c>
      <c r="AL54" s="274">
        <v>4</v>
      </c>
      <c r="AM54" s="274">
        <v>4</v>
      </c>
      <c r="AN54" s="274">
        <v>4</v>
      </c>
      <c r="AO54" s="274">
        <v>4</v>
      </c>
      <c r="AP54" s="274">
        <v>4</v>
      </c>
      <c r="AQ54" s="274">
        <v>5</v>
      </c>
      <c r="AR54" s="274">
        <v>5</v>
      </c>
      <c r="AS54" s="274">
        <v>5</v>
      </c>
      <c r="AT54" s="274">
        <v>5</v>
      </c>
      <c r="AU54" s="274">
        <v>5</v>
      </c>
      <c r="AV54" s="274">
        <v>6</v>
      </c>
      <c r="AW54" s="274">
        <v>6</v>
      </c>
      <c r="AX54" s="274">
        <v>6</v>
      </c>
      <c r="AY54" s="274">
        <v>6</v>
      </c>
      <c r="AZ54" s="274">
        <v>6</v>
      </c>
      <c r="BA54" s="274">
        <v>6</v>
      </c>
      <c r="BB54" s="274">
        <v>6</v>
      </c>
      <c r="BC54" s="274">
        <v>6</v>
      </c>
      <c r="BD54" s="274">
        <v>6</v>
      </c>
      <c r="BE54" s="274">
        <v>6</v>
      </c>
      <c r="BF54" s="274">
        <v>7</v>
      </c>
      <c r="BG54" s="274">
        <v>7</v>
      </c>
      <c r="BH54" s="274">
        <v>7</v>
      </c>
      <c r="BI54" s="274">
        <v>7</v>
      </c>
      <c r="BJ54" s="274">
        <v>7</v>
      </c>
      <c r="BK54" s="274">
        <v>7</v>
      </c>
    </row>
    <row r="55" spans="1:63" x14ac:dyDescent="0.25">
      <c r="A55" s="67" t="s">
        <v>1301</v>
      </c>
      <c r="D55" s="45">
        <v>1500</v>
      </c>
      <c r="E55" s="53">
        <v>0.5</v>
      </c>
      <c r="F55" s="45">
        <v>3000</v>
      </c>
      <c r="G55" s="53">
        <v>1</v>
      </c>
      <c r="H55" s="45">
        <v>4875</v>
      </c>
      <c r="I55" s="53">
        <v>1.5</v>
      </c>
      <c r="J55" s="45">
        <v>6750</v>
      </c>
      <c r="K55" s="53">
        <v>2</v>
      </c>
      <c r="L55" s="45">
        <v>9000</v>
      </c>
      <c r="M55" s="53">
        <v>2.5</v>
      </c>
      <c r="N55" s="45">
        <v>12000</v>
      </c>
      <c r="O55" s="53">
        <v>3</v>
      </c>
      <c r="P55" s="45">
        <v>16500</v>
      </c>
      <c r="Q55" s="53">
        <v>3.5</v>
      </c>
      <c r="R55" s="45">
        <v>22500</v>
      </c>
      <c r="S55" s="53">
        <v>4</v>
      </c>
      <c r="T55" s="45">
        <v>30000</v>
      </c>
      <c r="U55" s="53">
        <v>4.5</v>
      </c>
      <c r="V55" s="45">
        <v>45000</v>
      </c>
      <c r="W55" s="53">
        <v>5</v>
      </c>
      <c r="X55" s="274"/>
      <c r="Y55" s="274"/>
      <c r="Z55" s="274"/>
      <c r="AA55" s="274"/>
      <c r="AB55" s="274"/>
      <c r="AC55" s="274"/>
      <c r="AD55" s="274"/>
      <c r="AE55" s="274"/>
      <c r="AF55" s="274"/>
      <c r="AG55" s="274"/>
      <c r="AH55" s="274"/>
      <c r="AI55" s="274"/>
      <c r="AJ55" s="274"/>
      <c r="AK55" s="274"/>
      <c r="AL55" s="274"/>
      <c r="AM55" s="274"/>
      <c r="AN55" s="274"/>
      <c r="AO55" s="274"/>
      <c r="AP55" s="274"/>
      <c r="AQ55" s="274"/>
      <c r="AR55" s="274"/>
      <c r="AS55" s="274"/>
      <c r="AT55" s="274"/>
      <c r="AU55" s="274"/>
      <c r="AV55" s="274"/>
      <c r="AW55" s="274"/>
      <c r="AX55" s="274"/>
      <c r="AY55" s="274"/>
      <c r="AZ55" s="274"/>
      <c r="BA55" s="274"/>
      <c r="BB55" s="274"/>
      <c r="BC55" s="274"/>
      <c r="BD55" s="274"/>
      <c r="BE55" s="274"/>
      <c r="BF55" s="274"/>
      <c r="BG55" s="274"/>
      <c r="BH55" s="274"/>
      <c r="BI55" s="274"/>
      <c r="BJ55" s="274"/>
      <c r="BK55" s="274"/>
    </row>
    <row r="56" spans="1:63" x14ac:dyDescent="0.25">
      <c r="A56" s="67" t="s">
        <v>1029</v>
      </c>
      <c r="B56" s="67">
        <v>45</v>
      </c>
      <c r="C56" s="67" t="s">
        <v>1129</v>
      </c>
      <c r="D56" s="75">
        <v>0.3</v>
      </c>
      <c r="E56" s="75">
        <v>0.32</v>
      </c>
      <c r="F56" s="75">
        <v>0.34</v>
      </c>
      <c r="G56" s="75">
        <v>0.36</v>
      </c>
      <c r="H56" s="75">
        <v>0.38</v>
      </c>
      <c r="I56" s="75">
        <v>0.4</v>
      </c>
      <c r="J56" s="75">
        <v>0.42</v>
      </c>
      <c r="K56" s="75">
        <v>0.44</v>
      </c>
      <c r="L56" s="75">
        <v>0.46</v>
      </c>
      <c r="M56" s="75">
        <v>0.48</v>
      </c>
      <c r="N56" s="75">
        <v>0.5</v>
      </c>
      <c r="O56" s="75">
        <v>0.52</v>
      </c>
      <c r="P56" s="75">
        <v>0.54</v>
      </c>
      <c r="Q56" s="75">
        <v>0.56000000000000005</v>
      </c>
      <c r="R56" s="75">
        <v>0.57999999999999996</v>
      </c>
      <c r="S56" s="75">
        <v>0.6</v>
      </c>
      <c r="T56" s="75">
        <v>0.62</v>
      </c>
      <c r="U56" s="75">
        <v>0.64</v>
      </c>
      <c r="V56" s="75">
        <v>0.66</v>
      </c>
      <c r="W56" s="75">
        <v>0.68</v>
      </c>
      <c r="X56" s="75">
        <v>0.7</v>
      </c>
      <c r="Y56" s="75">
        <v>0.72</v>
      </c>
      <c r="Z56" s="75">
        <v>0.74</v>
      </c>
      <c r="AA56" s="75">
        <v>0.76</v>
      </c>
      <c r="AB56" s="75">
        <v>0.78</v>
      </c>
      <c r="AC56" s="75">
        <v>0.8</v>
      </c>
      <c r="AD56" s="75">
        <v>0.82</v>
      </c>
      <c r="AE56" s="75">
        <v>0.84</v>
      </c>
      <c r="AF56" s="75">
        <v>0.86</v>
      </c>
      <c r="AG56" s="75">
        <v>0.88</v>
      </c>
      <c r="AH56" s="75">
        <v>0.9</v>
      </c>
      <c r="AI56" s="75">
        <v>0.92</v>
      </c>
      <c r="AJ56" s="75">
        <v>0.94</v>
      </c>
      <c r="AK56" s="75">
        <v>0.96</v>
      </c>
      <c r="AL56" s="75">
        <v>0.98</v>
      </c>
      <c r="AM56" s="75">
        <v>1</v>
      </c>
      <c r="AN56" s="75">
        <v>1.02</v>
      </c>
      <c r="AO56" s="75">
        <v>1.04</v>
      </c>
      <c r="AP56" s="75">
        <v>1.06</v>
      </c>
      <c r="AQ56" s="75">
        <v>1.08</v>
      </c>
      <c r="AR56" s="75">
        <v>1.1000000000000001</v>
      </c>
      <c r="AS56" s="75">
        <v>1.1200000000000001</v>
      </c>
      <c r="AT56" s="75">
        <v>1.1399999999999999</v>
      </c>
      <c r="AU56" s="75">
        <v>1.1599999999999999</v>
      </c>
      <c r="AV56" s="75">
        <v>1.2</v>
      </c>
      <c r="AW56" s="75"/>
      <c r="AX56" s="75"/>
      <c r="AY56" s="75"/>
      <c r="AZ56" s="75"/>
      <c r="BA56" s="75"/>
      <c r="BB56" s="75"/>
      <c r="BC56" s="75"/>
      <c r="BD56" s="75"/>
      <c r="BE56" s="75"/>
      <c r="BF56" s="75"/>
      <c r="BG56" s="75"/>
      <c r="BH56" s="75"/>
      <c r="BI56" s="75"/>
      <c r="BJ56" s="75"/>
      <c r="BK56" s="75"/>
    </row>
    <row r="57" spans="1:63" x14ac:dyDescent="0.25">
      <c r="A57" s="67" t="s">
        <v>975</v>
      </c>
      <c r="B57" s="67">
        <v>45</v>
      </c>
      <c r="D57" s="274">
        <v>0</v>
      </c>
      <c r="E57" s="274">
        <v>0</v>
      </c>
      <c r="F57" s="274">
        <v>0</v>
      </c>
      <c r="G57" s="274">
        <v>0</v>
      </c>
      <c r="H57" s="274">
        <v>1</v>
      </c>
      <c r="I57" s="274">
        <v>1</v>
      </c>
      <c r="J57" s="274">
        <v>1</v>
      </c>
      <c r="K57" s="274">
        <v>1</v>
      </c>
      <c r="L57" s="274">
        <v>1</v>
      </c>
      <c r="M57" s="274">
        <v>2</v>
      </c>
      <c r="N57" s="274">
        <v>2</v>
      </c>
      <c r="O57" s="274">
        <v>2</v>
      </c>
      <c r="P57" s="274">
        <v>2</v>
      </c>
      <c r="Q57" s="274">
        <v>2</v>
      </c>
      <c r="R57" s="274">
        <v>2</v>
      </c>
      <c r="S57" s="274">
        <v>2</v>
      </c>
      <c r="T57" s="274">
        <v>2</v>
      </c>
      <c r="U57" s="274">
        <v>2</v>
      </c>
      <c r="V57" s="274">
        <v>2</v>
      </c>
      <c r="W57" s="274">
        <v>3</v>
      </c>
      <c r="X57" s="274">
        <v>3</v>
      </c>
      <c r="Y57" s="274">
        <v>3</v>
      </c>
      <c r="Z57" s="274">
        <v>3</v>
      </c>
      <c r="AA57" s="274">
        <v>3</v>
      </c>
      <c r="AB57" s="274">
        <v>3</v>
      </c>
      <c r="AC57" s="274">
        <v>3</v>
      </c>
      <c r="AD57" s="274">
        <v>3</v>
      </c>
      <c r="AE57" s="274">
        <v>3</v>
      </c>
      <c r="AF57" s="274">
        <v>3</v>
      </c>
      <c r="AG57" s="274">
        <v>4</v>
      </c>
      <c r="AH57" s="274">
        <v>4</v>
      </c>
      <c r="AI57" s="274">
        <v>4</v>
      </c>
      <c r="AJ57" s="274">
        <v>4</v>
      </c>
      <c r="AK57" s="274">
        <v>4</v>
      </c>
      <c r="AL57" s="274">
        <v>4</v>
      </c>
      <c r="AM57" s="274">
        <v>4</v>
      </c>
      <c r="AN57" s="274">
        <v>4</v>
      </c>
      <c r="AO57" s="274">
        <v>4</v>
      </c>
      <c r="AP57" s="274">
        <v>4</v>
      </c>
      <c r="AQ57" s="274">
        <v>5</v>
      </c>
      <c r="AR57" s="274">
        <v>5</v>
      </c>
      <c r="AS57" s="274">
        <v>5</v>
      </c>
      <c r="AT57" s="274">
        <v>5</v>
      </c>
      <c r="AU57" s="274">
        <v>5</v>
      </c>
      <c r="AV57" s="274">
        <v>5</v>
      </c>
      <c r="AW57" s="75"/>
      <c r="AX57" s="75"/>
      <c r="AY57" s="75"/>
      <c r="AZ57" s="75"/>
      <c r="BA57" s="75"/>
      <c r="BB57" s="75"/>
      <c r="BC57" s="75"/>
      <c r="BD57" s="75"/>
      <c r="BE57" s="75"/>
      <c r="BF57" s="75"/>
      <c r="BG57" s="75"/>
      <c r="BH57" s="75"/>
      <c r="BI57" s="75"/>
      <c r="BJ57" s="75"/>
      <c r="BK57" s="75"/>
    </row>
    <row r="58" spans="1:63" x14ac:dyDescent="0.25">
      <c r="A58" s="67" t="s">
        <v>1302</v>
      </c>
      <c r="D58" s="45">
        <v>120</v>
      </c>
      <c r="E58" s="53">
        <v>0.3</v>
      </c>
      <c r="F58" s="45">
        <v>240</v>
      </c>
      <c r="G58" s="53">
        <v>0.6</v>
      </c>
      <c r="H58" s="45">
        <v>390</v>
      </c>
      <c r="I58" s="53">
        <v>0.9</v>
      </c>
      <c r="J58" s="45">
        <v>540</v>
      </c>
      <c r="K58" s="53">
        <v>1.2</v>
      </c>
      <c r="L58" s="45">
        <v>720</v>
      </c>
      <c r="M58" s="53">
        <v>1.5</v>
      </c>
      <c r="N58" s="45">
        <v>960</v>
      </c>
      <c r="O58" s="53">
        <v>1.8</v>
      </c>
      <c r="P58" s="45">
        <v>1320</v>
      </c>
      <c r="Q58" s="53">
        <v>2.1</v>
      </c>
      <c r="R58" s="45">
        <v>1800</v>
      </c>
      <c r="S58" s="53">
        <v>2.4</v>
      </c>
      <c r="T58" s="45">
        <v>2400</v>
      </c>
      <c r="U58" s="53">
        <v>2.7</v>
      </c>
      <c r="V58" s="45">
        <v>3600</v>
      </c>
      <c r="W58" s="53">
        <v>3</v>
      </c>
      <c r="X58" s="274"/>
      <c r="Y58" s="274"/>
      <c r="Z58" s="274"/>
      <c r="AA58" s="274"/>
      <c r="AB58" s="274"/>
      <c r="AC58" s="274"/>
      <c r="AD58" s="274"/>
      <c r="AE58" s="274"/>
      <c r="AF58" s="274"/>
      <c r="AG58" s="274"/>
      <c r="AH58" s="274"/>
      <c r="AI58" s="274"/>
      <c r="AJ58" s="274"/>
      <c r="AK58" s="274"/>
      <c r="AL58" s="274"/>
      <c r="AM58" s="274"/>
      <c r="AN58" s="274"/>
      <c r="AO58" s="274"/>
      <c r="AP58" s="274"/>
      <c r="AQ58" s="274"/>
      <c r="AR58" s="274"/>
      <c r="AS58" s="274"/>
      <c r="AT58" s="274"/>
      <c r="AU58" s="274"/>
      <c r="AV58" s="274"/>
      <c r="AW58" s="75"/>
      <c r="AX58" s="75"/>
      <c r="AY58" s="75"/>
      <c r="AZ58" s="75"/>
      <c r="BA58" s="75"/>
      <c r="BB58" s="75"/>
      <c r="BC58" s="75"/>
      <c r="BD58" s="75"/>
      <c r="BE58" s="75"/>
      <c r="BF58" s="75"/>
      <c r="BG58" s="75"/>
      <c r="BH58" s="75"/>
      <c r="BI58" s="75"/>
      <c r="BJ58" s="75"/>
      <c r="BK58" s="75"/>
    </row>
    <row r="59" spans="1:63" x14ac:dyDescent="0.25">
      <c r="A59" s="67" t="s">
        <v>1030</v>
      </c>
      <c r="B59" s="67">
        <v>45</v>
      </c>
      <c r="C59" s="67" t="s">
        <v>1172</v>
      </c>
      <c r="D59" s="75">
        <v>0.3</v>
      </c>
      <c r="E59" s="75">
        <v>0.32</v>
      </c>
      <c r="F59" s="75">
        <v>0.34</v>
      </c>
      <c r="G59" s="75">
        <v>0.36</v>
      </c>
      <c r="H59" s="75">
        <v>0.38</v>
      </c>
      <c r="I59" s="75">
        <v>0.4</v>
      </c>
      <c r="J59" s="75">
        <v>0.42</v>
      </c>
      <c r="K59" s="75">
        <v>0.44</v>
      </c>
      <c r="L59" s="75">
        <v>0.46</v>
      </c>
      <c r="M59" s="75">
        <v>0.48</v>
      </c>
      <c r="N59" s="75">
        <v>0.5</v>
      </c>
      <c r="O59" s="75">
        <v>0.52</v>
      </c>
      <c r="P59" s="75">
        <v>0.54</v>
      </c>
      <c r="Q59" s="75">
        <v>0.56000000000000005</v>
      </c>
      <c r="R59" s="75">
        <v>0.57999999999999996</v>
      </c>
      <c r="S59" s="75">
        <v>0.6</v>
      </c>
      <c r="T59" s="75">
        <v>0.62</v>
      </c>
      <c r="U59" s="75">
        <v>0.64</v>
      </c>
      <c r="V59" s="75">
        <v>0.66</v>
      </c>
      <c r="W59" s="75">
        <v>0.68</v>
      </c>
      <c r="X59" s="75">
        <v>0.7</v>
      </c>
      <c r="Y59" s="75">
        <v>0.72</v>
      </c>
      <c r="Z59" s="75">
        <v>0.74</v>
      </c>
      <c r="AA59" s="75">
        <v>0.76</v>
      </c>
      <c r="AB59" s="75">
        <v>0.78</v>
      </c>
      <c r="AC59" s="75">
        <v>0.8</v>
      </c>
      <c r="AD59" s="75">
        <v>0.82</v>
      </c>
      <c r="AE59" s="75">
        <v>0.84</v>
      </c>
      <c r="AF59" s="75">
        <v>0.86</v>
      </c>
      <c r="AG59" s="75">
        <v>0.88</v>
      </c>
      <c r="AH59" s="75">
        <v>0.9</v>
      </c>
      <c r="AI59" s="75">
        <v>0.92</v>
      </c>
      <c r="AJ59" s="75">
        <v>0.94</v>
      </c>
      <c r="AK59" s="75">
        <v>0.96</v>
      </c>
      <c r="AL59" s="75">
        <v>0.98</v>
      </c>
      <c r="AM59" s="75">
        <v>1</v>
      </c>
      <c r="AN59" s="75">
        <v>1.02</v>
      </c>
      <c r="AO59" s="75">
        <v>1.04</v>
      </c>
      <c r="AP59" s="75">
        <v>1.06</v>
      </c>
      <c r="AQ59" s="75">
        <v>1.08</v>
      </c>
      <c r="AR59" s="75">
        <v>1.1000000000000001</v>
      </c>
      <c r="AS59" s="75">
        <v>1.1200000000000001</v>
      </c>
      <c r="AT59" s="75">
        <v>1.1399999999999999</v>
      </c>
      <c r="AU59" s="75">
        <v>1.1599999999999999</v>
      </c>
      <c r="AV59" s="75">
        <v>1.2</v>
      </c>
      <c r="AW59" s="75"/>
      <c r="AX59" s="75"/>
      <c r="AY59" s="75"/>
      <c r="AZ59" s="75"/>
      <c r="BA59" s="75"/>
      <c r="BB59" s="75"/>
      <c r="BC59" s="75"/>
      <c r="BD59" s="75"/>
      <c r="BE59" s="75"/>
      <c r="BF59" s="75"/>
      <c r="BG59" s="75"/>
      <c r="BH59" s="75"/>
      <c r="BI59" s="75"/>
      <c r="BJ59" s="75"/>
      <c r="BK59" s="75"/>
    </row>
    <row r="60" spans="1:63" x14ac:dyDescent="0.25">
      <c r="A60" s="67" t="s">
        <v>976</v>
      </c>
      <c r="B60" s="67">
        <v>45</v>
      </c>
      <c r="D60" s="274">
        <v>0</v>
      </c>
      <c r="E60" s="274">
        <v>0</v>
      </c>
      <c r="F60" s="274">
        <v>0</v>
      </c>
      <c r="G60" s="274">
        <v>0</v>
      </c>
      <c r="H60" s="274">
        <v>1</v>
      </c>
      <c r="I60" s="274">
        <v>1</v>
      </c>
      <c r="J60" s="274">
        <v>1</v>
      </c>
      <c r="K60" s="274">
        <v>1</v>
      </c>
      <c r="L60" s="274">
        <v>1</v>
      </c>
      <c r="M60" s="274">
        <v>2</v>
      </c>
      <c r="N60" s="274">
        <v>2</v>
      </c>
      <c r="O60" s="274">
        <v>2</v>
      </c>
      <c r="P60" s="274">
        <v>2</v>
      </c>
      <c r="Q60" s="274">
        <v>2</v>
      </c>
      <c r="R60" s="274">
        <v>2</v>
      </c>
      <c r="S60" s="274">
        <v>2</v>
      </c>
      <c r="T60" s="274">
        <v>2</v>
      </c>
      <c r="U60" s="274">
        <v>2</v>
      </c>
      <c r="V60" s="274">
        <v>2</v>
      </c>
      <c r="W60" s="274">
        <v>3</v>
      </c>
      <c r="X60" s="274">
        <v>3</v>
      </c>
      <c r="Y60" s="274">
        <v>3</v>
      </c>
      <c r="Z60" s="274">
        <v>3</v>
      </c>
      <c r="AA60" s="274">
        <v>3</v>
      </c>
      <c r="AB60" s="274">
        <v>3</v>
      </c>
      <c r="AC60" s="274">
        <v>3</v>
      </c>
      <c r="AD60" s="274">
        <v>3</v>
      </c>
      <c r="AE60" s="274">
        <v>3</v>
      </c>
      <c r="AF60" s="274">
        <v>3</v>
      </c>
      <c r="AG60" s="274">
        <v>4</v>
      </c>
      <c r="AH60" s="274">
        <v>4</v>
      </c>
      <c r="AI60" s="274">
        <v>4</v>
      </c>
      <c r="AJ60" s="274">
        <v>4</v>
      </c>
      <c r="AK60" s="274">
        <v>4</v>
      </c>
      <c r="AL60" s="274">
        <v>4</v>
      </c>
      <c r="AM60" s="274">
        <v>4</v>
      </c>
      <c r="AN60" s="274">
        <v>4</v>
      </c>
      <c r="AO60" s="274">
        <v>4</v>
      </c>
      <c r="AP60" s="274">
        <v>4</v>
      </c>
      <c r="AQ60" s="274">
        <v>5</v>
      </c>
      <c r="AR60" s="274">
        <v>5</v>
      </c>
      <c r="AS60" s="274">
        <v>5</v>
      </c>
      <c r="AT60" s="274">
        <v>5</v>
      </c>
      <c r="AU60" s="274">
        <v>5</v>
      </c>
      <c r="AV60" s="274">
        <v>5</v>
      </c>
      <c r="AW60" s="75"/>
      <c r="AX60" s="75"/>
      <c r="AY60" s="75"/>
      <c r="AZ60" s="75"/>
      <c r="BA60" s="75"/>
      <c r="BB60" s="75"/>
      <c r="BC60" s="75"/>
      <c r="BD60" s="75"/>
      <c r="BE60" s="75"/>
      <c r="BF60" s="75"/>
      <c r="BG60" s="75"/>
      <c r="BH60" s="75"/>
      <c r="BI60" s="75"/>
      <c r="BJ60" s="75"/>
      <c r="BK60" s="75"/>
    </row>
    <row r="61" spans="1:63" x14ac:dyDescent="0.25">
      <c r="A61" s="67" t="s">
        <v>1303</v>
      </c>
      <c r="D61" s="45">
        <v>120</v>
      </c>
      <c r="E61" s="53">
        <v>0.3</v>
      </c>
      <c r="F61" s="45">
        <v>240</v>
      </c>
      <c r="G61" s="53">
        <v>0.6</v>
      </c>
      <c r="H61" s="45">
        <v>390</v>
      </c>
      <c r="I61" s="53">
        <v>0.9</v>
      </c>
      <c r="J61" s="45">
        <v>540</v>
      </c>
      <c r="K61" s="53">
        <v>1.2</v>
      </c>
      <c r="L61" s="45">
        <v>720</v>
      </c>
      <c r="M61" s="53">
        <v>1.5</v>
      </c>
      <c r="N61" s="45">
        <v>960</v>
      </c>
      <c r="O61" s="53">
        <v>1.8</v>
      </c>
      <c r="P61" s="45">
        <v>1320</v>
      </c>
      <c r="Q61" s="53">
        <v>2.1</v>
      </c>
      <c r="R61" s="45">
        <v>1800</v>
      </c>
      <c r="S61" s="53">
        <v>2.4</v>
      </c>
      <c r="T61" s="45">
        <v>2400</v>
      </c>
      <c r="U61" s="53">
        <v>2.7</v>
      </c>
      <c r="V61" s="45">
        <v>3600</v>
      </c>
      <c r="W61" s="53">
        <v>3</v>
      </c>
      <c r="X61" s="274"/>
      <c r="Y61" s="274"/>
      <c r="Z61" s="274"/>
      <c r="AA61" s="274"/>
      <c r="AB61" s="274"/>
      <c r="AC61" s="274"/>
      <c r="AD61" s="274"/>
      <c r="AE61" s="274"/>
      <c r="AF61" s="274"/>
      <c r="AG61" s="274"/>
      <c r="AH61" s="274"/>
      <c r="AI61" s="274"/>
      <c r="AJ61" s="274"/>
      <c r="AK61" s="274"/>
      <c r="AL61" s="274"/>
      <c r="AM61" s="274"/>
      <c r="AN61" s="274"/>
      <c r="AO61" s="274"/>
      <c r="AP61" s="274"/>
      <c r="AQ61" s="274"/>
      <c r="AR61" s="274"/>
      <c r="AS61" s="274"/>
      <c r="AT61" s="274"/>
      <c r="AU61" s="274"/>
      <c r="AV61" s="274"/>
      <c r="AW61" s="75"/>
      <c r="AX61" s="75"/>
      <c r="AY61" s="75"/>
      <c r="AZ61" s="75"/>
      <c r="BA61" s="75"/>
      <c r="BB61" s="75"/>
      <c r="BC61" s="75"/>
      <c r="BD61" s="75"/>
      <c r="BE61" s="75"/>
      <c r="BF61" s="75"/>
      <c r="BG61" s="75"/>
      <c r="BH61" s="75"/>
      <c r="BI61" s="75"/>
      <c r="BJ61" s="75"/>
      <c r="BK61" s="75"/>
    </row>
    <row r="62" spans="1:63" x14ac:dyDescent="0.25">
      <c r="A62" s="67" t="s">
        <v>1031</v>
      </c>
      <c r="B62" s="67">
        <v>45</v>
      </c>
      <c r="C62" s="67" t="s">
        <v>1149</v>
      </c>
      <c r="D62" s="75">
        <v>0.3</v>
      </c>
      <c r="E62" s="75">
        <v>0.32</v>
      </c>
      <c r="F62" s="75">
        <v>0.34</v>
      </c>
      <c r="G62" s="75">
        <v>0.36</v>
      </c>
      <c r="H62" s="75">
        <v>0.38</v>
      </c>
      <c r="I62" s="75">
        <v>0.4</v>
      </c>
      <c r="J62" s="75">
        <v>0.42</v>
      </c>
      <c r="K62" s="75">
        <v>0.44</v>
      </c>
      <c r="L62" s="75">
        <v>0.46</v>
      </c>
      <c r="M62" s="75">
        <v>0.48</v>
      </c>
      <c r="N62" s="75">
        <v>0.5</v>
      </c>
      <c r="O62" s="75">
        <v>0.52</v>
      </c>
      <c r="P62" s="75">
        <v>0.54</v>
      </c>
      <c r="Q62" s="75">
        <v>0.56000000000000005</v>
      </c>
      <c r="R62" s="75">
        <v>0.57999999999999996</v>
      </c>
      <c r="S62" s="75">
        <v>0.6</v>
      </c>
      <c r="T62" s="75">
        <v>0.62</v>
      </c>
      <c r="U62" s="75">
        <v>0.64</v>
      </c>
      <c r="V62" s="75">
        <v>0.66</v>
      </c>
      <c r="W62" s="75">
        <v>0.68</v>
      </c>
      <c r="X62" s="75">
        <v>0.7</v>
      </c>
      <c r="Y62" s="75">
        <v>0.72</v>
      </c>
      <c r="Z62" s="75">
        <v>0.74</v>
      </c>
      <c r="AA62" s="75">
        <v>0.76</v>
      </c>
      <c r="AB62" s="75">
        <v>0.78</v>
      </c>
      <c r="AC62" s="75">
        <v>0.8</v>
      </c>
      <c r="AD62" s="75">
        <v>0.82</v>
      </c>
      <c r="AE62" s="75">
        <v>0.84</v>
      </c>
      <c r="AF62" s="75">
        <v>0.86</v>
      </c>
      <c r="AG62" s="75">
        <v>0.88</v>
      </c>
      <c r="AH62" s="75">
        <v>0.9</v>
      </c>
      <c r="AI62" s="75">
        <v>0.92</v>
      </c>
      <c r="AJ62" s="75">
        <v>0.94</v>
      </c>
      <c r="AK62" s="75">
        <v>0.96</v>
      </c>
      <c r="AL62" s="75">
        <v>0.98</v>
      </c>
      <c r="AM62" s="75">
        <v>1</v>
      </c>
      <c r="AN62" s="75">
        <v>1.02</v>
      </c>
      <c r="AO62" s="75">
        <v>1.04</v>
      </c>
      <c r="AP62" s="75">
        <v>1.06</v>
      </c>
      <c r="AQ62" s="75">
        <v>1.08</v>
      </c>
      <c r="AR62" s="75">
        <v>1.1000000000000001</v>
      </c>
      <c r="AS62" s="75">
        <v>1.1200000000000001</v>
      </c>
      <c r="AT62" s="75">
        <v>1.1399999999999999</v>
      </c>
      <c r="AU62" s="75">
        <v>1.1599999999999999</v>
      </c>
      <c r="AV62" s="75">
        <v>1.2</v>
      </c>
      <c r="AW62" s="75"/>
      <c r="AX62" s="75"/>
      <c r="AY62" s="75"/>
      <c r="AZ62" s="75"/>
      <c r="BA62" s="75"/>
      <c r="BB62" s="75"/>
      <c r="BC62" s="75"/>
      <c r="BD62" s="75"/>
      <c r="BE62" s="75"/>
      <c r="BF62" s="75"/>
      <c r="BG62" s="75"/>
      <c r="BH62" s="75"/>
      <c r="BI62" s="75"/>
      <c r="BJ62" s="75"/>
      <c r="BK62" s="75"/>
    </row>
    <row r="63" spans="1:63" x14ac:dyDescent="0.25">
      <c r="A63" s="67" t="s">
        <v>977</v>
      </c>
      <c r="B63" s="67">
        <v>45</v>
      </c>
      <c r="D63" s="274">
        <v>0</v>
      </c>
      <c r="E63" s="274">
        <v>0</v>
      </c>
      <c r="F63" s="274">
        <v>0</v>
      </c>
      <c r="G63" s="274">
        <v>0</v>
      </c>
      <c r="H63" s="274">
        <v>1</v>
      </c>
      <c r="I63" s="274">
        <v>1</v>
      </c>
      <c r="J63" s="274">
        <v>1</v>
      </c>
      <c r="K63" s="274">
        <v>1</v>
      </c>
      <c r="L63" s="274">
        <v>1</v>
      </c>
      <c r="M63" s="274">
        <v>2</v>
      </c>
      <c r="N63" s="274">
        <v>2</v>
      </c>
      <c r="O63" s="274">
        <v>2</v>
      </c>
      <c r="P63" s="274">
        <v>2</v>
      </c>
      <c r="Q63" s="274">
        <v>2</v>
      </c>
      <c r="R63" s="274">
        <v>2</v>
      </c>
      <c r="S63" s="274">
        <v>2</v>
      </c>
      <c r="T63" s="274">
        <v>2</v>
      </c>
      <c r="U63" s="274">
        <v>2</v>
      </c>
      <c r="V63" s="274">
        <v>2</v>
      </c>
      <c r="W63" s="274">
        <v>3</v>
      </c>
      <c r="X63" s="274">
        <v>3</v>
      </c>
      <c r="Y63" s="274">
        <v>3</v>
      </c>
      <c r="Z63" s="274">
        <v>3</v>
      </c>
      <c r="AA63" s="274">
        <v>3</v>
      </c>
      <c r="AB63" s="274">
        <v>3</v>
      </c>
      <c r="AC63" s="274">
        <v>3</v>
      </c>
      <c r="AD63" s="274">
        <v>3</v>
      </c>
      <c r="AE63" s="274">
        <v>3</v>
      </c>
      <c r="AF63" s="274">
        <v>3</v>
      </c>
      <c r="AG63" s="274">
        <v>4</v>
      </c>
      <c r="AH63" s="274">
        <v>4</v>
      </c>
      <c r="AI63" s="274">
        <v>4</v>
      </c>
      <c r="AJ63" s="274">
        <v>4</v>
      </c>
      <c r="AK63" s="274">
        <v>4</v>
      </c>
      <c r="AL63" s="274">
        <v>4</v>
      </c>
      <c r="AM63" s="274">
        <v>4</v>
      </c>
      <c r="AN63" s="274">
        <v>4</v>
      </c>
      <c r="AO63" s="274">
        <v>4</v>
      </c>
      <c r="AP63" s="274">
        <v>4</v>
      </c>
      <c r="AQ63" s="274">
        <v>5</v>
      </c>
      <c r="AR63" s="274">
        <v>5</v>
      </c>
      <c r="AS63" s="274">
        <v>5</v>
      </c>
      <c r="AT63" s="274">
        <v>5</v>
      </c>
      <c r="AU63" s="274">
        <v>5</v>
      </c>
      <c r="AV63" s="274">
        <v>5</v>
      </c>
      <c r="AW63" s="75"/>
      <c r="AX63" s="75"/>
      <c r="AY63" s="75"/>
      <c r="AZ63" s="75"/>
      <c r="BA63" s="75"/>
      <c r="BB63" s="75"/>
      <c r="BC63" s="75"/>
      <c r="BD63" s="75"/>
      <c r="BE63" s="75"/>
      <c r="BF63" s="75"/>
      <c r="BG63" s="75"/>
      <c r="BH63" s="75"/>
      <c r="BI63" s="75"/>
      <c r="BJ63" s="75"/>
      <c r="BK63" s="75"/>
    </row>
    <row r="64" spans="1:63" x14ac:dyDescent="0.25">
      <c r="A64" s="67" t="s">
        <v>1304</v>
      </c>
      <c r="D64" s="45">
        <v>120</v>
      </c>
      <c r="E64" s="53">
        <v>0.3</v>
      </c>
      <c r="F64" s="45">
        <v>240</v>
      </c>
      <c r="G64" s="53">
        <v>0.6</v>
      </c>
      <c r="H64" s="45">
        <v>390</v>
      </c>
      <c r="I64" s="53">
        <v>0.9</v>
      </c>
      <c r="J64" s="45">
        <v>540</v>
      </c>
      <c r="K64" s="53">
        <v>1.2</v>
      </c>
      <c r="L64" s="45">
        <v>720</v>
      </c>
      <c r="M64" s="53">
        <v>1.5</v>
      </c>
      <c r="N64" s="45">
        <v>960</v>
      </c>
      <c r="O64" s="53">
        <v>1.8</v>
      </c>
      <c r="P64" s="45">
        <v>1320</v>
      </c>
      <c r="Q64" s="53">
        <v>2.1</v>
      </c>
      <c r="R64" s="45">
        <v>1800</v>
      </c>
      <c r="S64" s="53">
        <v>2.4</v>
      </c>
      <c r="T64" s="45">
        <v>2400</v>
      </c>
      <c r="U64" s="53">
        <v>2.7</v>
      </c>
      <c r="V64" s="45">
        <v>3600</v>
      </c>
      <c r="W64" s="53">
        <v>3</v>
      </c>
      <c r="X64" s="274"/>
      <c r="Y64" s="274"/>
      <c r="Z64" s="274"/>
      <c r="AA64" s="274"/>
      <c r="AB64" s="274"/>
      <c r="AC64" s="274"/>
      <c r="AD64" s="274"/>
      <c r="AE64" s="274"/>
      <c r="AF64" s="274"/>
      <c r="AG64" s="274"/>
      <c r="AH64" s="274"/>
      <c r="AI64" s="274"/>
      <c r="AJ64" s="274"/>
      <c r="AK64" s="274"/>
      <c r="AL64" s="274"/>
      <c r="AM64" s="274"/>
      <c r="AN64" s="274"/>
      <c r="AO64" s="274"/>
      <c r="AP64" s="274"/>
      <c r="AQ64" s="274"/>
      <c r="AR64" s="274"/>
      <c r="AS64" s="274"/>
      <c r="AT64" s="274"/>
      <c r="AU64" s="274"/>
      <c r="AV64" s="274"/>
      <c r="AW64" s="75"/>
      <c r="AX64" s="75"/>
      <c r="AY64" s="75"/>
      <c r="AZ64" s="75"/>
      <c r="BA64" s="75"/>
      <c r="BB64" s="75"/>
      <c r="BC64" s="75"/>
      <c r="BD64" s="75"/>
      <c r="BE64" s="75"/>
      <c r="BF64" s="75"/>
      <c r="BG64" s="75"/>
      <c r="BH64" s="75"/>
      <c r="BI64" s="75"/>
      <c r="BJ64" s="75"/>
      <c r="BK64" s="75"/>
    </row>
    <row r="65" spans="1:63" x14ac:dyDescent="0.25">
      <c r="A65" s="67" t="s">
        <v>1032</v>
      </c>
      <c r="B65" s="67">
        <v>60</v>
      </c>
      <c r="C65" s="67" t="s">
        <v>1217</v>
      </c>
      <c r="D65" s="75">
        <v>0.15</v>
      </c>
      <c r="E65" s="75">
        <v>0.16</v>
      </c>
      <c r="F65" s="75">
        <v>0.17</v>
      </c>
      <c r="G65" s="75">
        <v>0.18</v>
      </c>
      <c r="H65" s="75">
        <v>0.19</v>
      </c>
      <c r="I65" s="75">
        <v>0.2</v>
      </c>
      <c r="J65" s="75">
        <v>0.21</v>
      </c>
      <c r="K65" s="75">
        <v>0.22</v>
      </c>
      <c r="L65" s="75">
        <v>0.23</v>
      </c>
      <c r="M65" s="75">
        <v>0.24</v>
      </c>
      <c r="N65" s="75">
        <v>0.25</v>
      </c>
      <c r="O65" s="75">
        <v>0.26</v>
      </c>
      <c r="P65" s="75">
        <v>0.27</v>
      </c>
      <c r="Q65" s="75">
        <v>0.28000000000000003</v>
      </c>
      <c r="R65" s="75">
        <v>0.28999999999999998</v>
      </c>
      <c r="S65" s="75">
        <v>0.3</v>
      </c>
      <c r="T65" s="75">
        <v>0.31</v>
      </c>
      <c r="U65" s="75">
        <v>0.32</v>
      </c>
      <c r="V65" s="75">
        <v>0.33</v>
      </c>
      <c r="W65" s="75">
        <v>0.34</v>
      </c>
      <c r="X65" s="75">
        <v>0.35</v>
      </c>
      <c r="Y65" s="75">
        <v>0.36</v>
      </c>
      <c r="Z65" s="75">
        <v>0.37</v>
      </c>
      <c r="AA65" s="75">
        <v>0.38</v>
      </c>
      <c r="AB65" s="75">
        <v>0.39</v>
      </c>
      <c r="AC65" s="75">
        <v>0.4</v>
      </c>
      <c r="AD65" s="75">
        <v>0.41</v>
      </c>
      <c r="AE65" s="75">
        <v>0.42</v>
      </c>
      <c r="AF65" s="75">
        <v>0.43</v>
      </c>
      <c r="AG65" s="75">
        <v>0.44</v>
      </c>
      <c r="AH65" s="75">
        <v>0.45</v>
      </c>
      <c r="AI65" s="75">
        <v>0.46</v>
      </c>
      <c r="AJ65" s="75">
        <v>0.47</v>
      </c>
      <c r="AK65" s="75">
        <v>0.48</v>
      </c>
      <c r="AL65" s="75">
        <v>0.49</v>
      </c>
      <c r="AM65" s="75">
        <v>0.5</v>
      </c>
      <c r="AN65" s="75">
        <v>0.51</v>
      </c>
      <c r="AO65" s="75">
        <v>0.52</v>
      </c>
      <c r="AP65" s="75">
        <v>0.53</v>
      </c>
      <c r="AQ65" s="75">
        <v>0.54</v>
      </c>
      <c r="AR65" s="75">
        <v>0.55000000000000004</v>
      </c>
      <c r="AS65" s="75">
        <v>0.56000000000000005</v>
      </c>
      <c r="AT65" s="75">
        <v>0.56999999999999995</v>
      </c>
      <c r="AU65" s="75">
        <v>0.57999999999999996</v>
      </c>
      <c r="AV65" s="75">
        <v>0.59</v>
      </c>
      <c r="AW65" s="75">
        <v>0.6</v>
      </c>
      <c r="AX65" s="75">
        <v>0.61</v>
      </c>
      <c r="AY65" s="75">
        <v>0.62</v>
      </c>
      <c r="AZ65" s="75">
        <v>0.63</v>
      </c>
      <c r="BA65" s="75">
        <v>0.64</v>
      </c>
      <c r="BB65" s="75">
        <v>0.65</v>
      </c>
      <c r="BC65" s="75">
        <v>0.66</v>
      </c>
      <c r="BD65" s="75">
        <v>0.67</v>
      </c>
      <c r="BE65" s="75">
        <v>0.68</v>
      </c>
      <c r="BF65" s="75">
        <v>0.69</v>
      </c>
      <c r="BG65" s="75">
        <v>0.7</v>
      </c>
      <c r="BH65" s="75">
        <v>0.71</v>
      </c>
      <c r="BI65" s="75">
        <v>0.72</v>
      </c>
      <c r="BJ65" s="75">
        <v>0.73</v>
      </c>
      <c r="BK65" s="75">
        <v>0.74</v>
      </c>
    </row>
    <row r="66" spans="1:63" x14ac:dyDescent="0.25">
      <c r="A66" s="67" t="s">
        <v>978</v>
      </c>
      <c r="B66" s="67">
        <v>60</v>
      </c>
      <c r="D66" s="274">
        <v>0</v>
      </c>
      <c r="E66" s="274">
        <v>0</v>
      </c>
      <c r="F66" s="274">
        <v>0</v>
      </c>
      <c r="G66" s="274">
        <v>0</v>
      </c>
      <c r="H66" s="274">
        <v>1</v>
      </c>
      <c r="I66" s="274">
        <v>1</v>
      </c>
      <c r="J66" s="274">
        <v>1</v>
      </c>
      <c r="K66" s="274">
        <v>1</v>
      </c>
      <c r="L66" s="274">
        <v>1</v>
      </c>
      <c r="M66" s="274">
        <v>1</v>
      </c>
      <c r="N66" s="274">
        <v>1</v>
      </c>
      <c r="O66" s="274">
        <v>1</v>
      </c>
      <c r="P66" s="274">
        <v>1</v>
      </c>
      <c r="Q66" s="274">
        <v>1</v>
      </c>
      <c r="R66" s="274">
        <v>2</v>
      </c>
      <c r="S66" s="274">
        <v>2</v>
      </c>
      <c r="T66" s="274">
        <v>2</v>
      </c>
      <c r="U66" s="274">
        <v>2</v>
      </c>
      <c r="V66" s="274">
        <v>2</v>
      </c>
      <c r="W66" s="274">
        <v>2</v>
      </c>
      <c r="X66" s="274">
        <v>2</v>
      </c>
      <c r="Y66" s="274">
        <v>2</v>
      </c>
      <c r="Z66" s="274">
        <v>2</v>
      </c>
      <c r="AA66" s="274">
        <v>2</v>
      </c>
      <c r="AB66" s="274">
        <v>2</v>
      </c>
      <c r="AC66" s="274">
        <v>2</v>
      </c>
      <c r="AD66" s="274">
        <v>2</v>
      </c>
      <c r="AE66" s="274">
        <v>2</v>
      </c>
      <c r="AF66" s="274">
        <v>2</v>
      </c>
      <c r="AG66" s="274">
        <v>3</v>
      </c>
      <c r="AH66" s="274">
        <v>3</v>
      </c>
      <c r="AI66" s="274">
        <v>3</v>
      </c>
      <c r="AJ66" s="274">
        <v>3</v>
      </c>
      <c r="AK66" s="274">
        <v>3</v>
      </c>
      <c r="AL66" s="274">
        <v>3</v>
      </c>
      <c r="AM66" s="274">
        <v>3</v>
      </c>
      <c r="AN66" s="274">
        <v>3</v>
      </c>
      <c r="AO66" s="274">
        <v>3</v>
      </c>
      <c r="AP66" s="274">
        <v>3</v>
      </c>
      <c r="AQ66" s="274">
        <v>3</v>
      </c>
      <c r="AR66" s="274">
        <v>3</v>
      </c>
      <c r="AS66" s="274">
        <v>3</v>
      </c>
      <c r="AT66" s="274">
        <v>3</v>
      </c>
      <c r="AU66" s="274">
        <v>3</v>
      </c>
      <c r="AV66" s="274">
        <v>4</v>
      </c>
      <c r="AW66" s="274">
        <v>4</v>
      </c>
      <c r="AX66" s="274">
        <v>4</v>
      </c>
      <c r="AY66" s="274">
        <v>4</v>
      </c>
      <c r="AZ66" s="274">
        <v>4</v>
      </c>
      <c r="BA66" s="274">
        <v>4</v>
      </c>
      <c r="BB66" s="274">
        <v>4</v>
      </c>
      <c r="BC66" s="274">
        <v>4</v>
      </c>
      <c r="BD66" s="274">
        <v>4</v>
      </c>
      <c r="BE66" s="274">
        <v>4</v>
      </c>
      <c r="BF66" s="274">
        <v>4</v>
      </c>
      <c r="BG66" s="274">
        <v>4</v>
      </c>
      <c r="BH66" s="274">
        <v>4</v>
      </c>
      <c r="BI66" s="274">
        <v>4</v>
      </c>
      <c r="BJ66" s="274">
        <v>4</v>
      </c>
      <c r="BK66" s="274">
        <v>5</v>
      </c>
    </row>
    <row r="67" spans="1:63" x14ac:dyDescent="0.25">
      <c r="A67" s="67" t="s">
        <v>1305</v>
      </c>
      <c r="D67" s="45">
        <v>500</v>
      </c>
      <c r="E67" s="53">
        <v>0.35</v>
      </c>
      <c r="F67" s="45">
        <v>1000</v>
      </c>
      <c r="G67" s="53">
        <v>0.7</v>
      </c>
      <c r="H67" s="45">
        <v>1625</v>
      </c>
      <c r="I67" s="53">
        <v>1.05</v>
      </c>
      <c r="J67" s="45">
        <v>2250</v>
      </c>
      <c r="K67" s="53">
        <v>1.4</v>
      </c>
      <c r="L67" s="45">
        <v>3000</v>
      </c>
      <c r="M67" s="53">
        <v>1.75</v>
      </c>
      <c r="N67" s="45">
        <v>4000</v>
      </c>
      <c r="O67" s="53">
        <v>2.1</v>
      </c>
      <c r="P67" s="45">
        <v>5500</v>
      </c>
      <c r="Q67" s="53">
        <v>2.4500000000000002</v>
      </c>
      <c r="R67" s="45">
        <v>7500</v>
      </c>
      <c r="S67" s="53">
        <v>2.8</v>
      </c>
      <c r="T67" s="45">
        <v>10000</v>
      </c>
      <c r="U67" s="53">
        <v>3.15</v>
      </c>
      <c r="V67" s="45">
        <v>15000</v>
      </c>
      <c r="W67" s="53">
        <v>3.5</v>
      </c>
      <c r="X67" s="274"/>
      <c r="Y67" s="274"/>
      <c r="Z67" s="274"/>
      <c r="AA67" s="274"/>
      <c r="AB67" s="274"/>
      <c r="AC67" s="274"/>
      <c r="AD67" s="274"/>
      <c r="AE67" s="274"/>
      <c r="AF67" s="274"/>
      <c r="AG67" s="274"/>
      <c r="AH67" s="274"/>
      <c r="AI67" s="274"/>
      <c r="AJ67" s="274"/>
      <c r="AK67" s="274"/>
      <c r="AL67" s="274"/>
      <c r="AM67" s="274"/>
      <c r="AN67" s="274"/>
      <c r="AO67" s="274"/>
      <c r="AP67" s="274"/>
      <c r="AQ67" s="274"/>
      <c r="AR67" s="274"/>
      <c r="AS67" s="274"/>
      <c r="AT67" s="274"/>
      <c r="AU67" s="274"/>
      <c r="AV67" s="274"/>
      <c r="AW67" s="274"/>
      <c r="AX67" s="274"/>
      <c r="AY67" s="274"/>
      <c r="AZ67" s="274"/>
      <c r="BA67" s="274"/>
      <c r="BB67" s="274"/>
      <c r="BC67" s="274"/>
      <c r="BD67" s="274"/>
      <c r="BE67" s="274"/>
      <c r="BF67" s="274"/>
      <c r="BG67" s="274"/>
      <c r="BH67" s="274"/>
      <c r="BI67" s="274"/>
      <c r="BJ67" s="274"/>
      <c r="BK67" s="274"/>
    </row>
    <row r="68" spans="1:63" x14ac:dyDescent="0.25">
      <c r="A68" s="67" t="s">
        <v>1033</v>
      </c>
      <c r="B68" s="67">
        <v>35</v>
      </c>
      <c r="C68" s="67" t="s">
        <v>1090</v>
      </c>
      <c r="D68" s="75">
        <v>0.15</v>
      </c>
      <c r="E68" s="75">
        <v>0.17</v>
      </c>
      <c r="F68" s="75">
        <v>0.18</v>
      </c>
      <c r="G68" s="75">
        <v>0.2</v>
      </c>
      <c r="H68" s="75">
        <v>0.21</v>
      </c>
      <c r="I68" s="75">
        <v>0.23</v>
      </c>
      <c r="J68" s="75">
        <v>0.24</v>
      </c>
      <c r="K68" s="75">
        <v>0.26</v>
      </c>
      <c r="L68" s="75">
        <v>0.27</v>
      </c>
      <c r="M68" s="75">
        <v>0.28999999999999998</v>
      </c>
      <c r="N68" s="75">
        <v>0.31</v>
      </c>
      <c r="O68" s="75">
        <v>0.32</v>
      </c>
      <c r="P68" s="75">
        <v>0.34</v>
      </c>
      <c r="Q68" s="75">
        <v>0.35</v>
      </c>
      <c r="R68" s="75">
        <v>0.37</v>
      </c>
      <c r="S68" s="75">
        <v>0.38</v>
      </c>
      <c r="T68" s="75">
        <v>0.4</v>
      </c>
      <c r="U68" s="75">
        <v>0.41</v>
      </c>
      <c r="V68" s="75">
        <v>0.43</v>
      </c>
      <c r="W68" s="75">
        <v>0.44</v>
      </c>
      <c r="X68" s="75">
        <v>0.46</v>
      </c>
      <c r="Y68" s="75">
        <v>0.48</v>
      </c>
      <c r="Z68" s="75">
        <v>0.49</v>
      </c>
      <c r="AA68" s="75">
        <v>0.51</v>
      </c>
      <c r="AB68" s="75">
        <v>0.52</v>
      </c>
      <c r="AC68" s="75">
        <v>0.54</v>
      </c>
      <c r="AD68" s="75">
        <v>0.55000000000000004</v>
      </c>
      <c r="AE68" s="75">
        <v>0.56999999999999995</v>
      </c>
      <c r="AF68" s="75">
        <v>0.57999999999999996</v>
      </c>
      <c r="AG68" s="75">
        <v>0.6</v>
      </c>
      <c r="AH68" s="75">
        <v>0.62</v>
      </c>
      <c r="AI68" s="75">
        <v>0.64</v>
      </c>
      <c r="AJ68" s="75">
        <v>0.66</v>
      </c>
      <c r="AK68" s="75">
        <v>0.68</v>
      </c>
      <c r="AL68" s="75">
        <v>0.7</v>
      </c>
      <c r="AM68" s="75"/>
      <c r="AN68" s="75"/>
      <c r="AO68" s="75"/>
      <c r="AP68" s="75"/>
      <c r="AQ68" s="75"/>
      <c r="AR68" s="75"/>
      <c r="AS68" s="75"/>
      <c r="AT68" s="75"/>
      <c r="AU68" s="75"/>
      <c r="AV68" s="75"/>
      <c r="AW68" s="75"/>
      <c r="AX68" s="75"/>
      <c r="AY68" s="75"/>
      <c r="AZ68" s="75"/>
      <c r="BA68" s="75"/>
      <c r="BB68" s="75"/>
      <c r="BC68" s="75"/>
      <c r="BD68" s="75"/>
      <c r="BE68" s="75"/>
      <c r="BF68" s="75"/>
      <c r="BG68" s="75"/>
      <c r="BH68" s="75"/>
      <c r="BI68" s="75"/>
      <c r="BJ68" s="75"/>
      <c r="BK68" s="75"/>
    </row>
    <row r="69" spans="1:63" x14ac:dyDescent="0.25">
      <c r="A69" s="67" t="s">
        <v>979</v>
      </c>
      <c r="B69" s="67">
        <v>35</v>
      </c>
      <c r="C69" s="274"/>
      <c r="D69" s="274">
        <v>0</v>
      </c>
      <c r="E69" s="274">
        <v>0</v>
      </c>
      <c r="F69" s="274">
        <v>0</v>
      </c>
      <c r="G69" s="274">
        <v>0</v>
      </c>
      <c r="H69" s="274">
        <v>1</v>
      </c>
      <c r="I69" s="274">
        <v>1</v>
      </c>
      <c r="J69" s="274">
        <v>1</v>
      </c>
      <c r="K69" s="274">
        <v>1</v>
      </c>
      <c r="L69" s="274">
        <v>1</v>
      </c>
      <c r="M69" s="274">
        <v>2</v>
      </c>
      <c r="N69" s="274">
        <v>2</v>
      </c>
      <c r="O69" s="274">
        <v>2</v>
      </c>
      <c r="P69" s="274">
        <v>2</v>
      </c>
      <c r="Q69" s="274">
        <v>2</v>
      </c>
      <c r="R69" s="274">
        <v>2</v>
      </c>
      <c r="S69" s="274">
        <v>2</v>
      </c>
      <c r="T69" s="274">
        <v>2</v>
      </c>
      <c r="U69" s="274">
        <v>2</v>
      </c>
      <c r="V69" s="274">
        <v>2</v>
      </c>
      <c r="W69" s="274">
        <v>3</v>
      </c>
      <c r="X69" s="274">
        <v>3</v>
      </c>
      <c r="Y69" s="274">
        <v>3</v>
      </c>
      <c r="Z69" s="274">
        <v>3</v>
      </c>
      <c r="AA69" s="274">
        <v>3</v>
      </c>
      <c r="AB69" s="274">
        <v>3</v>
      </c>
      <c r="AC69" s="274">
        <v>3</v>
      </c>
      <c r="AD69" s="274">
        <v>3</v>
      </c>
      <c r="AE69" s="274">
        <v>3</v>
      </c>
      <c r="AF69" s="274">
        <v>3</v>
      </c>
      <c r="AG69" s="274">
        <v>4</v>
      </c>
      <c r="AH69" s="274">
        <v>4</v>
      </c>
      <c r="AI69" s="274">
        <v>4</v>
      </c>
      <c r="AJ69" s="274">
        <v>4</v>
      </c>
      <c r="AK69" s="274">
        <v>4</v>
      </c>
      <c r="AL69" s="274">
        <v>5</v>
      </c>
      <c r="AM69" s="75"/>
      <c r="AN69" s="75"/>
      <c r="AO69" s="75"/>
      <c r="AP69" s="75"/>
      <c r="AQ69" s="75"/>
      <c r="AR69" s="75"/>
      <c r="AS69" s="75"/>
      <c r="AT69" s="75"/>
      <c r="AU69" s="75"/>
      <c r="AV69" s="75"/>
      <c r="AW69" s="75"/>
      <c r="AX69" s="75"/>
      <c r="AY69" s="75"/>
      <c r="AZ69" s="75"/>
      <c r="BA69" s="75"/>
      <c r="BB69" s="75"/>
      <c r="BC69" s="75"/>
      <c r="BD69" s="75"/>
      <c r="BE69" s="75"/>
      <c r="BF69" s="75"/>
      <c r="BG69" s="75"/>
      <c r="BH69" s="75"/>
      <c r="BI69" s="75"/>
      <c r="BJ69" s="75"/>
      <c r="BK69" s="75"/>
    </row>
    <row r="70" spans="1:63" x14ac:dyDescent="0.25">
      <c r="A70" s="67" t="s">
        <v>1306</v>
      </c>
      <c r="C70" s="274"/>
      <c r="D70" s="45">
        <v>60</v>
      </c>
      <c r="E70" s="53">
        <v>0.25</v>
      </c>
      <c r="F70" s="45">
        <v>120</v>
      </c>
      <c r="G70" s="53">
        <v>0.5</v>
      </c>
      <c r="H70" s="45">
        <v>195</v>
      </c>
      <c r="I70" s="53">
        <v>0.75</v>
      </c>
      <c r="J70" s="45">
        <v>270</v>
      </c>
      <c r="K70" s="53">
        <v>1</v>
      </c>
      <c r="L70" s="45">
        <v>360</v>
      </c>
      <c r="M70" s="53">
        <v>1.25</v>
      </c>
      <c r="N70" s="45">
        <v>480</v>
      </c>
      <c r="O70" s="53">
        <v>1.5</v>
      </c>
      <c r="P70" s="45">
        <v>660</v>
      </c>
      <c r="Q70" s="53">
        <v>1.75</v>
      </c>
      <c r="R70" s="45">
        <v>900</v>
      </c>
      <c r="S70" s="53">
        <v>2</v>
      </c>
      <c r="T70" s="45">
        <v>1200</v>
      </c>
      <c r="U70" s="53">
        <v>2.25</v>
      </c>
      <c r="V70" s="45">
        <v>1800</v>
      </c>
      <c r="W70" s="53">
        <v>2.5</v>
      </c>
      <c r="X70" s="274"/>
      <c r="Y70" s="274"/>
      <c r="Z70" s="274"/>
      <c r="AA70" s="274"/>
      <c r="AB70" s="274"/>
      <c r="AC70" s="274"/>
      <c r="AD70" s="274"/>
      <c r="AE70" s="274"/>
      <c r="AF70" s="274"/>
      <c r="AG70" s="274"/>
      <c r="AH70" s="274"/>
      <c r="AI70" s="274"/>
      <c r="AJ70" s="274"/>
      <c r="AK70" s="274"/>
      <c r="AL70" s="274"/>
      <c r="AM70" s="75"/>
      <c r="AN70" s="75"/>
      <c r="AO70" s="75"/>
      <c r="AP70" s="75"/>
      <c r="AQ70" s="75"/>
      <c r="AR70" s="75"/>
      <c r="AS70" s="75"/>
      <c r="AT70" s="75"/>
      <c r="AU70" s="75"/>
      <c r="AV70" s="75"/>
      <c r="AW70" s="75"/>
      <c r="AX70" s="75"/>
      <c r="AY70" s="75"/>
      <c r="AZ70" s="75"/>
      <c r="BA70" s="75"/>
      <c r="BB70" s="75"/>
      <c r="BC70" s="75"/>
      <c r="BD70" s="75"/>
      <c r="BE70" s="75"/>
      <c r="BF70" s="75"/>
      <c r="BG70" s="75"/>
      <c r="BH70" s="75"/>
      <c r="BI70" s="75"/>
      <c r="BJ70" s="75"/>
      <c r="BK70" s="75"/>
    </row>
    <row r="71" spans="1:63" x14ac:dyDescent="0.25">
      <c r="A71" s="67" t="s">
        <v>1034</v>
      </c>
      <c r="B71" s="67">
        <v>45</v>
      </c>
      <c r="C71" s="67" t="s">
        <v>1109</v>
      </c>
      <c r="D71" s="75">
        <v>0.1</v>
      </c>
      <c r="E71" s="75">
        <v>0.11</v>
      </c>
      <c r="F71" s="75">
        <v>0.12</v>
      </c>
      <c r="G71" s="75">
        <v>0.13</v>
      </c>
      <c r="H71" s="75">
        <v>0.14000000000000001</v>
      </c>
      <c r="I71" s="75">
        <v>0.15</v>
      </c>
      <c r="J71" s="75">
        <v>0.16</v>
      </c>
      <c r="K71" s="75">
        <v>0.17</v>
      </c>
      <c r="L71" s="75">
        <v>0.18</v>
      </c>
      <c r="M71" s="75">
        <v>0.19</v>
      </c>
      <c r="N71" s="75">
        <v>0.2</v>
      </c>
      <c r="O71" s="75">
        <v>0.21</v>
      </c>
      <c r="P71" s="75">
        <v>0.22</v>
      </c>
      <c r="Q71" s="75">
        <v>0.23</v>
      </c>
      <c r="R71" s="75">
        <v>0.24</v>
      </c>
      <c r="S71" s="75">
        <v>0.24</v>
      </c>
      <c r="T71" s="75">
        <v>0.26</v>
      </c>
      <c r="U71" s="75">
        <v>0.27</v>
      </c>
      <c r="V71" s="75">
        <v>0.28000000000000003</v>
      </c>
      <c r="W71" s="75">
        <v>0.28999999999999998</v>
      </c>
      <c r="X71" s="75">
        <v>0.3</v>
      </c>
      <c r="Y71" s="75">
        <v>0.31</v>
      </c>
      <c r="Z71" s="75">
        <v>0.32</v>
      </c>
      <c r="AA71" s="75">
        <v>0.33</v>
      </c>
      <c r="AB71" s="75">
        <v>0.34</v>
      </c>
      <c r="AC71" s="75">
        <v>0.35</v>
      </c>
      <c r="AD71" s="75">
        <v>0.36</v>
      </c>
      <c r="AE71" s="75">
        <v>0.37</v>
      </c>
      <c r="AF71" s="75">
        <v>0.38</v>
      </c>
      <c r="AG71" s="75">
        <v>0.4</v>
      </c>
      <c r="AH71" s="75">
        <v>0.4</v>
      </c>
      <c r="AI71" s="75">
        <v>0.41</v>
      </c>
      <c r="AJ71" s="75">
        <v>0.42</v>
      </c>
      <c r="AK71" s="75">
        <v>0.43</v>
      </c>
      <c r="AL71" s="75">
        <v>0.44</v>
      </c>
      <c r="AM71" s="75">
        <v>0.46</v>
      </c>
      <c r="AN71" s="75">
        <v>0.47</v>
      </c>
      <c r="AO71" s="75">
        <v>0.48</v>
      </c>
      <c r="AP71" s="75">
        <v>0.49</v>
      </c>
      <c r="AQ71" s="75">
        <v>0.5</v>
      </c>
      <c r="AR71" s="75">
        <v>0.51</v>
      </c>
      <c r="AS71" s="75">
        <v>0.52</v>
      </c>
      <c r="AT71" s="75">
        <v>0.53</v>
      </c>
      <c r="AU71" s="75">
        <v>0.54</v>
      </c>
      <c r="AV71" s="75">
        <v>0.6</v>
      </c>
      <c r="AW71" s="75"/>
      <c r="AX71" s="75"/>
      <c r="AY71" s="75"/>
      <c r="AZ71" s="75"/>
      <c r="BA71" s="75"/>
      <c r="BB71" s="75"/>
      <c r="BC71" s="75"/>
      <c r="BD71" s="75"/>
      <c r="BE71" s="75"/>
      <c r="BF71" s="75"/>
      <c r="BG71" s="75"/>
      <c r="BH71" s="75"/>
      <c r="BI71" s="75"/>
      <c r="BJ71" s="75"/>
      <c r="BK71" s="75"/>
    </row>
    <row r="72" spans="1:63" x14ac:dyDescent="0.25">
      <c r="A72" s="67" t="s">
        <v>980</v>
      </c>
      <c r="B72" s="67">
        <v>45</v>
      </c>
      <c r="D72" s="274">
        <v>0</v>
      </c>
      <c r="E72" s="274">
        <v>0</v>
      </c>
      <c r="F72" s="274">
        <v>0</v>
      </c>
      <c r="G72" s="274">
        <v>0</v>
      </c>
      <c r="H72" s="274">
        <v>1</v>
      </c>
      <c r="I72" s="274">
        <v>1</v>
      </c>
      <c r="J72" s="274">
        <v>1</v>
      </c>
      <c r="K72" s="274">
        <v>1</v>
      </c>
      <c r="L72" s="274">
        <v>1</v>
      </c>
      <c r="M72" s="274">
        <v>2</v>
      </c>
      <c r="N72" s="274">
        <v>2</v>
      </c>
      <c r="O72" s="274">
        <v>2</v>
      </c>
      <c r="P72" s="274">
        <v>2</v>
      </c>
      <c r="Q72" s="274">
        <v>2</v>
      </c>
      <c r="R72" s="274">
        <v>2</v>
      </c>
      <c r="S72" s="274">
        <v>2</v>
      </c>
      <c r="T72" s="274">
        <v>2</v>
      </c>
      <c r="U72" s="274">
        <v>2</v>
      </c>
      <c r="V72" s="274">
        <v>2</v>
      </c>
      <c r="W72" s="274">
        <v>3</v>
      </c>
      <c r="X72" s="274">
        <v>3</v>
      </c>
      <c r="Y72" s="274">
        <v>3</v>
      </c>
      <c r="Z72" s="274">
        <v>3</v>
      </c>
      <c r="AA72" s="274">
        <v>3</v>
      </c>
      <c r="AB72" s="274">
        <v>3</v>
      </c>
      <c r="AC72" s="274">
        <v>3</v>
      </c>
      <c r="AD72" s="274">
        <v>3</v>
      </c>
      <c r="AE72" s="274">
        <v>3</v>
      </c>
      <c r="AF72" s="274">
        <v>3</v>
      </c>
      <c r="AG72" s="274">
        <v>4</v>
      </c>
      <c r="AH72" s="274">
        <v>4</v>
      </c>
      <c r="AI72" s="274">
        <v>4</v>
      </c>
      <c r="AJ72" s="274">
        <v>4</v>
      </c>
      <c r="AK72" s="274">
        <v>4</v>
      </c>
      <c r="AL72" s="274">
        <v>4</v>
      </c>
      <c r="AM72" s="274">
        <v>4</v>
      </c>
      <c r="AN72" s="274">
        <v>4</v>
      </c>
      <c r="AO72" s="274">
        <v>4</v>
      </c>
      <c r="AP72" s="274">
        <v>4</v>
      </c>
      <c r="AQ72" s="274">
        <v>4</v>
      </c>
      <c r="AR72" s="274">
        <v>4</v>
      </c>
      <c r="AS72" s="274">
        <v>4</v>
      </c>
      <c r="AT72" s="274">
        <v>4</v>
      </c>
      <c r="AU72" s="274">
        <v>4</v>
      </c>
      <c r="AV72" s="274">
        <v>5</v>
      </c>
      <c r="AW72" s="75"/>
      <c r="AX72" s="75"/>
      <c r="AY72" s="75"/>
      <c r="AZ72" s="75"/>
      <c r="BA72" s="75"/>
      <c r="BB72" s="75"/>
      <c r="BC72" s="75"/>
      <c r="BD72" s="75"/>
      <c r="BE72" s="75"/>
      <c r="BF72" s="75"/>
      <c r="BG72" s="75"/>
      <c r="BH72" s="75"/>
      <c r="BI72" s="75"/>
      <c r="BJ72" s="75"/>
      <c r="BK72" s="75"/>
    </row>
    <row r="73" spans="1:63" x14ac:dyDescent="0.25">
      <c r="A73" s="67" t="s">
        <v>1307</v>
      </c>
      <c r="D73" s="45">
        <v>100</v>
      </c>
      <c r="E73" s="53">
        <v>0.3</v>
      </c>
      <c r="F73" s="45">
        <v>200</v>
      </c>
      <c r="G73" s="53">
        <v>0.6</v>
      </c>
      <c r="H73" s="45">
        <v>325</v>
      </c>
      <c r="I73" s="53">
        <v>0.9</v>
      </c>
      <c r="J73" s="45">
        <v>450</v>
      </c>
      <c r="K73" s="53">
        <v>1.2</v>
      </c>
      <c r="L73" s="45">
        <v>600</v>
      </c>
      <c r="M73" s="53">
        <v>1.5</v>
      </c>
      <c r="N73" s="45">
        <v>800</v>
      </c>
      <c r="O73" s="53">
        <v>1.8</v>
      </c>
      <c r="P73" s="45">
        <v>1100</v>
      </c>
      <c r="Q73" s="53">
        <v>2.1</v>
      </c>
      <c r="R73" s="45">
        <v>1500</v>
      </c>
      <c r="S73" s="53">
        <v>2.4</v>
      </c>
      <c r="T73" s="45">
        <v>2000</v>
      </c>
      <c r="U73" s="53">
        <v>2.7</v>
      </c>
      <c r="V73" s="45">
        <v>3000</v>
      </c>
      <c r="W73" s="53">
        <v>3</v>
      </c>
      <c r="X73" s="274"/>
      <c r="Y73" s="274"/>
      <c r="Z73" s="274"/>
      <c r="AA73" s="274"/>
      <c r="AB73" s="274"/>
      <c r="AC73" s="274"/>
      <c r="AD73" s="274"/>
      <c r="AE73" s="274"/>
      <c r="AF73" s="274"/>
      <c r="AG73" s="274"/>
      <c r="AH73" s="274"/>
      <c r="AI73" s="274"/>
      <c r="AJ73" s="274"/>
      <c r="AK73" s="274"/>
      <c r="AL73" s="274"/>
      <c r="AM73" s="274"/>
      <c r="AN73" s="274"/>
      <c r="AO73" s="274"/>
      <c r="AP73" s="274"/>
      <c r="AQ73" s="274"/>
      <c r="AR73" s="274"/>
      <c r="AS73" s="274"/>
      <c r="AT73" s="274"/>
      <c r="AU73" s="274"/>
      <c r="AV73" s="274"/>
      <c r="AW73" s="75"/>
      <c r="AX73" s="75"/>
      <c r="AY73" s="75"/>
      <c r="AZ73" s="75"/>
      <c r="BA73" s="75"/>
      <c r="BB73" s="75"/>
      <c r="BC73" s="75"/>
      <c r="BD73" s="75"/>
      <c r="BE73" s="75"/>
      <c r="BF73" s="75"/>
      <c r="BG73" s="75"/>
      <c r="BH73" s="75"/>
      <c r="BI73" s="75"/>
      <c r="BJ73" s="75"/>
      <c r="BK73" s="75"/>
    </row>
    <row r="74" spans="1:63" x14ac:dyDescent="0.25">
      <c r="A74" s="67" t="s">
        <v>1035</v>
      </c>
      <c r="B74" s="67">
        <v>60</v>
      </c>
      <c r="C74" s="67" t="s">
        <v>1234</v>
      </c>
      <c r="D74" s="75">
        <v>0.1</v>
      </c>
      <c r="E74" s="75">
        <v>0.11</v>
      </c>
      <c r="F74" s="75">
        <v>0.12</v>
      </c>
      <c r="G74" s="75">
        <v>0.13</v>
      </c>
      <c r="H74" s="75">
        <v>0.14000000000000001</v>
      </c>
      <c r="I74" s="75">
        <v>0.15</v>
      </c>
      <c r="J74" s="75">
        <v>0.16</v>
      </c>
      <c r="K74" s="75">
        <v>0.17</v>
      </c>
      <c r="L74" s="75">
        <v>0.18</v>
      </c>
      <c r="M74" s="75">
        <v>0.2</v>
      </c>
      <c r="N74" s="75">
        <v>0.22</v>
      </c>
      <c r="O74" s="75">
        <v>0.23</v>
      </c>
      <c r="P74" s="75">
        <v>0.25</v>
      </c>
      <c r="Q74" s="75">
        <v>0.26</v>
      </c>
      <c r="R74" s="75">
        <v>0.28000000000000003</v>
      </c>
      <c r="S74" s="75">
        <v>0.28999999999999998</v>
      </c>
      <c r="T74" s="75">
        <v>0.31</v>
      </c>
      <c r="U74" s="75">
        <v>0.32</v>
      </c>
      <c r="V74" s="75">
        <v>0.34</v>
      </c>
      <c r="W74" s="75">
        <v>0.35</v>
      </c>
      <c r="X74" s="75">
        <v>0.37</v>
      </c>
      <c r="Y74" s="75">
        <v>0.38</v>
      </c>
      <c r="Z74" s="75">
        <v>0.4</v>
      </c>
      <c r="AA74" s="75">
        <v>0.41</v>
      </c>
      <c r="AB74" s="75">
        <v>0.43</v>
      </c>
      <c r="AC74" s="75">
        <v>0.44</v>
      </c>
      <c r="AD74" s="75">
        <v>0.46</v>
      </c>
      <c r="AE74" s="75">
        <v>0.47</v>
      </c>
      <c r="AF74" s="75">
        <v>0.49</v>
      </c>
      <c r="AG74" s="75">
        <v>0.5</v>
      </c>
      <c r="AH74" s="75">
        <v>0.52</v>
      </c>
      <c r="AI74" s="75">
        <v>0.54</v>
      </c>
      <c r="AJ74" s="75">
        <v>0.56000000000000005</v>
      </c>
      <c r="AK74" s="75">
        <v>0.57999999999999996</v>
      </c>
      <c r="AL74" s="75">
        <v>0.6</v>
      </c>
      <c r="AM74" s="75">
        <v>0.62</v>
      </c>
      <c r="AN74" s="75">
        <v>0.64</v>
      </c>
      <c r="AO74" s="75">
        <v>0.66</v>
      </c>
      <c r="AP74" s="75">
        <v>0.68</v>
      </c>
      <c r="AQ74" s="75">
        <v>0.7</v>
      </c>
      <c r="AR74" s="75">
        <v>0.72</v>
      </c>
      <c r="AS74" s="75">
        <v>0.74</v>
      </c>
      <c r="AT74" s="75">
        <v>0.76</v>
      </c>
      <c r="AU74" s="75">
        <v>0.78</v>
      </c>
      <c r="AV74" s="75">
        <v>0.8</v>
      </c>
      <c r="AW74" s="75">
        <v>0.82</v>
      </c>
      <c r="AX74" s="75">
        <v>0.84</v>
      </c>
      <c r="AY74" s="75">
        <v>0.86</v>
      </c>
      <c r="AZ74" s="75">
        <v>0.88</v>
      </c>
      <c r="BA74" s="75">
        <v>0.9</v>
      </c>
      <c r="BB74" s="75">
        <v>0.93</v>
      </c>
      <c r="BC74" s="75">
        <v>0.96</v>
      </c>
      <c r="BD74" s="75">
        <v>0.99</v>
      </c>
      <c r="BE74" s="75">
        <v>1.02</v>
      </c>
      <c r="BF74" s="75">
        <v>1.05</v>
      </c>
      <c r="BG74" s="75">
        <v>1.08</v>
      </c>
      <c r="BH74" s="75">
        <v>1.1100000000000001</v>
      </c>
      <c r="BI74" s="75">
        <v>1.1399999999999999</v>
      </c>
      <c r="BJ74" s="75">
        <v>1.17</v>
      </c>
      <c r="BK74" s="75">
        <v>1.2</v>
      </c>
    </row>
    <row r="75" spans="1:63" x14ac:dyDescent="0.25">
      <c r="A75" s="67" t="s">
        <v>981</v>
      </c>
      <c r="B75" s="67">
        <v>60</v>
      </c>
      <c r="D75" s="274">
        <v>0</v>
      </c>
      <c r="E75" s="274">
        <v>0</v>
      </c>
      <c r="F75" s="274">
        <v>0</v>
      </c>
      <c r="G75" s="274">
        <v>0</v>
      </c>
      <c r="H75" s="274">
        <v>1</v>
      </c>
      <c r="I75" s="274">
        <v>1</v>
      </c>
      <c r="J75" s="274">
        <v>1</v>
      </c>
      <c r="K75" s="274">
        <v>1</v>
      </c>
      <c r="L75" s="274">
        <v>1</v>
      </c>
      <c r="M75" s="274">
        <v>2</v>
      </c>
      <c r="N75" s="274">
        <v>2</v>
      </c>
      <c r="O75" s="274">
        <v>2</v>
      </c>
      <c r="P75" s="274">
        <v>2</v>
      </c>
      <c r="Q75" s="274">
        <v>2</v>
      </c>
      <c r="R75" s="274">
        <v>2</v>
      </c>
      <c r="S75" s="274">
        <v>2</v>
      </c>
      <c r="T75" s="274">
        <v>2</v>
      </c>
      <c r="U75" s="274">
        <v>2</v>
      </c>
      <c r="V75" s="274">
        <v>2</v>
      </c>
      <c r="W75" s="274">
        <v>3</v>
      </c>
      <c r="X75" s="274">
        <v>3</v>
      </c>
      <c r="Y75" s="274">
        <v>3</v>
      </c>
      <c r="Z75" s="274">
        <v>3</v>
      </c>
      <c r="AA75" s="274">
        <v>3</v>
      </c>
      <c r="AB75" s="274">
        <v>3</v>
      </c>
      <c r="AC75" s="274">
        <v>3</v>
      </c>
      <c r="AD75" s="274">
        <v>3</v>
      </c>
      <c r="AE75" s="274">
        <v>3</v>
      </c>
      <c r="AF75" s="274">
        <v>3</v>
      </c>
      <c r="AG75" s="274">
        <v>3</v>
      </c>
      <c r="AH75" s="274">
        <v>3</v>
      </c>
      <c r="AI75" s="274">
        <v>3</v>
      </c>
      <c r="AJ75" s="274">
        <v>3</v>
      </c>
      <c r="AK75" s="274">
        <v>3</v>
      </c>
      <c r="AL75" s="274">
        <v>4</v>
      </c>
      <c r="AM75" s="274">
        <v>4</v>
      </c>
      <c r="AN75" s="274">
        <v>4</v>
      </c>
      <c r="AO75" s="274">
        <v>4</v>
      </c>
      <c r="AP75" s="274">
        <v>4</v>
      </c>
      <c r="AQ75" s="274">
        <v>4</v>
      </c>
      <c r="AR75" s="274">
        <v>4</v>
      </c>
      <c r="AS75" s="274">
        <v>4</v>
      </c>
      <c r="AT75" s="274">
        <v>4</v>
      </c>
      <c r="AU75" s="274">
        <v>4</v>
      </c>
      <c r="AV75" s="274">
        <v>5</v>
      </c>
      <c r="AW75" s="274">
        <v>5</v>
      </c>
      <c r="AX75" s="274">
        <v>5</v>
      </c>
      <c r="AY75" s="274">
        <v>5</v>
      </c>
      <c r="AZ75" s="274">
        <v>5</v>
      </c>
      <c r="BA75" s="274">
        <v>5</v>
      </c>
      <c r="BB75" s="274">
        <v>5</v>
      </c>
      <c r="BC75" s="274">
        <v>5</v>
      </c>
      <c r="BD75" s="274">
        <v>5</v>
      </c>
      <c r="BE75" s="274">
        <v>5</v>
      </c>
      <c r="BF75" s="274">
        <v>6</v>
      </c>
      <c r="BG75" s="274">
        <v>6</v>
      </c>
      <c r="BH75" s="274">
        <v>6</v>
      </c>
      <c r="BI75" s="274">
        <v>6</v>
      </c>
      <c r="BJ75" s="274">
        <v>6</v>
      </c>
      <c r="BK75" s="274">
        <v>6</v>
      </c>
    </row>
    <row r="76" spans="1:63" x14ac:dyDescent="0.25">
      <c r="A76" s="67" t="s">
        <v>1308</v>
      </c>
      <c r="D76" s="45">
        <v>1000</v>
      </c>
      <c r="E76" s="53">
        <v>0.45</v>
      </c>
      <c r="F76" s="45">
        <v>2000</v>
      </c>
      <c r="G76" s="53">
        <v>0.9</v>
      </c>
      <c r="H76" s="45">
        <v>3250</v>
      </c>
      <c r="I76" s="53">
        <v>1.35</v>
      </c>
      <c r="J76" s="45">
        <v>4500</v>
      </c>
      <c r="K76" s="53">
        <v>1.8</v>
      </c>
      <c r="L76" s="45">
        <v>6000</v>
      </c>
      <c r="M76" s="53">
        <v>2.25</v>
      </c>
      <c r="N76" s="45">
        <v>8000</v>
      </c>
      <c r="O76" s="53">
        <v>2.7</v>
      </c>
      <c r="P76" s="45">
        <v>11000</v>
      </c>
      <c r="Q76" s="53">
        <v>3.15</v>
      </c>
      <c r="R76" s="45">
        <v>15000</v>
      </c>
      <c r="S76" s="53">
        <v>3.6</v>
      </c>
      <c r="T76" s="45">
        <v>20000</v>
      </c>
      <c r="U76" s="53">
        <v>4.05</v>
      </c>
      <c r="V76" s="45">
        <v>30000</v>
      </c>
      <c r="W76" s="53">
        <v>4.5</v>
      </c>
      <c r="X76" s="274"/>
      <c r="Y76" s="274"/>
      <c r="Z76" s="274"/>
      <c r="AA76" s="274"/>
      <c r="AB76" s="274"/>
      <c r="AC76" s="274"/>
      <c r="AD76" s="274"/>
      <c r="AE76" s="274"/>
      <c r="AF76" s="274"/>
      <c r="AG76" s="274"/>
      <c r="AH76" s="274"/>
      <c r="AI76" s="274"/>
      <c r="AJ76" s="274"/>
      <c r="AK76" s="274"/>
      <c r="AL76" s="274"/>
      <c r="AM76" s="274"/>
      <c r="AN76" s="274"/>
      <c r="AO76" s="274"/>
      <c r="AP76" s="274"/>
      <c r="AQ76" s="274"/>
      <c r="AR76" s="274"/>
      <c r="AS76" s="274"/>
      <c r="AT76" s="274"/>
      <c r="AU76" s="274"/>
      <c r="AV76" s="274"/>
      <c r="AW76" s="274"/>
      <c r="AX76" s="274"/>
      <c r="AY76" s="274"/>
      <c r="AZ76" s="274"/>
      <c r="BA76" s="274"/>
      <c r="BB76" s="274"/>
      <c r="BC76" s="274"/>
      <c r="BD76" s="274"/>
      <c r="BE76" s="274"/>
      <c r="BF76" s="274"/>
      <c r="BG76" s="274"/>
      <c r="BH76" s="274"/>
      <c r="BI76" s="274"/>
      <c r="BJ76" s="274"/>
      <c r="BK76" s="274"/>
    </row>
    <row r="77" spans="1:63" x14ac:dyDescent="0.25">
      <c r="A77" s="67" t="s">
        <v>1036</v>
      </c>
      <c r="B77" s="67">
        <v>60</v>
      </c>
      <c r="C77" s="67" t="s">
        <v>1229</v>
      </c>
      <c r="D77" s="75">
        <v>0.1</v>
      </c>
      <c r="E77" s="75">
        <v>0.1</v>
      </c>
      <c r="F77" s="75">
        <v>0.11</v>
      </c>
      <c r="G77" s="75">
        <v>0.11</v>
      </c>
      <c r="H77" s="75">
        <v>0.12</v>
      </c>
      <c r="I77" s="75">
        <v>0.12</v>
      </c>
      <c r="J77" s="75">
        <v>0.13</v>
      </c>
      <c r="K77" s="75">
        <v>0.13</v>
      </c>
      <c r="L77" s="75">
        <v>0.14000000000000001</v>
      </c>
      <c r="M77" s="75">
        <v>0.15</v>
      </c>
      <c r="N77" s="75">
        <v>0.15</v>
      </c>
      <c r="O77" s="75">
        <v>0.16</v>
      </c>
      <c r="P77" s="75">
        <v>0.16</v>
      </c>
      <c r="Q77" s="75">
        <v>0.17</v>
      </c>
      <c r="R77" s="75">
        <v>0.18</v>
      </c>
      <c r="S77" s="75">
        <v>0.18</v>
      </c>
      <c r="T77" s="75">
        <v>0.19</v>
      </c>
      <c r="U77" s="75">
        <v>0.2</v>
      </c>
      <c r="V77" s="75">
        <v>0.21</v>
      </c>
      <c r="W77" s="75">
        <v>0.22</v>
      </c>
      <c r="X77" s="75">
        <v>0.22</v>
      </c>
      <c r="Y77" s="75">
        <v>0.23</v>
      </c>
      <c r="Z77" s="75">
        <v>0.23</v>
      </c>
      <c r="AA77" s="75">
        <v>0.24</v>
      </c>
      <c r="AB77" s="75">
        <v>0.25</v>
      </c>
      <c r="AC77" s="75">
        <v>0.25</v>
      </c>
      <c r="AD77" s="75">
        <v>0.26</v>
      </c>
      <c r="AE77" s="75">
        <v>0.27</v>
      </c>
      <c r="AF77" s="75">
        <v>0.28000000000000003</v>
      </c>
      <c r="AG77" s="75">
        <v>0.28999999999999998</v>
      </c>
      <c r="AH77" s="75">
        <v>0.28999999999999998</v>
      </c>
      <c r="AI77" s="75">
        <v>0.3</v>
      </c>
      <c r="AJ77" s="75">
        <v>0.3</v>
      </c>
      <c r="AK77" s="75">
        <v>0.31</v>
      </c>
      <c r="AL77" s="75">
        <v>0.32</v>
      </c>
      <c r="AM77" s="75">
        <v>0.32</v>
      </c>
      <c r="AN77" s="75">
        <v>0.33</v>
      </c>
      <c r="AO77" s="75">
        <v>0.34</v>
      </c>
      <c r="AP77" s="75">
        <v>0.35</v>
      </c>
      <c r="AQ77" s="75">
        <v>0.36</v>
      </c>
      <c r="AR77" s="75">
        <v>0.36</v>
      </c>
      <c r="AS77" s="75">
        <v>0.37</v>
      </c>
      <c r="AT77" s="75">
        <v>0.37</v>
      </c>
      <c r="AU77" s="75">
        <v>0.38</v>
      </c>
      <c r="AV77" s="75">
        <v>0.39</v>
      </c>
      <c r="AW77" s="75">
        <v>0.39</v>
      </c>
      <c r="AX77" s="75">
        <v>0.4</v>
      </c>
      <c r="AY77" s="75">
        <v>0.41</v>
      </c>
      <c r="AZ77" s="75">
        <v>0.42</v>
      </c>
      <c r="BA77" s="75">
        <v>0.43</v>
      </c>
      <c r="BB77" s="75">
        <v>0.43</v>
      </c>
      <c r="BC77" s="75">
        <v>0.44</v>
      </c>
      <c r="BD77" s="75">
        <v>0.44</v>
      </c>
      <c r="BE77" s="75">
        <v>0.45</v>
      </c>
      <c r="BF77" s="75">
        <v>0.46</v>
      </c>
      <c r="BG77" s="75">
        <v>0.46</v>
      </c>
      <c r="BH77" s="75">
        <v>0.47</v>
      </c>
      <c r="BI77" s="75">
        <v>0.48</v>
      </c>
      <c r="BJ77" s="75">
        <v>0.49</v>
      </c>
      <c r="BK77" s="75">
        <v>0.5</v>
      </c>
    </row>
    <row r="78" spans="1:63" x14ac:dyDescent="0.25">
      <c r="A78" s="67" t="s">
        <v>982</v>
      </c>
      <c r="B78" s="67">
        <v>60</v>
      </c>
      <c r="D78" s="274">
        <v>0</v>
      </c>
      <c r="E78" s="274">
        <v>0</v>
      </c>
      <c r="F78" s="274">
        <v>0</v>
      </c>
      <c r="G78" s="274">
        <v>0</v>
      </c>
      <c r="H78" s="274">
        <v>1</v>
      </c>
      <c r="I78" s="274">
        <v>1</v>
      </c>
      <c r="J78" s="274">
        <v>1</v>
      </c>
      <c r="K78" s="274">
        <v>1</v>
      </c>
      <c r="L78" s="274">
        <v>1</v>
      </c>
      <c r="M78" s="274">
        <v>2</v>
      </c>
      <c r="N78" s="274">
        <v>2</v>
      </c>
      <c r="O78" s="274">
        <v>2</v>
      </c>
      <c r="P78" s="274">
        <v>2</v>
      </c>
      <c r="Q78" s="274">
        <v>2</v>
      </c>
      <c r="R78" s="274">
        <v>2</v>
      </c>
      <c r="S78" s="274">
        <v>2</v>
      </c>
      <c r="T78" s="274">
        <v>2</v>
      </c>
      <c r="U78" s="274">
        <v>2</v>
      </c>
      <c r="V78" s="274">
        <v>2</v>
      </c>
      <c r="W78" s="274">
        <v>3</v>
      </c>
      <c r="X78" s="274">
        <v>3</v>
      </c>
      <c r="Y78" s="274">
        <v>3</v>
      </c>
      <c r="Z78" s="274">
        <v>3</v>
      </c>
      <c r="AA78" s="274">
        <v>3</v>
      </c>
      <c r="AB78" s="274">
        <v>3</v>
      </c>
      <c r="AC78" s="274">
        <v>3</v>
      </c>
      <c r="AD78" s="274">
        <v>3</v>
      </c>
      <c r="AE78" s="274">
        <v>3</v>
      </c>
      <c r="AF78" s="274">
        <v>3</v>
      </c>
      <c r="AG78" s="274">
        <v>3</v>
      </c>
      <c r="AH78" s="274">
        <v>3</v>
      </c>
      <c r="AI78" s="274">
        <v>3</v>
      </c>
      <c r="AJ78" s="274">
        <v>3</v>
      </c>
      <c r="AK78" s="274">
        <v>3</v>
      </c>
      <c r="AL78" s="274">
        <v>4</v>
      </c>
      <c r="AM78" s="274">
        <v>4</v>
      </c>
      <c r="AN78" s="274">
        <v>4</v>
      </c>
      <c r="AO78" s="274">
        <v>4</v>
      </c>
      <c r="AP78" s="274">
        <v>4</v>
      </c>
      <c r="AQ78" s="274">
        <v>4</v>
      </c>
      <c r="AR78" s="274">
        <v>4</v>
      </c>
      <c r="AS78" s="274">
        <v>4</v>
      </c>
      <c r="AT78" s="274">
        <v>4</v>
      </c>
      <c r="AU78" s="274">
        <v>4</v>
      </c>
      <c r="AV78" s="274">
        <v>4</v>
      </c>
      <c r="AW78" s="274">
        <v>4</v>
      </c>
      <c r="AX78" s="274">
        <v>4</v>
      </c>
      <c r="AY78" s="274">
        <v>4</v>
      </c>
      <c r="AZ78" s="274">
        <v>4</v>
      </c>
      <c r="BA78" s="274">
        <v>4</v>
      </c>
      <c r="BB78" s="274">
        <v>4</v>
      </c>
      <c r="BC78" s="274">
        <v>4</v>
      </c>
      <c r="BD78" s="274">
        <v>4</v>
      </c>
      <c r="BE78" s="274">
        <v>4</v>
      </c>
      <c r="BF78" s="274">
        <v>5</v>
      </c>
      <c r="BG78" s="274">
        <v>5</v>
      </c>
      <c r="BH78" s="274">
        <v>5</v>
      </c>
      <c r="BI78" s="274">
        <v>5</v>
      </c>
      <c r="BJ78" s="274">
        <v>5</v>
      </c>
      <c r="BK78" s="274">
        <v>5</v>
      </c>
    </row>
    <row r="79" spans="1:63" x14ac:dyDescent="0.25">
      <c r="A79" s="67" t="s">
        <v>1309</v>
      </c>
      <c r="D79" s="45">
        <v>700</v>
      </c>
      <c r="E79" s="53">
        <v>0.4</v>
      </c>
      <c r="F79" s="45">
        <v>1400</v>
      </c>
      <c r="G79" s="53">
        <v>0.8</v>
      </c>
      <c r="H79" s="45">
        <v>2275</v>
      </c>
      <c r="I79" s="53">
        <v>1.2</v>
      </c>
      <c r="J79" s="45">
        <v>3150</v>
      </c>
      <c r="K79" s="53">
        <v>1.6</v>
      </c>
      <c r="L79" s="45">
        <v>4200</v>
      </c>
      <c r="M79" s="53">
        <v>2</v>
      </c>
      <c r="N79" s="45">
        <v>5600</v>
      </c>
      <c r="O79" s="53">
        <v>2.4</v>
      </c>
      <c r="P79" s="45">
        <v>7700</v>
      </c>
      <c r="Q79" s="53">
        <v>2.8</v>
      </c>
      <c r="R79" s="45">
        <v>10500</v>
      </c>
      <c r="S79" s="53">
        <v>3.2</v>
      </c>
      <c r="T79" s="45">
        <v>14000</v>
      </c>
      <c r="U79" s="53">
        <v>3.6</v>
      </c>
      <c r="V79" s="45">
        <v>21000</v>
      </c>
      <c r="W79" s="53">
        <v>4</v>
      </c>
      <c r="X79" s="274"/>
      <c r="Y79" s="274"/>
      <c r="Z79" s="274"/>
      <c r="AA79" s="274"/>
      <c r="AB79" s="274"/>
      <c r="AC79" s="274"/>
      <c r="AD79" s="274"/>
      <c r="AE79" s="274"/>
      <c r="AF79" s="274"/>
      <c r="AG79" s="274"/>
      <c r="AH79" s="274"/>
      <c r="AI79" s="274"/>
      <c r="AJ79" s="274"/>
      <c r="AK79" s="274"/>
      <c r="AL79" s="274"/>
      <c r="AM79" s="274"/>
      <c r="AN79" s="274"/>
      <c r="AO79" s="274"/>
      <c r="AP79" s="274"/>
      <c r="AQ79" s="274"/>
      <c r="AR79" s="274"/>
      <c r="AS79" s="274"/>
      <c r="AT79" s="274"/>
      <c r="AU79" s="274"/>
      <c r="AV79" s="274"/>
      <c r="AW79" s="274"/>
      <c r="AX79" s="274"/>
      <c r="AY79" s="274"/>
      <c r="AZ79" s="274"/>
      <c r="BA79" s="274"/>
      <c r="BB79" s="274"/>
      <c r="BC79" s="274"/>
      <c r="BD79" s="274"/>
      <c r="BE79" s="274"/>
      <c r="BF79" s="274"/>
      <c r="BG79" s="274"/>
      <c r="BH79" s="274"/>
      <c r="BI79" s="274"/>
      <c r="BJ79" s="274"/>
      <c r="BK79" s="274"/>
    </row>
    <row r="80" spans="1:63" x14ac:dyDescent="0.25">
      <c r="A80" s="67" t="s">
        <v>1037</v>
      </c>
      <c r="B80" s="67">
        <v>45</v>
      </c>
      <c r="C80" s="67" t="s">
        <v>1395</v>
      </c>
      <c r="D80" s="75">
        <v>0.1</v>
      </c>
      <c r="E80" s="75">
        <v>0.11</v>
      </c>
      <c r="F80" s="75">
        <v>0.12</v>
      </c>
      <c r="G80" s="75">
        <v>0.13</v>
      </c>
      <c r="H80" s="75">
        <v>0.14000000000000001</v>
      </c>
      <c r="I80" s="75">
        <v>0.15</v>
      </c>
      <c r="J80" s="75">
        <v>0.16</v>
      </c>
      <c r="K80" s="75">
        <v>0.17</v>
      </c>
      <c r="L80" s="75">
        <v>0.18</v>
      </c>
      <c r="M80" s="75">
        <v>0.19</v>
      </c>
      <c r="N80" s="75">
        <v>0.2</v>
      </c>
      <c r="O80" s="75">
        <v>0.21</v>
      </c>
      <c r="P80" s="75">
        <v>0.22</v>
      </c>
      <c r="Q80" s="75">
        <v>0.23</v>
      </c>
      <c r="R80" s="75">
        <v>0.24</v>
      </c>
      <c r="S80" s="75">
        <v>0.25</v>
      </c>
      <c r="T80" s="75">
        <v>0.26</v>
      </c>
      <c r="U80" s="75">
        <v>0.27</v>
      </c>
      <c r="V80" s="75">
        <v>0.28000000000000003</v>
      </c>
      <c r="W80" s="75">
        <v>0.28999999999999998</v>
      </c>
      <c r="X80" s="75">
        <v>0.3</v>
      </c>
      <c r="Y80" s="75">
        <v>0.31</v>
      </c>
      <c r="Z80" s="75">
        <v>0.32</v>
      </c>
      <c r="AA80" s="75">
        <v>0.33</v>
      </c>
      <c r="AB80" s="75">
        <v>0.34</v>
      </c>
      <c r="AC80" s="75">
        <v>0.35</v>
      </c>
      <c r="AD80" s="75">
        <v>0.36</v>
      </c>
      <c r="AE80" s="75">
        <v>0.37</v>
      </c>
      <c r="AF80" s="75">
        <v>0.38</v>
      </c>
      <c r="AG80" s="75">
        <v>0.4</v>
      </c>
      <c r="AH80" s="75">
        <v>0.41</v>
      </c>
      <c r="AI80" s="75">
        <v>0.42</v>
      </c>
      <c r="AJ80" s="75">
        <v>0.43</v>
      </c>
      <c r="AK80" s="75">
        <v>0.44</v>
      </c>
      <c r="AL80" s="75">
        <v>0.45</v>
      </c>
      <c r="AM80" s="75">
        <v>0.46</v>
      </c>
      <c r="AN80" s="75">
        <v>0.48</v>
      </c>
      <c r="AO80" s="75">
        <v>0.49</v>
      </c>
      <c r="AP80" s="75">
        <v>0.5</v>
      </c>
      <c r="AQ80" s="75">
        <v>0.51</v>
      </c>
      <c r="AR80" s="75">
        <v>0.52</v>
      </c>
      <c r="AS80" s="75">
        <v>0.53</v>
      </c>
      <c r="AT80" s="75">
        <v>0.54</v>
      </c>
      <c r="AU80" s="75">
        <v>0.56999999999999995</v>
      </c>
      <c r="AV80" s="75">
        <v>0.6</v>
      </c>
      <c r="AW80" s="75"/>
      <c r="AX80" s="75"/>
      <c r="AY80" s="75"/>
      <c r="AZ80" s="75"/>
      <c r="BA80" s="75"/>
      <c r="BB80" s="75"/>
      <c r="BC80" s="75"/>
      <c r="BD80" s="75"/>
      <c r="BE80" s="75"/>
      <c r="BF80" s="75"/>
      <c r="BG80" s="75"/>
      <c r="BH80" s="75"/>
      <c r="BI80" s="75"/>
      <c r="BJ80" s="75"/>
      <c r="BK80" s="75"/>
    </row>
    <row r="81" spans="1:63" x14ac:dyDescent="0.25">
      <c r="A81" s="67" t="s">
        <v>983</v>
      </c>
      <c r="B81" s="67">
        <v>45</v>
      </c>
      <c r="D81" s="274">
        <v>0</v>
      </c>
      <c r="E81" s="274">
        <v>0</v>
      </c>
      <c r="F81" s="274">
        <v>0</v>
      </c>
      <c r="G81" s="274">
        <v>0</v>
      </c>
      <c r="H81" s="274">
        <v>1</v>
      </c>
      <c r="I81" s="274">
        <v>1</v>
      </c>
      <c r="J81" s="274">
        <v>1</v>
      </c>
      <c r="K81" s="274">
        <v>1</v>
      </c>
      <c r="L81" s="274">
        <v>1</v>
      </c>
      <c r="M81" s="274">
        <v>2</v>
      </c>
      <c r="N81" s="274">
        <v>2</v>
      </c>
      <c r="O81" s="274">
        <v>2</v>
      </c>
      <c r="P81" s="274">
        <v>2</v>
      </c>
      <c r="Q81" s="274">
        <v>2</v>
      </c>
      <c r="R81" s="274">
        <v>2</v>
      </c>
      <c r="S81" s="274">
        <v>2</v>
      </c>
      <c r="T81" s="274">
        <v>2</v>
      </c>
      <c r="U81" s="274">
        <v>2</v>
      </c>
      <c r="V81" s="274">
        <v>2</v>
      </c>
      <c r="W81" s="274">
        <v>3</v>
      </c>
      <c r="X81" s="274">
        <v>3</v>
      </c>
      <c r="Y81" s="274">
        <v>3</v>
      </c>
      <c r="Z81" s="274">
        <v>3</v>
      </c>
      <c r="AA81" s="274">
        <v>3</v>
      </c>
      <c r="AB81" s="274">
        <v>3</v>
      </c>
      <c r="AC81" s="274">
        <v>3</v>
      </c>
      <c r="AD81" s="274">
        <v>3</v>
      </c>
      <c r="AE81" s="274">
        <v>3</v>
      </c>
      <c r="AF81" s="274">
        <v>3</v>
      </c>
      <c r="AG81" s="274">
        <v>4</v>
      </c>
      <c r="AH81" s="274">
        <v>4</v>
      </c>
      <c r="AI81" s="274">
        <v>4</v>
      </c>
      <c r="AJ81" s="274">
        <v>4</v>
      </c>
      <c r="AK81" s="274">
        <v>4</v>
      </c>
      <c r="AL81" s="274">
        <v>4</v>
      </c>
      <c r="AM81" s="274">
        <v>4</v>
      </c>
      <c r="AN81" s="274">
        <v>4</v>
      </c>
      <c r="AO81" s="274">
        <v>4</v>
      </c>
      <c r="AP81" s="274">
        <v>4</v>
      </c>
      <c r="AQ81" s="274">
        <v>4</v>
      </c>
      <c r="AR81" s="274">
        <v>4</v>
      </c>
      <c r="AS81" s="274">
        <v>4</v>
      </c>
      <c r="AT81" s="274">
        <v>4</v>
      </c>
      <c r="AU81" s="274">
        <v>4</v>
      </c>
      <c r="AV81" s="274">
        <v>5</v>
      </c>
      <c r="AW81" s="75"/>
      <c r="AX81" s="75"/>
      <c r="AY81" s="75"/>
      <c r="AZ81" s="75"/>
      <c r="BA81" s="75"/>
      <c r="BB81" s="75"/>
      <c r="BC81" s="75"/>
      <c r="BD81" s="75"/>
      <c r="BE81" s="75"/>
      <c r="BF81" s="75"/>
      <c r="BG81" s="75"/>
      <c r="BH81" s="75"/>
      <c r="BI81" s="75"/>
      <c r="BJ81" s="75"/>
      <c r="BK81" s="75"/>
    </row>
    <row r="82" spans="1:63" x14ac:dyDescent="0.25">
      <c r="A82" s="67" t="s">
        <v>1310</v>
      </c>
      <c r="D82" s="45">
        <v>100</v>
      </c>
      <c r="E82" s="53">
        <v>0.3</v>
      </c>
      <c r="F82" s="45">
        <v>200</v>
      </c>
      <c r="G82" s="53">
        <v>0.6</v>
      </c>
      <c r="H82" s="45">
        <v>325</v>
      </c>
      <c r="I82" s="53">
        <v>0.9</v>
      </c>
      <c r="J82" s="45">
        <v>450</v>
      </c>
      <c r="K82" s="53">
        <v>1.2</v>
      </c>
      <c r="L82" s="45">
        <v>600</v>
      </c>
      <c r="M82" s="53">
        <v>1.5</v>
      </c>
      <c r="N82" s="45">
        <v>800</v>
      </c>
      <c r="O82" s="53">
        <v>1.8</v>
      </c>
      <c r="P82" s="45">
        <v>1100</v>
      </c>
      <c r="Q82" s="53">
        <v>2.1</v>
      </c>
      <c r="R82" s="45">
        <v>1500</v>
      </c>
      <c r="S82" s="53">
        <v>2.4</v>
      </c>
      <c r="T82" s="45">
        <v>2000</v>
      </c>
      <c r="U82" s="53">
        <v>2.7</v>
      </c>
      <c r="V82" s="45">
        <v>3000</v>
      </c>
      <c r="W82" s="53">
        <v>3</v>
      </c>
      <c r="X82" s="274"/>
      <c r="Y82" s="274"/>
      <c r="Z82" s="274"/>
      <c r="AA82" s="274"/>
      <c r="AB82" s="274"/>
      <c r="AC82" s="274"/>
      <c r="AD82" s="274"/>
      <c r="AE82" s="274"/>
      <c r="AF82" s="274"/>
      <c r="AG82" s="274"/>
      <c r="AH82" s="274"/>
      <c r="AI82" s="274"/>
      <c r="AJ82" s="274"/>
      <c r="AK82" s="274"/>
      <c r="AL82" s="274"/>
      <c r="AM82" s="274"/>
      <c r="AN82" s="274"/>
      <c r="AO82" s="274"/>
      <c r="AP82" s="274"/>
      <c r="AQ82" s="274"/>
      <c r="AR82" s="274"/>
      <c r="AS82" s="274"/>
      <c r="AT82" s="274"/>
      <c r="AU82" s="274"/>
      <c r="AV82" s="274"/>
      <c r="AW82" s="75"/>
      <c r="AX82" s="75"/>
      <c r="AY82" s="75"/>
      <c r="AZ82" s="75"/>
      <c r="BA82" s="75"/>
      <c r="BB82" s="75"/>
      <c r="BC82" s="75"/>
      <c r="BD82" s="75"/>
      <c r="BE82" s="75"/>
      <c r="BF82" s="75"/>
      <c r="BG82" s="75"/>
      <c r="BH82" s="75"/>
      <c r="BI82" s="75"/>
      <c r="BJ82" s="75"/>
      <c r="BK82" s="75"/>
    </row>
    <row r="83" spans="1:63" x14ac:dyDescent="0.25">
      <c r="A83" s="67" t="s">
        <v>1038</v>
      </c>
      <c r="B83" s="67">
        <v>45</v>
      </c>
      <c r="C83" s="67" t="s">
        <v>1147</v>
      </c>
      <c r="D83" s="75">
        <v>0.7</v>
      </c>
      <c r="E83" s="284">
        <v>0.73899999999999999</v>
      </c>
      <c r="F83" s="284">
        <v>0.77800000000000002</v>
      </c>
      <c r="G83" s="284">
        <v>0.81699999999999995</v>
      </c>
      <c r="H83" s="284">
        <v>0.85599999999999998</v>
      </c>
      <c r="I83" s="284">
        <v>0.89500000000000002</v>
      </c>
      <c r="J83" s="284">
        <v>0.93400000000000005</v>
      </c>
      <c r="K83" s="284">
        <v>0.97299999999999998</v>
      </c>
      <c r="L83" s="284">
        <v>1.012</v>
      </c>
      <c r="M83" s="284">
        <v>1.0509999999999999</v>
      </c>
      <c r="N83" s="75">
        <v>1.0900000000000001</v>
      </c>
      <c r="O83" s="284">
        <v>1.129</v>
      </c>
      <c r="P83" s="284">
        <v>1.1679999999999999</v>
      </c>
      <c r="Q83" s="284">
        <v>1.2070000000000001</v>
      </c>
      <c r="R83" s="284">
        <v>1.246</v>
      </c>
      <c r="S83" s="284">
        <v>1.2849999999999999</v>
      </c>
      <c r="T83" s="284">
        <v>1.3240000000000001</v>
      </c>
      <c r="U83" s="284">
        <v>1.363</v>
      </c>
      <c r="V83" s="284">
        <v>1.4019999999999999</v>
      </c>
      <c r="W83" s="284">
        <v>1.4410000000000001</v>
      </c>
      <c r="X83" s="75">
        <v>1.48</v>
      </c>
      <c r="Y83" s="284">
        <v>1.5189999999999999</v>
      </c>
      <c r="Z83" s="284">
        <v>1.5580000000000001</v>
      </c>
      <c r="AA83" s="284">
        <v>1.597</v>
      </c>
      <c r="AB83" s="284">
        <v>1.6359999999999999</v>
      </c>
      <c r="AC83" s="284">
        <v>1.675</v>
      </c>
      <c r="AD83" s="284">
        <v>1.714</v>
      </c>
      <c r="AE83" s="284">
        <v>1.7529999999999999</v>
      </c>
      <c r="AF83" s="284">
        <v>1.792</v>
      </c>
      <c r="AG83" s="284">
        <v>1.831</v>
      </c>
      <c r="AH83" s="75">
        <v>1.87</v>
      </c>
      <c r="AI83" s="284">
        <v>1.909</v>
      </c>
      <c r="AJ83" s="284">
        <v>1.948</v>
      </c>
      <c r="AK83" s="284">
        <v>1.986</v>
      </c>
      <c r="AL83" s="284">
        <v>2.0249999999999999</v>
      </c>
      <c r="AM83" s="284">
        <v>2.0640000000000001</v>
      </c>
      <c r="AN83" s="284">
        <v>2.1030000000000002</v>
      </c>
      <c r="AO83" s="284">
        <v>2.1419999999999999</v>
      </c>
      <c r="AP83" s="284">
        <v>2.181</v>
      </c>
      <c r="AQ83" s="75">
        <v>2.2200000000000002</v>
      </c>
      <c r="AR83" s="284">
        <v>2.2589999999999999</v>
      </c>
      <c r="AS83" s="284">
        <v>2.298</v>
      </c>
      <c r="AT83" s="284">
        <v>2.3370000000000002</v>
      </c>
      <c r="AU83" s="284">
        <v>2.3759999999999999</v>
      </c>
      <c r="AV83" s="75">
        <v>2.5</v>
      </c>
      <c r="AW83" s="75"/>
      <c r="AX83" s="75"/>
      <c r="AY83" s="75"/>
      <c r="AZ83" s="75"/>
      <c r="BA83" s="75"/>
      <c r="BB83" s="75"/>
      <c r="BC83" s="75"/>
      <c r="BD83" s="75"/>
      <c r="BE83" s="75"/>
      <c r="BF83" s="75"/>
      <c r="BG83" s="75"/>
      <c r="BH83" s="75"/>
      <c r="BI83" s="75"/>
      <c r="BJ83" s="75"/>
      <c r="BK83" s="75"/>
    </row>
    <row r="84" spans="1:63" x14ac:dyDescent="0.25">
      <c r="A84" s="67" t="s">
        <v>984</v>
      </c>
      <c r="B84" s="67">
        <v>45</v>
      </c>
      <c r="D84" s="274">
        <v>0</v>
      </c>
      <c r="E84" s="274">
        <v>0</v>
      </c>
      <c r="F84" s="274">
        <v>0</v>
      </c>
      <c r="G84" s="274">
        <v>0</v>
      </c>
      <c r="H84" s="274">
        <v>1</v>
      </c>
      <c r="I84" s="274">
        <v>1</v>
      </c>
      <c r="J84" s="274">
        <v>1</v>
      </c>
      <c r="K84" s="274">
        <v>1</v>
      </c>
      <c r="L84" s="274">
        <v>1</v>
      </c>
      <c r="M84" s="274">
        <v>2</v>
      </c>
      <c r="N84" s="274">
        <v>2</v>
      </c>
      <c r="O84" s="274">
        <v>2</v>
      </c>
      <c r="P84" s="274">
        <v>2</v>
      </c>
      <c r="Q84" s="274">
        <v>2</v>
      </c>
      <c r="R84" s="274">
        <v>2</v>
      </c>
      <c r="S84" s="274">
        <v>2</v>
      </c>
      <c r="T84" s="274">
        <v>2</v>
      </c>
      <c r="U84" s="274">
        <v>2</v>
      </c>
      <c r="V84" s="274">
        <v>2</v>
      </c>
      <c r="W84" s="274">
        <v>3</v>
      </c>
      <c r="X84" s="274">
        <v>3</v>
      </c>
      <c r="Y84" s="274">
        <v>3</v>
      </c>
      <c r="Z84" s="274">
        <v>3</v>
      </c>
      <c r="AA84" s="274">
        <v>3</v>
      </c>
      <c r="AB84" s="274">
        <v>3</v>
      </c>
      <c r="AC84" s="274">
        <v>3</v>
      </c>
      <c r="AD84" s="274">
        <v>3</v>
      </c>
      <c r="AE84" s="274">
        <v>3</v>
      </c>
      <c r="AF84" s="274">
        <v>3</v>
      </c>
      <c r="AG84" s="274">
        <v>4</v>
      </c>
      <c r="AH84" s="274">
        <v>4</v>
      </c>
      <c r="AI84" s="274">
        <v>4</v>
      </c>
      <c r="AJ84" s="274">
        <v>4</v>
      </c>
      <c r="AK84" s="274">
        <v>4</v>
      </c>
      <c r="AL84" s="274">
        <v>5</v>
      </c>
      <c r="AM84" s="274">
        <v>5</v>
      </c>
      <c r="AN84" s="274">
        <v>5</v>
      </c>
      <c r="AO84" s="274">
        <v>5</v>
      </c>
      <c r="AP84" s="274">
        <v>5</v>
      </c>
      <c r="AQ84" s="274">
        <v>6</v>
      </c>
      <c r="AR84" s="274">
        <v>6</v>
      </c>
      <c r="AS84" s="274">
        <v>6</v>
      </c>
      <c r="AT84" s="274">
        <v>6</v>
      </c>
      <c r="AU84" s="274">
        <v>6</v>
      </c>
      <c r="AV84" s="274">
        <v>7</v>
      </c>
      <c r="AW84" s="75"/>
      <c r="AX84" s="75"/>
      <c r="AY84" s="75"/>
      <c r="AZ84" s="75"/>
      <c r="BA84" s="75"/>
      <c r="BB84" s="75"/>
      <c r="BC84" s="75"/>
      <c r="BD84" s="75"/>
      <c r="BE84" s="75"/>
      <c r="BF84" s="75"/>
      <c r="BG84" s="75"/>
      <c r="BH84" s="75"/>
      <c r="BI84" s="75"/>
      <c r="BJ84" s="75"/>
      <c r="BK84" s="75"/>
    </row>
    <row r="85" spans="1:63" x14ac:dyDescent="0.25">
      <c r="A85" s="67" t="s">
        <v>1311</v>
      </c>
      <c r="D85" s="45">
        <v>200</v>
      </c>
      <c r="E85" s="53">
        <v>0.3</v>
      </c>
      <c r="F85" s="45">
        <v>400</v>
      </c>
      <c r="G85" s="53">
        <v>0.6</v>
      </c>
      <c r="H85" s="45">
        <v>650</v>
      </c>
      <c r="I85" s="53">
        <v>0.9</v>
      </c>
      <c r="J85" s="45">
        <v>900</v>
      </c>
      <c r="K85" s="53">
        <v>1.2</v>
      </c>
      <c r="L85" s="45">
        <v>1200</v>
      </c>
      <c r="M85" s="53">
        <v>1.5</v>
      </c>
      <c r="N85" s="45">
        <v>1600</v>
      </c>
      <c r="O85" s="53">
        <v>1.8</v>
      </c>
      <c r="P85" s="45">
        <v>2200</v>
      </c>
      <c r="Q85" s="53">
        <v>2.1</v>
      </c>
      <c r="R85" s="45">
        <v>3000</v>
      </c>
      <c r="S85" s="53">
        <v>2.4</v>
      </c>
      <c r="T85" s="45">
        <v>4000</v>
      </c>
      <c r="U85" s="53">
        <v>2.7</v>
      </c>
      <c r="V85" s="45">
        <v>6000</v>
      </c>
      <c r="W85" s="53">
        <v>3</v>
      </c>
      <c r="X85" s="274"/>
      <c r="Y85" s="274"/>
      <c r="Z85" s="274"/>
      <c r="AA85" s="274"/>
      <c r="AB85" s="274"/>
      <c r="AC85" s="274"/>
      <c r="AD85" s="274"/>
      <c r="AE85" s="274"/>
      <c r="AF85" s="274"/>
      <c r="AG85" s="274"/>
      <c r="AH85" s="274"/>
      <c r="AI85" s="274"/>
      <c r="AJ85" s="274"/>
      <c r="AK85" s="274"/>
      <c r="AL85" s="274"/>
      <c r="AM85" s="274"/>
      <c r="AN85" s="274"/>
      <c r="AO85" s="274"/>
      <c r="AP85" s="274"/>
      <c r="AQ85" s="274"/>
      <c r="AR85" s="274"/>
      <c r="AS85" s="274"/>
      <c r="AT85" s="274"/>
      <c r="AU85" s="274"/>
      <c r="AV85" s="274"/>
      <c r="AW85" s="75"/>
      <c r="AX85" s="75"/>
      <c r="AY85" s="75"/>
      <c r="AZ85" s="75"/>
      <c r="BA85" s="75"/>
      <c r="BB85" s="75"/>
      <c r="BC85" s="75"/>
      <c r="BD85" s="75"/>
      <c r="BE85" s="75"/>
      <c r="BF85" s="75"/>
      <c r="BG85" s="75"/>
      <c r="BH85" s="75"/>
      <c r="BI85" s="75"/>
      <c r="BJ85" s="75"/>
      <c r="BK85" s="75"/>
    </row>
    <row r="86" spans="1:63" x14ac:dyDescent="0.25">
      <c r="A86" s="67" t="s">
        <v>1039</v>
      </c>
      <c r="B86" s="67">
        <v>45</v>
      </c>
      <c r="C86" s="67" t="s">
        <v>1172</v>
      </c>
      <c r="D86" s="75">
        <v>0.3</v>
      </c>
      <c r="E86" s="75">
        <v>0.32</v>
      </c>
      <c r="F86" s="75">
        <v>0.34</v>
      </c>
      <c r="G86" s="75">
        <v>0.36</v>
      </c>
      <c r="H86" s="75">
        <v>0.38</v>
      </c>
      <c r="I86" s="75">
        <v>0.4</v>
      </c>
      <c r="J86" s="75">
        <v>0.42</v>
      </c>
      <c r="K86" s="75">
        <v>0.44</v>
      </c>
      <c r="L86" s="75">
        <v>0.46</v>
      </c>
      <c r="M86" s="75">
        <v>0.48</v>
      </c>
      <c r="N86" s="75">
        <v>0.5</v>
      </c>
      <c r="O86" s="75">
        <v>0.52</v>
      </c>
      <c r="P86" s="75">
        <v>0.54</v>
      </c>
      <c r="Q86" s="75">
        <v>0.56000000000000005</v>
      </c>
      <c r="R86" s="75">
        <v>0.57999999999999996</v>
      </c>
      <c r="S86" s="75">
        <v>0.6</v>
      </c>
      <c r="T86" s="75">
        <v>0.62</v>
      </c>
      <c r="U86" s="75">
        <v>0.64</v>
      </c>
      <c r="V86" s="75">
        <v>0.66</v>
      </c>
      <c r="W86" s="75">
        <v>0.68</v>
      </c>
      <c r="X86" s="75">
        <v>0.7</v>
      </c>
      <c r="Y86" s="75">
        <v>0.72</v>
      </c>
      <c r="Z86" s="75">
        <v>0.74</v>
      </c>
      <c r="AA86" s="75">
        <v>0.76</v>
      </c>
      <c r="AB86" s="75">
        <v>0.78</v>
      </c>
      <c r="AC86" s="75">
        <v>0.8</v>
      </c>
      <c r="AD86" s="75">
        <v>0.82</v>
      </c>
      <c r="AE86" s="75">
        <v>0.84</v>
      </c>
      <c r="AF86" s="75">
        <v>0.86</v>
      </c>
      <c r="AG86" s="75">
        <v>0.88</v>
      </c>
      <c r="AH86" s="75">
        <v>0.9</v>
      </c>
      <c r="AI86" s="75">
        <v>0.92</v>
      </c>
      <c r="AJ86" s="75">
        <v>0.94</v>
      </c>
      <c r="AK86" s="75">
        <v>0.96</v>
      </c>
      <c r="AL86" s="75">
        <v>0.98</v>
      </c>
      <c r="AM86" s="75">
        <v>1</v>
      </c>
      <c r="AN86" s="75">
        <v>1.02</v>
      </c>
      <c r="AO86" s="75">
        <v>1.04</v>
      </c>
      <c r="AP86" s="75">
        <v>1.06</v>
      </c>
      <c r="AQ86" s="75">
        <v>1.08</v>
      </c>
      <c r="AR86" s="75">
        <v>1.1000000000000001</v>
      </c>
      <c r="AS86" s="75">
        <v>1.1200000000000001</v>
      </c>
      <c r="AT86" s="75">
        <v>1.1399999999999999</v>
      </c>
      <c r="AU86" s="75">
        <v>1.1599999999999999</v>
      </c>
      <c r="AV86" s="75">
        <v>1.2</v>
      </c>
      <c r="AW86" s="75"/>
      <c r="AX86" s="75"/>
      <c r="AY86" s="75"/>
      <c r="AZ86" s="75"/>
      <c r="BA86" s="75"/>
      <c r="BB86" s="75"/>
      <c r="BC86" s="75"/>
      <c r="BD86" s="75"/>
      <c r="BE86" s="75"/>
      <c r="BF86" s="75"/>
      <c r="BG86" s="75"/>
      <c r="BH86" s="75"/>
      <c r="BI86" s="75"/>
      <c r="BJ86" s="75"/>
      <c r="BK86" s="75"/>
    </row>
    <row r="87" spans="1:63" x14ac:dyDescent="0.25">
      <c r="A87" s="67" t="s">
        <v>985</v>
      </c>
      <c r="B87" s="67">
        <v>45</v>
      </c>
      <c r="D87" s="274">
        <v>0</v>
      </c>
      <c r="E87" s="274">
        <v>0</v>
      </c>
      <c r="F87" s="274">
        <v>0</v>
      </c>
      <c r="G87" s="274">
        <v>0</v>
      </c>
      <c r="H87" s="274">
        <v>1</v>
      </c>
      <c r="I87" s="274">
        <v>1</v>
      </c>
      <c r="J87" s="274">
        <v>1</v>
      </c>
      <c r="K87" s="274">
        <v>1</v>
      </c>
      <c r="L87" s="274">
        <v>1</v>
      </c>
      <c r="M87" s="274">
        <v>2</v>
      </c>
      <c r="N87" s="274">
        <v>2</v>
      </c>
      <c r="O87" s="274">
        <v>2</v>
      </c>
      <c r="P87" s="274">
        <v>2</v>
      </c>
      <c r="Q87" s="274">
        <v>2</v>
      </c>
      <c r="R87" s="274">
        <v>2</v>
      </c>
      <c r="S87" s="274">
        <v>2</v>
      </c>
      <c r="T87" s="274">
        <v>2</v>
      </c>
      <c r="U87" s="274">
        <v>2</v>
      </c>
      <c r="V87" s="274">
        <v>2</v>
      </c>
      <c r="W87" s="274">
        <v>3</v>
      </c>
      <c r="X87" s="274">
        <v>3</v>
      </c>
      <c r="Y87" s="274">
        <v>3</v>
      </c>
      <c r="Z87" s="274">
        <v>3</v>
      </c>
      <c r="AA87" s="274">
        <v>3</v>
      </c>
      <c r="AB87" s="274">
        <v>3</v>
      </c>
      <c r="AC87" s="274">
        <v>3</v>
      </c>
      <c r="AD87" s="274">
        <v>3</v>
      </c>
      <c r="AE87" s="274">
        <v>3</v>
      </c>
      <c r="AF87" s="274">
        <v>3</v>
      </c>
      <c r="AG87" s="274">
        <v>4</v>
      </c>
      <c r="AH87" s="274">
        <v>4</v>
      </c>
      <c r="AI87" s="274">
        <v>4</v>
      </c>
      <c r="AJ87" s="274">
        <v>4</v>
      </c>
      <c r="AK87" s="274">
        <v>4</v>
      </c>
      <c r="AL87" s="274">
        <v>4</v>
      </c>
      <c r="AM87" s="274">
        <v>4</v>
      </c>
      <c r="AN87" s="274">
        <v>4</v>
      </c>
      <c r="AO87" s="274">
        <v>4</v>
      </c>
      <c r="AP87" s="274">
        <v>4</v>
      </c>
      <c r="AQ87" s="274">
        <v>5</v>
      </c>
      <c r="AR87" s="274">
        <v>5</v>
      </c>
      <c r="AS87" s="274">
        <v>5</v>
      </c>
      <c r="AT87" s="274">
        <v>5</v>
      </c>
      <c r="AU87" s="274">
        <v>5</v>
      </c>
      <c r="AV87" s="274">
        <v>5</v>
      </c>
      <c r="AW87" s="75"/>
      <c r="AX87" s="75"/>
      <c r="AY87" s="75"/>
      <c r="AZ87" s="75"/>
      <c r="BA87" s="75"/>
      <c r="BB87" s="75"/>
      <c r="BC87" s="75"/>
      <c r="BD87" s="75"/>
      <c r="BE87" s="75"/>
      <c r="BF87" s="75"/>
      <c r="BG87" s="75"/>
      <c r="BH87" s="75"/>
      <c r="BI87" s="75"/>
      <c r="BJ87" s="75"/>
      <c r="BK87" s="75"/>
    </row>
    <row r="88" spans="1:63" x14ac:dyDescent="0.25">
      <c r="A88" s="67" t="s">
        <v>1312</v>
      </c>
      <c r="D88" s="45">
        <v>120</v>
      </c>
      <c r="E88" s="53">
        <v>0.3</v>
      </c>
      <c r="F88" s="45">
        <v>240</v>
      </c>
      <c r="G88" s="53">
        <v>0.6</v>
      </c>
      <c r="H88" s="45">
        <v>390</v>
      </c>
      <c r="I88" s="53">
        <v>0.9</v>
      </c>
      <c r="J88" s="45">
        <v>540</v>
      </c>
      <c r="K88" s="53">
        <v>1.2</v>
      </c>
      <c r="L88" s="45">
        <v>720</v>
      </c>
      <c r="M88" s="53">
        <v>1.5</v>
      </c>
      <c r="N88" s="45">
        <v>960</v>
      </c>
      <c r="O88" s="53">
        <v>1.8</v>
      </c>
      <c r="P88" s="45">
        <v>1320</v>
      </c>
      <c r="Q88" s="53">
        <v>2.1</v>
      </c>
      <c r="R88" s="45">
        <v>1800</v>
      </c>
      <c r="S88" s="53">
        <v>2.4</v>
      </c>
      <c r="T88" s="45">
        <v>2400</v>
      </c>
      <c r="U88" s="53">
        <v>2.7</v>
      </c>
      <c r="V88" s="45">
        <v>3600</v>
      </c>
      <c r="W88" s="53">
        <v>3</v>
      </c>
      <c r="X88" s="274"/>
      <c r="Y88" s="274"/>
      <c r="Z88" s="274"/>
      <c r="AA88" s="274"/>
      <c r="AB88" s="274"/>
      <c r="AC88" s="274"/>
      <c r="AD88" s="274"/>
      <c r="AE88" s="274"/>
      <c r="AF88" s="274"/>
      <c r="AG88" s="274"/>
      <c r="AH88" s="274"/>
      <c r="AI88" s="274"/>
      <c r="AJ88" s="274"/>
      <c r="AK88" s="274"/>
      <c r="AL88" s="274"/>
      <c r="AM88" s="274"/>
      <c r="AN88" s="274"/>
      <c r="AO88" s="274"/>
      <c r="AP88" s="274"/>
      <c r="AQ88" s="274"/>
      <c r="AR88" s="274"/>
      <c r="AS88" s="274"/>
      <c r="AT88" s="274"/>
      <c r="AU88" s="274"/>
      <c r="AV88" s="274"/>
      <c r="AW88" s="75"/>
      <c r="AX88" s="75"/>
      <c r="AY88" s="75"/>
      <c r="AZ88" s="75"/>
      <c r="BA88" s="75"/>
      <c r="BB88" s="75"/>
      <c r="BC88" s="75"/>
      <c r="BD88" s="75"/>
      <c r="BE88" s="75"/>
      <c r="BF88" s="75"/>
      <c r="BG88" s="75"/>
      <c r="BH88" s="75"/>
      <c r="BI88" s="75"/>
      <c r="BJ88" s="75"/>
      <c r="BK88" s="75"/>
    </row>
    <row r="89" spans="1:63" x14ac:dyDescent="0.25">
      <c r="A89" s="67" t="s">
        <v>1040</v>
      </c>
      <c r="B89" s="67">
        <v>45</v>
      </c>
      <c r="C89" s="67" t="s">
        <v>1215</v>
      </c>
      <c r="D89" s="75">
        <v>20</v>
      </c>
      <c r="E89" s="75">
        <v>20.25</v>
      </c>
      <c r="F89" s="75">
        <v>20.5</v>
      </c>
      <c r="G89" s="75">
        <v>20.75</v>
      </c>
      <c r="H89" s="75">
        <v>21</v>
      </c>
      <c r="I89" s="75">
        <v>21.25</v>
      </c>
      <c r="J89" s="75">
        <v>21.5</v>
      </c>
      <c r="K89" s="75">
        <v>21.75</v>
      </c>
      <c r="L89" s="75">
        <v>22</v>
      </c>
      <c r="M89" s="75">
        <v>22.25</v>
      </c>
      <c r="N89" s="75">
        <v>22.5</v>
      </c>
      <c r="O89" s="75">
        <v>22.75</v>
      </c>
      <c r="P89" s="75">
        <v>23</v>
      </c>
      <c r="Q89" s="75">
        <v>23.25</v>
      </c>
      <c r="R89" s="75">
        <v>23.75</v>
      </c>
      <c r="S89" s="75">
        <v>24.25</v>
      </c>
      <c r="T89" s="75">
        <v>24.75</v>
      </c>
      <c r="U89" s="75">
        <v>25.25</v>
      </c>
      <c r="V89" s="75">
        <v>25.75</v>
      </c>
      <c r="W89" s="75">
        <v>26.25</v>
      </c>
      <c r="X89" s="75">
        <v>26.75</v>
      </c>
      <c r="Y89" s="75">
        <v>27.25</v>
      </c>
      <c r="Z89" s="75">
        <v>27.75</v>
      </c>
      <c r="AA89" s="75">
        <v>28.25</v>
      </c>
      <c r="AB89" s="75">
        <v>28.75</v>
      </c>
      <c r="AC89" s="75">
        <v>29.25</v>
      </c>
      <c r="AD89" s="75">
        <v>29.75</v>
      </c>
      <c r="AE89" s="75">
        <v>30.25</v>
      </c>
      <c r="AF89" s="75">
        <v>30.75</v>
      </c>
      <c r="AG89" s="75">
        <v>31.5</v>
      </c>
      <c r="AH89" s="75">
        <v>32.25</v>
      </c>
      <c r="AI89" s="75">
        <v>33</v>
      </c>
      <c r="AJ89" s="75">
        <v>33.75</v>
      </c>
      <c r="AK89" s="75">
        <v>34.5</v>
      </c>
      <c r="AL89" s="75">
        <v>35.25</v>
      </c>
      <c r="AM89" s="75">
        <v>36</v>
      </c>
      <c r="AN89" s="75">
        <v>36.75</v>
      </c>
      <c r="AO89" s="75">
        <v>37.5</v>
      </c>
      <c r="AP89" s="75">
        <v>38.25</v>
      </c>
      <c r="AQ89" s="75">
        <v>39</v>
      </c>
      <c r="AR89" s="75">
        <v>39.75</v>
      </c>
      <c r="AS89" s="75">
        <v>40.5</v>
      </c>
      <c r="AT89" s="75">
        <v>41.25</v>
      </c>
      <c r="AU89" s="75">
        <v>42</v>
      </c>
      <c r="AV89" s="75">
        <v>43</v>
      </c>
      <c r="AW89" s="75"/>
      <c r="AX89" s="75"/>
      <c r="AY89" s="75"/>
      <c r="AZ89" s="75"/>
      <c r="BA89" s="75"/>
      <c r="BB89" s="75"/>
      <c r="BC89" s="75"/>
      <c r="BD89" s="75"/>
      <c r="BE89" s="75"/>
      <c r="BF89" s="75"/>
      <c r="BG89" s="75"/>
      <c r="BH89" s="75"/>
      <c r="BI89" s="75"/>
      <c r="BJ89" s="75"/>
      <c r="BK89" s="75"/>
    </row>
    <row r="90" spans="1:63" x14ac:dyDescent="0.25">
      <c r="A90" s="67" t="s">
        <v>986</v>
      </c>
      <c r="B90" s="67">
        <v>45</v>
      </c>
      <c r="D90" s="274">
        <v>0</v>
      </c>
      <c r="E90" s="274">
        <v>0</v>
      </c>
      <c r="F90" s="274">
        <v>0</v>
      </c>
      <c r="G90" s="274">
        <v>0</v>
      </c>
      <c r="H90" s="274">
        <v>1</v>
      </c>
      <c r="I90" s="274">
        <v>1</v>
      </c>
      <c r="J90" s="274">
        <v>1</v>
      </c>
      <c r="K90" s="274">
        <v>1</v>
      </c>
      <c r="L90" s="274">
        <v>1</v>
      </c>
      <c r="M90" s="274">
        <v>2</v>
      </c>
      <c r="N90" s="274">
        <v>2</v>
      </c>
      <c r="O90" s="274">
        <v>2</v>
      </c>
      <c r="P90" s="274">
        <v>2</v>
      </c>
      <c r="Q90" s="274">
        <v>2</v>
      </c>
      <c r="R90" s="274">
        <v>2</v>
      </c>
      <c r="S90" s="274">
        <v>2</v>
      </c>
      <c r="T90" s="274">
        <v>2</v>
      </c>
      <c r="U90" s="274">
        <v>2</v>
      </c>
      <c r="V90" s="274">
        <v>2</v>
      </c>
      <c r="W90" s="274">
        <v>3</v>
      </c>
      <c r="X90" s="274">
        <v>3</v>
      </c>
      <c r="Y90" s="274">
        <v>3</v>
      </c>
      <c r="Z90" s="274">
        <v>3</v>
      </c>
      <c r="AA90" s="274">
        <v>3</v>
      </c>
      <c r="AB90" s="274">
        <v>3</v>
      </c>
      <c r="AC90" s="274">
        <v>3</v>
      </c>
      <c r="AD90" s="274">
        <v>3</v>
      </c>
      <c r="AE90" s="274">
        <v>3</v>
      </c>
      <c r="AF90" s="274">
        <v>3</v>
      </c>
      <c r="AG90" s="274">
        <v>4</v>
      </c>
      <c r="AH90" s="274">
        <v>4</v>
      </c>
      <c r="AI90" s="274">
        <v>4</v>
      </c>
      <c r="AJ90" s="274">
        <v>4</v>
      </c>
      <c r="AK90" s="274">
        <v>4</v>
      </c>
      <c r="AL90" s="274">
        <v>5</v>
      </c>
      <c r="AM90" s="274">
        <v>5</v>
      </c>
      <c r="AN90" s="274">
        <v>5</v>
      </c>
      <c r="AO90" s="274">
        <v>5</v>
      </c>
      <c r="AP90" s="274">
        <v>5</v>
      </c>
      <c r="AQ90" s="274">
        <v>6</v>
      </c>
      <c r="AR90" s="274">
        <v>6</v>
      </c>
      <c r="AS90" s="274">
        <v>6</v>
      </c>
      <c r="AT90" s="274">
        <v>6</v>
      </c>
      <c r="AU90" s="274">
        <v>6</v>
      </c>
      <c r="AV90" s="274">
        <v>7</v>
      </c>
      <c r="AW90" s="75"/>
      <c r="AX90" s="75"/>
      <c r="AY90" s="75"/>
      <c r="AZ90" s="75"/>
      <c r="BA90" s="75"/>
      <c r="BB90" s="75"/>
      <c r="BC90" s="75"/>
      <c r="BD90" s="75"/>
      <c r="BE90" s="75"/>
      <c r="BF90" s="75"/>
      <c r="BG90" s="75"/>
      <c r="BH90" s="75"/>
      <c r="BI90" s="75"/>
      <c r="BJ90" s="75"/>
      <c r="BK90" s="75"/>
    </row>
    <row r="91" spans="1:63" x14ac:dyDescent="0.25">
      <c r="A91" s="67" t="s">
        <v>1313</v>
      </c>
      <c r="D91" s="45">
        <v>200</v>
      </c>
      <c r="E91" s="53">
        <v>0.3</v>
      </c>
      <c r="F91" s="45">
        <v>400</v>
      </c>
      <c r="G91" s="53">
        <v>0.6</v>
      </c>
      <c r="H91" s="45">
        <v>650</v>
      </c>
      <c r="I91" s="53">
        <v>0.9</v>
      </c>
      <c r="J91" s="45">
        <v>900</v>
      </c>
      <c r="K91" s="53">
        <v>1.2</v>
      </c>
      <c r="L91" s="45">
        <v>1200</v>
      </c>
      <c r="M91" s="53">
        <v>1.5</v>
      </c>
      <c r="N91" s="45">
        <v>1600</v>
      </c>
      <c r="O91" s="53">
        <v>1.8</v>
      </c>
      <c r="P91" s="45">
        <v>2200</v>
      </c>
      <c r="Q91" s="53">
        <v>2.1</v>
      </c>
      <c r="R91" s="45">
        <v>3000</v>
      </c>
      <c r="S91" s="53">
        <v>2.4</v>
      </c>
      <c r="T91" s="45">
        <v>4000</v>
      </c>
      <c r="U91" s="53">
        <v>2.7</v>
      </c>
      <c r="V91" s="45">
        <v>6000</v>
      </c>
      <c r="W91" s="53">
        <v>3</v>
      </c>
      <c r="X91" s="274"/>
      <c r="Y91" s="274"/>
      <c r="Z91" s="274"/>
      <c r="AA91" s="274"/>
      <c r="AB91" s="274"/>
      <c r="AC91" s="274"/>
      <c r="AD91" s="274"/>
      <c r="AE91" s="274"/>
      <c r="AF91" s="274"/>
      <c r="AG91" s="274"/>
      <c r="AH91" s="274"/>
      <c r="AI91" s="274"/>
      <c r="AJ91" s="274"/>
      <c r="AK91" s="274"/>
      <c r="AL91" s="274"/>
      <c r="AM91" s="274"/>
      <c r="AN91" s="274"/>
      <c r="AO91" s="274"/>
      <c r="AP91" s="274"/>
      <c r="AQ91" s="274"/>
      <c r="AR91" s="274"/>
      <c r="AS91" s="274"/>
      <c r="AT91" s="274"/>
      <c r="AU91" s="274"/>
      <c r="AV91" s="274"/>
      <c r="AW91" s="75"/>
      <c r="AX91" s="75"/>
      <c r="AY91" s="75"/>
      <c r="AZ91" s="75"/>
      <c r="BA91" s="75"/>
      <c r="BB91" s="75"/>
      <c r="BC91" s="75"/>
      <c r="BD91" s="75"/>
      <c r="BE91" s="75"/>
      <c r="BF91" s="75"/>
      <c r="BG91" s="75"/>
      <c r="BH91" s="75"/>
      <c r="BI91" s="75"/>
      <c r="BJ91" s="75"/>
      <c r="BK91" s="75"/>
    </row>
    <row r="92" spans="1:63" ht="14.25" customHeight="1" x14ac:dyDescent="0.25">
      <c r="A92" s="67" t="s">
        <v>1041</v>
      </c>
      <c r="B92" s="67">
        <v>45</v>
      </c>
      <c r="C92" s="104" t="s">
        <v>1123</v>
      </c>
      <c r="D92" s="284">
        <v>1E-3</v>
      </c>
      <c r="E92" s="284">
        <v>1E-3</v>
      </c>
      <c r="F92" s="284">
        <v>1E-3</v>
      </c>
      <c r="G92" s="284">
        <v>1E-3</v>
      </c>
      <c r="H92" s="284">
        <v>2E-3</v>
      </c>
      <c r="I92" s="284">
        <v>2E-3</v>
      </c>
      <c r="J92" s="284">
        <v>2E-3</v>
      </c>
      <c r="K92" s="284">
        <v>2E-3</v>
      </c>
      <c r="L92" s="284">
        <v>2E-3</v>
      </c>
      <c r="M92" s="284">
        <v>3.0000000000000001E-3</v>
      </c>
      <c r="N92" s="284">
        <v>3.0000000000000001E-3</v>
      </c>
      <c r="O92" s="284">
        <v>3.0000000000000001E-3</v>
      </c>
      <c r="P92" s="284">
        <v>3.0000000000000001E-3</v>
      </c>
      <c r="Q92" s="284">
        <v>3.0000000000000001E-3</v>
      </c>
      <c r="R92" s="284">
        <v>4.0000000000000001E-3</v>
      </c>
      <c r="S92" s="284">
        <v>4.0000000000000001E-3</v>
      </c>
      <c r="T92" s="284">
        <v>4.0000000000000001E-3</v>
      </c>
      <c r="U92" s="284">
        <v>4.0000000000000001E-3</v>
      </c>
      <c r="V92" s="284">
        <v>4.0000000000000001E-3</v>
      </c>
      <c r="W92" s="284">
        <v>5.0000000000000001E-3</v>
      </c>
      <c r="X92" s="284">
        <v>5.0000000000000001E-3</v>
      </c>
      <c r="Y92" s="284">
        <v>5.0000000000000001E-3</v>
      </c>
      <c r="Z92" s="284">
        <v>5.0000000000000001E-3</v>
      </c>
      <c r="AA92" s="284">
        <v>5.0000000000000001E-3</v>
      </c>
      <c r="AB92" s="284">
        <v>6.0000000000000001E-3</v>
      </c>
      <c r="AC92" s="284">
        <v>6.0000000000000001E-3</v>
      </c>
      <c r="AD92" s="284">
        <v>6.0000000000000001E-3</v>
      </c>
      <c r="AE92" s="284">
        <v>6.0000000000000001E-3</v>
      </c>
      <c r="AF92" s="284">
        <v>6.0000000000000001E-3</v>
      </c>
      <c r="AG92" s="284">
        <v>7.0000000000000001E-3</v>
      </c>
      <c r="AH92" s="284">
        <v>7.0000000000000001E-3</v>
      </c>
      <c r="AI92" s="284">
        <v>7.0000000000000001E-3</v>
      </c>
      <c r="AJ92" s="284">
        <v>7.0000000000000001E-3</v>
      </c>
      <c r="AK92" s="284">
        <v>7.0000000000000001E-3</v>
      </c>
      <c r="AL92" s="284">
        <v>8.0000000000000002E-3</v>
      </c>
      <c r="AM92" s="284">
        <v>8.0000000000000002E-3</v>
      </c>
      <c r="AN92" s="284">
        <v>8.0000000000000002E-3</v>
      </c>
      <c r="AO92" s="284">
        <v>8.0000000000000002E-3</v>
      </c>
      <c r="AP92" s="284">
        <v>8.0000000000000002E-3</v>
      </c>
      <c r="AQ92" s="284">
        <v>8.9999999999999993E-3</v>
      </c>
      <c r="AR92" s="284">
        <v>8.9999999999999993E-3</v>
      </c>
      <c r="AS92" s="284">
        <v>8.9999999999999993E-3</v>
      </c>
      <c r="AT92" s="284">
        <v>8.9999999999999993E-3</v>
      </c>
      <c r="AU92" s="284">
        <v>8.9999999999999993E-3</v>
      </c>
      <c r="AV92" s="75">
        <v>0.01</v>
      </c>
      <c r="AW92" s="75"/>
      <c r="AX92" s="75"/>
      <c r="AY92" s="75"/>
      <c r="AZ92" s="75"/>
      <c r="BA92" s="75"/>
      <c r="BB92" s="75"/>
      <c r="BC92" s="75"/>
      <c r="BD92" s="75"/>
      <c r="BE92" s="75"/>
      <c r="BF92" s="75"/>
      <c r="BG92" s="75"/>
      <c r="BH92" s="75"/>
      <c r="BI92" s="75"/>
      <c r="BJ92" s="75"/>
      <c r="BK92" s="75"/>
    </row>
    <row r="93" spans="1:63" x14ac:dyDescent="0.25">
      <c r="A93" s="67" t="s">
        <v>987</v>
      </c>
      <c r="B93" s="67">
        <v>45</v>
      </c>
      <c r="D93" s="274">
        <v>1</v>
      </c>
      <c r="E93" s="274">
        <v>1</v>
      </c>
      <c r="F93" s="274">
        <v>1</v>
      </c>
      <c r="G93" s="274">
        <v>1</v>
      </c>
      <c r="H93" s="274">
        <v>2</v>
      </c>
      <c r="I93" s="274">
        <v>2</v>
      </c>
      <c r="J93" s="274">
        <v>2</v>
      </c>
      <c r="K93" s="274">
        <v>2</v>
      </c>
      <c r="L93" s="274">
        <v>2</v>
      </c>
      <c r="M93" s="274">
        <v>2</v>
      </c>
      <c r="N93" s="274">
        <v>2</v>
      </c>
      <c r="O93" s="274">
        <v>2</v>
      </c>
      <c r="P93" s="274">
        <v>2</v>
      </c>
      <c r="Q93" s="274">
        <v>2</v>
      </c>
      <c r="R93" s="274">
        <v>3</v>
      </c>
      <c r="S93" s="274">
        <v>3</v>
      </c>
      <c r="T93" s="274">
        <v>3</v>
      </c>
      <c r="U93" s="274">
        <v>3</v>
      </c>
      <c r="V93" s="274">
        <v>3</v>
      </c>
      <c r="W93" s="274">
        <v>3</v>
      </c>
      <c r="X93" s="274">
        <v>3</v>
      </c>
      <c r="Y93" s="274">
        <v>3</v>
      </c>
      <c r="Z93" s="274">
        <v>3</v>
      </c>
      <c r="AA93" s="274">
        <v>3</v>
      </c>
      <c r="AB93" s="274">
        <v>4</v>
      </c>
      <c r="AC93" s="274">
        <v>4</v>
      </c>
      <c r="AD93" s="274">
        <v>4</v>
      </c>
      <c r="AE93" s="274">
        <v>4</v>
      </c>
      <c r="AF93" s="274">
        <v>4</v>
      </c>
      <c r="AG93" s="274">
        <v>4</v>
      </c>
      <c r="AH93" s="274">
        <v>4</v>
      </c>
      <c r="AI93" s="274">
        <v>4</v>
      </c>
      <c r="AJ93" s="274">
        <v>4</v>
      </c>
      <c r="AK93" s="274">
        <v>4</v>
      </c>
      <c r="AL93" s="274">
        <v>5</v>
      </c>
      <c r="AM93" s="274">
        <v>5</v>
      </c>
      <c r="AN93" s="274">
        <v>5</v>
      </c>
      <c r="AO93" s="274">
        <v>5</v>
      </c>
      <c r="AP93" s="274">
        <v>5</v>
      </c>
      <c r="AQ93" s="274">
        <v>5</v>
      </c>
      <c r="AR93" s="274">
        <v>5</v>
      </c>
      <c r="AS93" s="274">
        <v>5</v>
      </c>
      <c r="AT93" s="274">
        <v>5</v>
      </c>
      <c r="AU93" s="274">
        <v>5</v>
      </c>
      <c r="AV93" s="274">
        <v>6</v>
      </c>
      <c r="AW93" s="75"/>
      <c r="AX93" s="75"/>
      <c r="AY93" s="75"/>
      <c r="AZ93" s="75"/>
      <c r="BA93" s="75"/>
      <c r="BB93" s="75"/>
      <c r="BC93" s="75"/>
      <c r="BD93" s="75"/>
      <c r="BE93" s="75"/>
      <c r="BF93" s="75"/>
      <c r="BG93" s="75"/>
      <c r="BH93" s="75"/>
      <c r="BI93" s="75"/>
      <c r="BJ93" s="75"/>
      <c r="BK93" s="75"/>
    </row>
    <row r="94" spans="1:63" x14ac:dyDescent="0.25">
      <c r="A94" s="67" t="s">
        <v>1314</v>
      </c>
      <c r="D94" s="45">
        <v>100</v>
      </c>
      <c r="E94" s="53">
        <v>0.3</v>
      </c>
      <c r="F94" s="45">
        <v>200</v>
      </c>
      <c r="G94" s="53">
        <v>0.6</v>
      </c>
      <c r="H94" s="45">
        <v>325</v>
      </c>
      <c r="I94" s="53">
        <v>0.9</v>
      </c>
      <c r="J94" s="45">
        <v>450</v>
      </c>
      <c r="K94" s="53">
        <v>1.2</v>
      </c>
      <c r="L94" s="45">
        <v>600</v>
      </c>
      <c r="M94" s="53">
        <v>1.5</v>
      </c>
      <c r="N94" s="45">
        <v>800</v>
      </c>
      <c r="O94" s="53">
        <v>1.8</v>
      </c>
      <c r="P94" s="45">
        <v>1100</v>
      </c>
      <c r="Q94" s="53">
        <v>2.1</v>
      </c>
      <c r="R94" s="45">
        <v>1500</v>
      </c>
      <c r="S94" s="53">
        <v>2.4</v>
      </c>
      <c r="T94" s="45">
        <v>2000</v>
      </c>
      <c r="U94" s="53">
        <v>2.7</v>
      </c>
      <c r="V94" s="45">
        <v>3000</v>
      </c>
      <c r="W94" s="53">
        <v>3</v>
      </c>
      <c r="X94" s="274"/>
      <c r="Y94" s="274"/>
      <c r="Z94" s="274"/>
      <c r="AA94" s="274"/>
      <c r="AB94" s="274"/>
      <c r="AC94" s="274"/>
      <c r="AD94" s="274"/>
      <c r="AE94" s="274"/>
      <c r="AF94" s="274"/>
      <c r="AG94" s="274"/>
      <c r="AH94" s="274"/>
      <c r="AI94" s="274"/>
      <c r="AJ94" s="274"/>
      <c r="AK94" s="274"/>
      <c r="AL94" s="274"/>
      <c r="AM94" s="274"/>
      <c r="AN94" s="274"/>
      <c r="AO94" s="274"/>
      <c r="AP94" s="274"/>
      <c r="AQ94" s="274"/>
      <c r="AR94" s="274"/>
      <c r="AS94" s="274"/>
      <c r="AT94" s="274"/>
      <c r="AU94" s="274"/>
      <c r="AV94" s="274"/>
      <c r="AW94" s="75"/>
      <c r="AX94" s="75"/>
      <c r="AY94" s="75"/>
      <c r="AZ94" s="75"/>
      <c r="BA94" s="75"/>
      <c r="BB94" s="75"/>
      <c r="BC94" s="75"/>
      <c r="BD94" s="75"/>
      <c r="BE94" s="75"/>
      <c r="BF94" s="75"/>
      <c r="BG94" s="75"/>
      <c r="BH94" s="75"/>
      <c r="BI94" s="75"/>
      <c r="BJ94" s="75"/>
      <c r="BK94" s="75"/>
    </row>
    <row r="95" spans="1:63" x14ac:dyDescent="0.25">
      <c r="A95" s="67" t="s">
        <v>1777</v>
      </c>
      <c r="B95" s="67">
        <v>45</v>
      </c>
      <c r="C95" s="67" t="s">
        <v>1780</v>
      </c>
      <c r="D95" s="53">
        <v>1.5</v>
      </c>
      <c r="E95" s="53">
        <v>1.56</v>
      </c>
      <c r="F95" s="53">
        <v>1.59</v>
      </c>
      <c r="G95" s="53">
        <v>1.62</v>
      </c>
      <c r="H95" s="53">
        <v>1.65</v>
      </c>
      <c r="I95" s="53">
        <v>1.68</v>
      </c>
      <c r="J95" s="53">
        <v>1.71</v>
      </c>
      <c r="K95" s="53">
        <v>1.74</v>
      </c>
      <c r="L95" s="53">
        <v>1.77</v>
      </c>
      <c r="M95" s="53">
        <v>1.8</v>
      </c>
      <c r="N95" s="53">
        <v>1.84</v>
      </c>
      <c r="O95" s="53">
        <v>1.88</v>
      </c>
      <c r="P95" s="53">
        <v>1.92</v>
      </c>
      <c r="Q95" s="53">
        <v>1.96</v>
      </c>
      <c r="R95" s="53">
        <v>2</v>
      </c>
      <c r="S95" s="53">
        <v>2.04</v>
      </c>
      <c r="T95" s="53">
        <v>2.08</v>
      </c>
      <c r="U95" s="53">
        <v>2.12</v>
      </c>
      <c r="V95" s="53">
        <v>2.16</v>
      </c>
      <c r="W95" s="53">
        <v>2.2000000000000002</v>
      </c>
      <c r="X95" s="75">
        <v>2.25</v>
      </c>
      <c r="Y95" s="75">
        <v>2.2999999999999998</v>
      </c>
      <c r="Z95" s="75">
        <v>2.35</v>
      </c>
      <c r="AA95" s="75">
        <v>2.4</v>
      </c>
      <c r="AB95" s="75">
        <v>2.4500000000000002</v>
      </c>
      <c r="AC95" s="75">
        <v>2.5</v>
      </c>
      <c r="AD95" s="75">
        <v>2.5499999999999998</v>
      </c>
      <c r="AE95" s="75">
        <v>2.6</v>
      </c>
      <c r="AF95" s="75">
        <v>2.65</v>
      </c>
      <c r="AG95" s="75">
        <v>2.7</v>
      </c>
      <c r="AH95" s="75">
        <v>2.76</v>
      </c>
      <c r="AI95" s="75">
        <v>2.82</v>
      </c>
      <c r="AJ95" s="75">
        <v>2.88</v>
      </c>
      <c r="AK95" s="75">
        <v>2.94</v>
      </c>
      <c r="AL95" s="75">
        <v>3</v>
      </c>
      <c r="AM95" s="75">
        <v>3.06</v>
      </c>
      <c r="AN95" s="75">
        <v>3.12</v>
      </c>
      <c r="AO95" s="75">
        <v>3.18</v>
      </c>
      <c r="AP95" s="75">
        <v>3.24</v>
      </c>
      <c r="AQ95" s="75">
        <v>3.3</v>
      </c>
      <c r="AR95" s="75">
        <v>3.38</v>
      </c>
      <c r="AS95" s="75">
        <v>3.45</v>
      </c>
      <c r="AT95" s="75">
        <v>3.53</v>
      </c>
      <c r="AU95" s="75">
        <v>3.6</v>
      </c>
      <c r="AV95" s="75">
        <v>3.7</v>
      </c>
      <c r="AW95" s="75">
        <v>3.8</v>
      </c>
      <c r="AX95" s="75">
        <v>3.9</v>
      </c>
      <c r="AY95" s="75">
        <v>4</v>
      </c>
      <c r="AZ95" s="75">
        <v>4.0999999999999996</v>
      </c>
      <c r="BA95" s="75">
        <v>4.2</v>
      </c>
      <c r="BB95" s="75">
        <v>4.3499999999999996</v>
      </c>
      <c r="BC95" s="75">
        <v>4.5</v>
      </c>
      <c r="BD95" s="75">
        <v>4.6500000000000004</v>
      </c>
      <c r="BE95" s="75">
        <v>4.8</v>
      </c>
      <c r="BF95" s="75">
        <v>4.95</v>
      </c>
      <c r="BG95" s="75">
        <v>5.15</v>
      </c>
      <c r="BH95" s="75">
        <v>5.35</v>
      </c>
      <c r="BI95" s="75">
        <v>5.55</v>
      </c>
      <c r="BJ95" s="75">
        <v>5.75</v>
      </c>
      <c r="BK95" s="75">
        <v>6</v>
      </c>
    </row>
    <row r="96" spans="1:63" x14ac:dyDescent="0.25">
      <c r="A96" s="67" t="s">
        <v>1778</v>
      </c>
      <c r="B96" s="67">
        <v>45</v>
      </c>
      <c r="D96" s="54">
        <v>0</v>
      </c>
      <c r="E96" s="54">
        <v>0</v>
      </c>
      <c r="F96" s="54">
        <v>0</v>
      </c>
      <c r="G96" s="54">
        <v>0</v>
      </c>
      <c r="H96" s="54">
        <v>1</v>
      </c>
      <c r="I96" s="54">
        <v>1</v>
      </c>
      <c r="J96" s="54">
        <v>1</v>
      </c>
      <c r="K96" s="54">
        <v>1</v>
      </c>
      <c r="L96" s="54">
        <v>1</v>
      </c>
      <c r="M96" s="54">
        <v>2</v>
      </c>
      <c r="N96" s="54">
        <v>2</v>
      </c>
      <c r="O96" s="54">
        <v>2</v>
      </c>
      <c r="P96" s="54">
        <v>2</v>
      </c>
      <c r="Q96" s="54">
        <v>2</v>
      </c>
      <c r="R96" s="54">
        <v>2</v>
      </c>
      <c r="S96" s="54">
        <v>2</v>
      </c>
      <c r="T96" s="54">
        <v>2</v>
      </c>
      <c r="U96" s="54">
        <v>2</v>
      </c>
      <c r="V96" s="54">
        <v>2</v>
      </c>
      <c r="W96" s="54">
        <v>3</v>
      </c>
      <c r="X96" s="274">
        <v>3</v>
      </c>
      <c r="Y96" s="274">
        <v>3</v>
      </c>
      <c r="Z96" s="274">
        <v>3</v>
      </c>
      <c r="AA96" s="274">
        <v>3</v>
      </c>
      <c r="AB96" s="274">
        <v>3</v>
      </c>
      <c r="AC96" s="274">
        <v>3</v>
      </c>
      <c r="AD96" s="274">
        <v>3</v>
      </c>
      <c r="AE96" s="274">
        <v>3</v>
      </c>
      <c r="AF96" s="274">
        <v>3</v>
      </c>
      <c r="AG96" s="274">
        <v>4</v>
      </c>
      <c r="AH96" s="274">
        <v>4</v>
      </c>
      <c r="AI96" s="274">
        <v>4</v>
      </c>
      <c r="AJ96" s="274">
        <v>4</v>
      </c>
      <c r="AK96" s="274">
        <v>4</v>
      </c>
      <c r="AL96" s="274">
        <v>4</v>
      </c>
      <c r="AM96" s="274">
        <v>4</v>
      </c>
      <c r="AN96" s="274">
        <v>4</v>
      </c>
      <c r="AO96" s="274">
        <v>4</v>
      </c>
      <c r="AP96" s="274">
        <v>4</v>
      </c>
      <c r="AQ96" s="274">
        <v>4</v>
      </c>
      <c r="AR96" s="274">
        <v>4</v>
      </c>
      <c r="AS96" s="274">
        <v>4</v>
      </c>
      <c r="AT96" s="274">
        <v>4</v>
      </c>
      <c r="AU96" s="274">
        <v>4</v>
      </c>
      <c r="AV96" s="274">
        <v>5</v>
      </c>
      <c r="AW96" s="274">
        <v>5</v>
      </c>
      <c r="AX96" s="274">
        <v>5</v>
      </c>
      <c r="AY96" s="274">
        <v>5</v>
      </c>
      <c r="AZ96" s="274">
        <v>5</v>
      </c>
      <c r="BA96" s="274">
        <v>5</v>
      </c>
      <c r="BB96" s="274">
        <v>5</v>
      </c>
      <c r="BC96" s="274">
        <v>5</v>
      </c>
      <c r="BD96" s="274">
        <v>5</v>
      </c>
      <c r="BE96" s="274">
        <v>5</v>
      </c>
      <c r="BF96" s="274">
        <v>5</v>
      </c>
      <c r="BG96" s="274">
        <v>5</v>
      </c>
      <c r="BH96" s="274">
        <v>5</v>
      </c>
      <c r="BI96" s="274">
        <v>5</v>
      </c>
      <c r="BJ96" s="274">
        <v>5</v>
      </c>
      <c r="BK96" s="274">
        <v>5</v>
      </c>
    </row>
    <row r="97" spans="1:63" x14ac:dyDescent="0.25">
      <c r="A97" s="67" t="s">
        <v>1779</v>
      </c>
      <c r="D97" s="45">
        <v>1000</v>
      </c>
      <c r="E97" s="53">
        <v>0.4</v>
      </c>
      <c r="F97" s="45">
        <v>2000</v>
      </c>
      <c r="G97" s="53">
        <v>0.8</v>
      </c>
      <c r="H97" s="45">
        <v>3250</v>
      </c>
      <c r="I97" s="53">
        <v>1.2</v>
      </c>
      <c r="J97" s="45">
        <v>4500</v>
      </c>
      <c r="K97" s="53">
        <v>1.6</v>
      </c>
      <c r="L97" s="45">
        <v>6000</v>
      </c>
      <c r="M97" s="53">
        <v>2</v>
      </c>
      <c r="N97" s="45">
        <v>8000</v>
      </c>
      <c r="O97" s="53">
        <v>2.4</v>
      </c>
      <c r="P97" s="45">
        <v>11000</v>
      </c>
      <c r="Q97" s="53">
        <v>2.8</v>
      </c>
      <c r="R97" s="45">
        <v>15000</v>
      </c>
      <c r="S97" s="53">
        <v>3.2</v>
      </c>
      <c r="T97" s="45">
        <v>20000</v>
      </c>
      <c r="U97" s="53">
        <v>3.6</v>
      </c>
      <c r="V97" s="45">
        <v>30000</v>
      </c>
      <c r="W97" s="53">
        <v>4</v>
      </c>
      <c r="X97" s="274"/>
      <c r="Y97" s="274"/>
      <c r="Z97" s="274"/>
      <c r="AA97" s="274"/>
      <c r="AB97" s="274"/>
      <c r="AC97" s="274"/>
      <c r="AD97" s="274"/>
      <c r="AE97" s="274"/>
      <c r="AF97" s="274"/>
      <c r="AG97" s="274"/>
      <c r="AH97" s="274"/>
      <c r="AI97" s="274"/>
      <c r="AJ97" s="274"/>
      <c r="AK97" s="274"/>
      <c r="AL97" s="274"/>
      <c r="AM97" s="274"/>
      <c r="AN97" s="274"/>
      <c r="AO97" s="274"/>
      <c r="AP97" s="274"/>
      <c r="AQ97" s="274"/>
      <c r="AR97" s="274"/>
      <c r="AS97" s="274"/>
      <c r="AT97" s="274"/>
      <c r="AU97" s="274"/>
      <c r="AV97" s="274"/>
      <c r="AW97" s="75"/>
      <c r="AX97" s="75"/>
      <c r="AY97" s="75"/>
      <c r="AZ97" s="75"/>
      <c r="BA97" s="75"/>
      <c r="BB97" s="75"/>
      <c r="BC97" s="75"/>
      <c r="BD97" s="75"/>
      <c r="BE97" s="75"/>
      <c r="BF97" s="75"/>
      <c r="BG97" s="75"/>
      <c r="BH97" s="75"/>
      <c r="BI97" s="75"/>
      <c r="BJ97" s="75"/>
      <c r="BK97" s="75"/>
    </row>
    <row r="98" spans="1:63" x14ac:dyDescent="0.25">
      <c r="A98" s="67" t="s">
        <v>1042</v>
      </c>
      <c r="B98" s="67">
        <v>20</v>
      </c>
      <c r="C98" s="67" t="s">
        <v>1069</v>
      </c>
      <c r="D98" s="274">
        <v>10</v>
      </c>
      <c r="E98" s="274">
        <v>15</v>
      </c>
      <c r="F98" s="274">
        <v>20</v>
      </c>
      <c r="G98" s="274">
        <v>25</v>
      </c>
      <c r="H98" s="274">
        <v>30</v>
      </c>
      <c r="I98" s="274">
        <v>35</v>
      </c>
      <c r="J98" s="274">
        <v>40</v>
      </c>
      <c r="K98" s="274">
        <v>45</v>
      </c>
      <c r="L98" s="274">
        <v>50</v>
      </c>
      <c r="M98" s="274">
        <v>55</v>
      </c>
      <c r="N98" s="274">
        <v>60</v>
      </c>
      <c r="O98" s="274">
        <v>65</v>
      </c>
      <c r="P98" s="274">
        <v>70</v>
      </c>
      <c r="Q98" s="274">
        <v>75</v>
      </c>
      <c r="R98" s="274">
        <v>85</v>
      </c>
      <c r="S98" s="274">
        <v>90</v>
      </c>
      <c r="T98" s="274">
        <v>95</v>
      </c>
      <c r="U98" s="274">
        <v>100</v>
      </c>
      <c r="V98" s="274">
        <v>105</v>
      </c>
      <c r="W98" s="274">
        <v>110</v>
      </c>
      <c r="X98" s="274"/>
      <c r="Y98" s="274"/>
      <c r="Z98" s="274"/>
      <c r="AA98" s="274"/>
      <c r="AB98" s="274"/>
      <c r="AC98" s="274"/>
      <c r="AD98" s="274"/>
      <c r="AE98" s="274"/>
      <c r="AF98" s="274"/>
      <c r="AG98" s="274"/>
      <c r="AH98" s="274"/>
      <c r="AI98" s="274"/>
      <c r="AJ98" s="274"/>
      <c r="AK98" s="274"/>
      <c r="AL98" s="274"/>
      <c r="AM98" s="274"/>
      <c r="AN98" s="274"/>
      <c r="AO98" s="274"/>
      <c r="AP98" s="274"/>
      <c r="AQ98" s="274"/>
      <c r="AR98" s="274"/>
      <c r="AS98" s="274"/>
      <c r="AT98" s="274"/>
      <c r="AU98" s="274"/>
      <c r="AV98" s="274"/>
      <c r="AW98" s="274"/>
      <c r="AX98" s="274"/>
      <c r="AY98" s="274"/>
      <c r="AZ98" s="274"/>
      <c r="BA98" s="274"/>
      <c r="BB98" s="274"/>
      <c r="BC98" s="274"/>
      <c r="BD98" s="274"/>
      <c r="BE98" s="274"/>
      <c r="BF98" s="274"/>
      <c r="BG98" s="274"/>
      <c r="BH98" s="274"/>
      <c r="BI98" s="274"/>
      <c r="BJ98" s="274"/>
      <c r="BK98" s="274"/>
    </row>
    <row r="99" spans="1:63" x14ac:dyDescent="0.25">
      <c r="A99" s="67" t="s">
        <v>988</v>
      </c>
      <c r="B99" s="67">
        <v>20</v>
      </c>
      <c r="D99" s="274">
        <v>0</v>
      </c>
      <c r="E99" s="274">
        <v>0</v>
      </c>
      <c r="F99" s="274">
        <v>0</v>
      </c>
      <c r="G99" s="274">
        <v>0</v>
      </c>
      <c r="H99" s="274">
        <v>1</v>
      </c>
      <c r="I99" s="274">
        <v>1</v>
      </c>
      <c r="J99" s="274">
        <v>1</v>
      </c>
      <c r="K99" s="274">
        <v>1</v>
      </c>
      <c r="L99" s="274">
        <v>1</v>
      </c>
      <c r="M99" s="274">
        <v>2</v>
      </c>
      <c r="N99" s="274">
        <v>2</v>
      </c>
      <c r="O99" s="274">
        <v>2</v>
      </c>
      <c r="P99" s="274">
        <v>2</v>
      </c>
      <c r="Q99" s="274">
        <v>2</v>
      </c>
      <c r="R99" s="274">
        <v>2</v>
      </c>
      <c r="S99" s="274">
        <v>2</v>
      </c>
      <c r="T99" s="274">
        <v>2</v>
      </c>
      <c r="U99" s="274">
        <v>2</v>
      </c>
      <c r="V99" s="274">
        <v>2</v>
      </c>
      <c r="W99" s="274">
        <v>3</v>
      </c>
      <c r="X99" s="274"/>
      <c r="Y99" s="274"/>
      <c r="Z99" s="274"/>
      <c r="AA99" s="274"/>
      <c r="AB99" s="274"/>
      <c r="AC99" s="274"/>
      <c r="AD99" s="274"/>
      <c r="AE99" s="274"/>
      <c r="AF99" s="274"/>
      <c r="AG99" s="274"/>
      <c r="AH99" s="274"/>
      <c r="AI99" s="274"/>
      <c r="AJ99" s="274"/>
      <c r="AK99" s="274"/>
      <c r="AL99" s="274"/>
      <c r="AM99" s="274"/>
      <c r="AN99" s="274"/>
      <c r="AO99" s="274"/>
      <c r="AP99" s="274"/>
      <c r="AQ99" s="274"/>
      <c r="AR99" s="274"/>
      <c r="AS99" s="274"/>
      <c r="AT99" s="274"/>
      <c r="AU99" s="274"/>
      <c r="AV99" s="274"/>
      <c r="AW99" s="274"/>
      <c r="AX99" s="274"/>
      <c r="AY99" s="274"/>
      <c r="AZ99" s="274"/>
      <c r="BA99" s="274"/>
      <c r="BB99" s="274"/>
      <c r="BC99" s="274"/>
      <c r="BD99" s="274"/>
      <c r="BE99" s="274"/>
      <c r="BF99" s="274"/>
      <c r="BG99" s="274"/>
      <c r="BH99" s="274"/>
      <c r="BI99" s="274"/>
      <c r="BJ99" s="274"/>
      <c r="BK99" s="274"/>
    </row>
    <row r="100" spans="1:63" x14ac:dyDescent="0.25">
      <c r="A100" s="67" t="s">
        <v>1315</v>
      </c>
      <c r="D100" s="45">
        <v>20</v>
      </c>
      <c r="E100" s="53">
        <v>0.15</v>
      </c>
      <c r="F100" s="45">
        <v>40</v>
      </c>
      <c r="G100" s="53">
        <v>0.3</v>
      </c>
      <c r="H100" s="45">
        <v>65</v>
      </c>
      <c r="I100" s="53">
        <v>0.45</v>
      </c>
      <c r="J100" s="45">
        <v>90</v>
      </c>
      <c r="K100" s="53">
        <v>0.6</v>
      </c>
      <c r="L100" s="45">
        <v>120</v>
      </c>
      <c r="M100" s="53">
        <v>0.75</v>
      </c>
      <c r="N100" s="45">
        <v>160</v>
      </c>
      <c r="O100" s="53">
        <v>0.9</v>
      </c>
      <c r="P100" s="45">
        <v>220</v>
      </c>
      <c r="Q100" s="53">
        <v>1.05</v>
      </c>
      <c r="R100" s="45">
        <v>300</v>
      </c>
      <c r="S100" s="53">
        <v>1.2</v>
      </c>
      <c r="T100" s="45">
        <v>400</v>
      </c>
      <c r="U100" s="53">
        <v>1.35</v>
      </c>
      <c r="V100" s="45">
        <v>600</v>
      </c>
      <c r="W100" s="53">
        <v>1.5</v>
      </c>
      <c r="X100" s="274"/>
      <c r="Y100" s="274"/>
      <c r="Z100" s="274"/>
      <c r="AA100" s="274"/>
      <c r="AB100" s="274"/>
      <c r="AC100" s="274"/>
      <c r="AD100" s="274"/>
      <c r="AE100" s="274"/>
      <c r="AF100" s="274"/>
      <c r="AG100" s="274"/>
      <c r="AH100" s="274"/>
      <c r="AI100" s="274"/>
      <c r="AJ100" s="274"/>
      <c r="AK100" s="274"/>
      <c r="AL100" s="274"/>
      <c r="AM100" s="274"/>
      <c r="AN100" s="274"/>
      <c r="AO100" s="274"/>
      <c r="AP100" s="274"/>
      <c r="AQ100" s="274"/>
      <c r="AR100" s="274"/>
      <c r="AS100" s="274"/>
      <c r="AT100" s="274"/>
      <c r="AU100" s="274"/>
      <c r="AV100" s="274"/>
      <c r="AW100" s="274"/>
      <c r="AX100" s="274"/>
      <c r="AY100" s="274"/>
      <c r="AZ100" s="274"/>
      <c r="BA100" s="274"/>
      <c r="BB100" s="274"/>
      <c r="BC100" s="274"/>
      <c r="BD100" s="274"/>
      <c r="BE100" s="274"/>
      <c r="BF100" s="274"/>
      <c r="BG100" s="274"/>
      <c r="BH100" s="274"/>
      <c r="BI100" s="274"/>
      <c r="BJ100" s="274"/>
      <c r="BK100" s="274"/>
    </row>
    <row r="101" spans="1:63" x14ac:dyDescent="0.25">
      <c r="A101" s="67" t="s">
        <v>1043</v>
      </c>
      <c r="B101" s="67">
        <v>35</v>
      </c>
      <c r="C101" s="67" t="s">
        <v>1081</v>
      </c>
      <c r="D101" s="75">
        <v>0.1</v>
      </c>
      <c r="E101" s="75">
        <v>0.11</v>
      </c>
      <c r="F101" s="75">
        <v>0.12</v>
      </c>
      <c r="G101" s="75">
        <v>0.13</v>
      </c>
      <c r="H101" s="75">
        <v>0.14000000000000001</v>
      </c>
      <c r="I101" s="75">
        <v>0.15</v>
      </c>
      <c r="J101" s="75">
        <v>0.16</v>
      </c>
      <c r="K101" s="75">
        <v>0.17</v>
      </c>
      <c r="L101" s="75">
        <v>0.18</v>
      </c>
      <c r="M101" s="75">
        <v>0.19</v>
      </c>
      <c r="N101" s="75">
        <v>0.2</v>
      </c>
      <c r="O101" s="75">
        <v>0.21</v>
      </c>
      <c r="P101" s="75">
        <v>0.22</v>
      </c>
      <c r="Q101" s="75">
        <v>0.23</v>
      </c>
      <c r="R101" s="75">
        <v>0.24</v>
      </c>
      <c r="S101" s="75">
        <v>0.25</v>
      </c>
      <c r="T101" s="75">
        <v>0.26</v>
      </c>
      <c r="U101" s="75">
        <v>0.27</v>
      </c>
      <c r="V101" s="75">
        <v>0.28000000000000003</v>
      </c>
      <c r="W101" s="75">
        <v>0.28999999999999998</v>
      </c>
      <c r="X101" s="75">
        <v>0.3</v>
      </c>
      <c r="Y101" s="75">
        <v>0.31</v>
      </c>
      <c r="Z101" s="75">
        <v>0.32</v>
      </c>
      <c r="AA101" s="75">
        <v>0.33</v>
      </c>
      <c r="AB101" s="75">
        <v>0.34</v>
      </c>
      <c r="AC101" s="75">
        <v>0.35</v>
      </c>
      <c r="AD101" s="75">
        <v>0.36</v>
      </c>
      <c r="AE101" s="75">
        <v>0.37</v>
      </c>
      <c r="AF101" s="75">
        <v>0.38</v>
      </c>
      <c r="AG101" s="75">
        <v>0.4</v>
      </c>
      <c r="AH101" s="75">
        <v>0.42</v>
      </c>
      <c r="AI101" s="75">
        <v>0.44</v>
      </c>
      <c r="AJ101" s="75">
        <v>0.46</v>
      </c>
      <c r="AK101" s="75">
        <v>0.48</v>
      </c>
      <c r="AL101" s="75">
        <v>0.5</v>
      </c>
      <c r="AM101" s="75"/>
      <c r="AN101" s="75"/>
      <c r="AO101" s="75"/>
      <c r="AP101" s="75"/>
      <c r="AQ101" s="75"/>
      <c r="AR101" s="75"/>
      <c r="AS101" s="75"/>
      <c r="AT101" s="75"/>
      <c r="AU101" s="75"/>
      <c r="AV101" s="75"/>
      <c r="AW101" s="75"/>
      <c r="AX101" s="75"/>
      <c r="AY101" s="75"/>
      <c r="AZ101" s="75"/>
      <c r="BA101" s="75"/>
      <c r="BB101" s="75"/>
      <c r="BC101" s="75"/>
      <c r="BD101" s="75"/>
      <c r="BE101" s="75"/>
      <c r="BF101" s="75"/>
      <c r="BG101" s="75"/>
      <c r="BH101" s="75"/>
      <c r="BI101" s="75"/>
      <c r="BJ101" s="75"/>
      <c r="BK101" s="75"/>
    </row>
    <row r="102" spans="1:63" x14ac:dyDescent="0.25">
      <c r="A102" s="67" t="s">
        <v>989</v>
      </c>
      <c r="B102" s="67">
        <v>35</v>
      </c>
      <c r="D102" s="274">
        <v>0</v>
      </c>
      <c r="E102" s="274">
        <v>0</v>
      </c>
      <c r="F102" s="274">
        <v>0</v>
      </c>
      <c r="G102" s="274">
        <v>0</v>
      </c>
      <c r="H102" s="274">
        <v>1</v>
      </c>
      <c r="I102" s="274">
        <v>1</v>
      </c>
      <c r="J102" s="274">
        <v>1</v>
      </c>
      <c r="K102" s="274">
        <v>1</v>
      </c>
      <c r="L102" s="274">
        <v>1</v>
      </c>
      <c r="M102" s="274">
        <v>2</v>
      </c>
      <c r="N102" s="274">
        <v>2</v>
      </c>
      <c r="O102" s="274">
        <v>2</v>
      </c>
      <c r="P102" s="274">
        <v>2</v>
      </c>
      <c r="Q102" s="274">
        <v>2</v>
      </c>
      <c r="R102" s="274">
        <v>2</v>
      </c>
      <c r="S102" s="274">
        <v>2</v>
      </c>
      <c r="T102" s="274">
        <v>2</v>
      </c>
      <c r="U102" s="274">
        <v>2</v>
      </c>
      <c r="V102" s="274">
        <v>2</v>
      </c>
      <c r="W102" s="274">
        <v>3</v>
      </c>
      <c r="X102" s="274">
        <v>3</v>
      </c>
      <c r="Y102" s="274">
        <v>3</v>
      </c>
      <c r="Z102" s="274">
        <v>3</v>
      </c>
      <c r="AA102" s="274">
        <v>3</v>
      </c>
      <c r="AB102" s="274">
        <v>3</v>
      </c>
      <c r="AC102" s="274">
        <v>3</v>
      </c>
      <c r="AD102" s="274">
        <v>3</v>
      </c>
      <c r="AE102" s="274">
        <v>3</v>
      </c>
      <c r="AF102" s="274">
        <v>3</v>
      </c>
      <c r="AG102" s="274">
        <v>3</v>
      </c>
      <c r="AH102" s="274">
        <v>3</v>
      </c>
      <c r="AI102" s="274">
        <v>3</v>
      </c>
      <c r="AJ102" s="274">
        <v>3</v>
      </c>
      <c r="AK102" s="274">
        <v>3</v>
      </c>
      <c r="AL102" s="274">
        <v>4</v>
      </c>
      <c r="AM102" s="75"/>
      <c r="AN102" s="75"/>
      <c r="AO102" s="75"/>
      <c r="AP102" s="75"/>
      <c r="AQ102" s="75"/>
      <c r="AR102" s="75"/>
      <c r="AS102" s="75"/>
      <c r="AT102" s="75"/>
      <c r="AU102" s="75"/>
      <c r="AV102" s="75"/>
      <c r="AW102" s="75"/>
      <c r="AX102" s="75"/>
      <c r="AY102" s="75"/>
      <c r="AZ102" s="75"/>
      <c r="BA102" s="75"/>
      <c r="BB102" s="75"/>
      <c r="BC102" s="75"/>
      <c r="BD102" s="75"/>
      <c r="BE102" s="75"/>
      <c r="BF102" s="75"/>
      <c r="BG102" s="75"/>
      <c r="BH102" s="75"/>
      <c r="BI102" s="75"/>
      <c r="BJ102" s="75"/>
      <c r="BK102" s="75"/>
    </row>
    <row r="103" spans="1:63" x14ac:dyDescent="0.25">
      <c r="A103" s="67" t="s">
        <v>1316</v>
      </c>
      <c r="D103" s="45">
        <v>40</v>
      </c>
      <c r="E103" s="53">
        <v>0.22</v>
      </c>
      <c r="F103" s="45">
        <v>80</v>
      </c>
      <c r="G103" s="53">
        <v>0.44</v>
      </c>
      <c r="H103" s="45">
        <v>130</v>
      </c>
      <c r="I103" s="53">
        <v>0.66</v>
      </c>
      <c r="J103" s="45">
        <v>180</v>
      </c>
      <c r="K103" s="53">
        <v>0.88</v>
      </c>
      <c r="L103" s="45">
        <v>240</v>
      </c>
      <c r="M103" s="53">
        <v>1.1000000000000001</v>
      </c>
      <c r="N103" s="45">
        <v>320</v>
      </c>
      <c r="O103" s="53">
        <v>1.32</v>
      </c>
      <c r="P103" s="45">
        <v>440</v>
      </c>
      <c r="Q103" s="53">
        <v>1.54</v>
      </c>
      <c r="R103" s="45">
        <v>600</v>
      </c>
      <c r="S103" s="53">
        <v>1.76</v>
      </c>
      <c r="T103" s="45">
        <v>800</v>
      </c>
      <c r="U103" s="53">
        <v>1.98</v>
      </c>
      <c r="V103" s="45">
        <v>1200</v>
      </c>
      <c r="W103" s="53">
        <v>2.2000000000000002</v>
      </c>
      <c r="X103" s="274"/>
      <c r="Y103" s="274"/>
      <c r="Z103" s="274"/>
      <c r="AA103" s="274"/>
      <c r="AB103" s="274"/>
      <c r="AC103" s="274"/>
      <c r="AD103" s="274"/>
      <c r="AE103" s="274"/>
      <c r="AF103" s="274"/>
      <c r="AG103" s="274"/>
      <c r="AH103" s="274"/>
      <c r="AI103" s="274"/>
      <c r="AJ103" s="274"/>
      <c r="AK103" s="274"/>
      <c r="AL103" s="274"/>
      <c r="AM103" s="75"/>
      <c r="AN103" s="75"/>
      <c r="AO103" s="75"/>
      <c r="AP103" s="75"/>
      <c r="AQ103" s="75"/>
      <c r="AR103" s="75"/>
      <c r="AS103" s="75"/>
      <c r="AT103" s="75"/>
      <c r="AU103" s="75"/>
      <c r="AV103" s="75"/>
      <c r="AW103" s="75"/>
      <c r="AX103" s="75"/>
      <c r="AY103" s="75"/>
      <c r="AZ103" s="75"/>
      <c r="BA103" s="75"/>
      <c r="BB103" s="75"/>
      <c r="BC103" s="75"/>
      <c r="BD103" s="75"/>
      <c r="BE103" s="75"/>
      <c r="BF103" s="75"/>
      <c r="BG103" s="75"/>
      <c r="BH103" s="75"/>
      <c r="BI103" s="75"/>
      <c r="BJ103" s="75"/>
      <c r="BK103" s="75"/>
    </row>
    <row r="104" spans="1:63" x14ac:dyDescent="0.25">
      <c r="A104" s="67" t="s">
        <v>1044</v>
      </c>
      <c r="B104" s="67">
        <v>60</v>
      </c>
      <c r="C104" s="67" t="s">
        <v>1267</v>
      </c>
      <c r="D104" s="75">
        <v>0.1</v>
      </c>
      <c r="E104" s="75">
        <v>0.11</v>
      </c>
      <c r="F104" s="75">
        <v>0.12</v>
      </c>
      <c r="G104" s="75">
        <v>0.13</v>
      </c>
      <c r="H104" s="75">
        <v>0.14000000000000001</v>
      </c>
      <c r="I104" s="75">
        <v>0.15</v>
      </c>
      <c r="J104" s="75">
        <v>0.16</v>
      </c>
      <c r="K104" s="75">
        <v>0.17</v>
      </c>
      <c r="L104" s="75">
        <v>0.18</v>
      </c>
      <c r="M104" s="75">
        <v>0.2</v>
      </c>
      <c r="N104" s="75">
        <v>0.22</v>
      </c>
      <c r="O104" s="75">
        <v>0.23</v>
      </c>
      <c r="P104" s="75">
        <v>0.25</v>
      </c>
      <c r="Q104" s="75">
        <v>0.26</v>
      </c>
      <c r="R104" s="75">
        <v>0.28000000000000003</v>
      </c>
      <c r="S104" s="75">
        <v>0.28999999999999998</v>
      </c>
      <c r="T104" s="75">
        <v>0.31</v>
      </c>
      <c r="U104" s="75">
        <v>0.32</v>
      </c>
      <c r="V104" s="75">
        <v>0.34</v>
      </c>
      <c r="W104" s="75">
        <v>0.35</v>
      </c>
      <c r="X104" s="75">
        <v>0.37</v>
      </c>
      <c r="Y104" s="75">
        <v>0.38</v>
      </c>
      <c r="Z104" s="75">
        <v>0.4</v>
      </c>
      <c r="AA104" s="75">
        <v>0.41</v>
      </c>
      <c r="AB104" s="75">
        <v>0.43</v>
      </c>
      <c r="AC104" s="75">
        <v>0.44</v>
      </c>
      <c r="AD104" s="75">
        <v>0.46</v>
      </c>
      <c r="AE104" s="75">
        <v>0.47</v>
      </c>
      <c r="AF104" s="75">
        <v>0.49</v>
      </c>
      <c r="AG104" s="75">
        <v>0.5</v>
      </c>
      <c r="AH104" s="75">
        <v>0.52</v>
      </c>
      <c r="AI104" s="75">
        <v>0.54</v>
      </c>
      <c r="AJ104" s="75">
        <v>0.56000000000000005</v>
      </c>
      <c r="AK104" s="75">
        <v>0.57999999999999996</v>
      </c>
      <c r="AL104" s="75">
        <v>0.6</v>
      </c>
      <c r="AM104" s="75">
        <v>0.62</v>
      </c>
      <c r="AN104" s="75">
        <v>0.64</v>
      </c>
      <c r="AO104" s="75">
        <v>0.66</v>
      </c>
      <c r="AP104" s="75">
        <v>0.68</v>
      </c>
      <c r="AQ104" s="75">
        <v>0.7</v>
      </c>
      <c r="AR104" s="75">
        <v>0.72</v>
      </c>
      <c r="AS104" s="75">
        <v>0.74</v>
      </c>
      <c r="AT104" s="75">
        <v>0.76</v>
      </c>
      <c r="AU104" s="75">
        <v>0.78</v>
      </c>
      <c r="AV104" s="75">
        <v>0.8</v>
      </c>
      <c r="AW104" s="75">
        <v>0.82</v>
      </c>
      <c r="AX104" s="75">
        <v>0.84</v>
      </c>
      <c r="AY104" s="75">
        <v>0.86</v>
      </c>
      <c r="AZ104" s="75">
        <v>0.88</v>
      </c>
      <c r="BA104" s="75">
        <v>0.9</v>
      </c>
      <c r="BB104" s="75">
        <v>0.93</v>
      </c>
      <c r="BC104" s="75">
        <v>0.96</v>
      </c>
      <c r="BD104" s="75">
        <v>0.99</v>
      </c>
      <c r="BE104" s="75">
        <v>1.02</v>
      </c>
      <c r="BF104" s="75">
        <v>1.05</v>
      </c>
      <c r="BG104" s="75">
        <v>1.08</v>
      </c>
      <c r="BH104" s="75">
        <v>1.1100000000000001</v>
      </c>
      <c r="BI104" s="75">
        <v>1.1399999999999999</v>
      </c>
      <c r="BJ104" s="75">
        <v>1.17</v>
      </c>
      <c r="BK104" s="75">
        <v>1.2</v>
      </c>
    </row>
    <row r="105" spans="1:63" x14ac:dyDescent="0.25">
      <c r="A105" s="67" t="s">
        <v>990</v>
      </c>
      <c r="B105" s="67">
        <v>60</v>
      </c>
      <c r="D105" s="274">
        <v>0</v>
      </c>
      <c r="E105" s="274">
        <v>0</v>
      </c>
      <c r="F105" s="274">
        <v>0</v>
      </c>
      <c r="G105" s="274">
        <v>0</v>
      </c>
      <c r="H105" s="274">
        <v>1</v>
      </c>
      <c r="I105" s="274">
        <v>1</v>
      </c>
      <c r="J105" s="274">
        <v>1</v>
      </c>
      <c r="K105" s="274">
        <v>1</v>
      </c>
      <c r="L105" s="274">
        <v>1</v>
      </c>
      <c r="M105" s="274">
        <v>2</v>
      </c>
      <c r="N105" s="274">
        <v>2</v>
      </c>
      <c r="O105" s="274">
        <v>2</v>
      </c>
      <c r="P105" s="274">
        <v>2</v>
      </c>
      <c r="Q105" s="274">
        <v>2</v>
      </c>
      <c r="R105" s="274">
        <v>2</v>
      </c>
      <c r="S105" s="274">
        <v>2</v>
      </c>
      <c r="T105" s="274">
        <v>2</v>
      </c>
      <c r="U105" s="274">
        <v>2</v>
      </c>
      <c r="V105" s="274">
        <v>2</v>
      </c>
      <c r="W105" s="274">
        <v>3</v>
      </c>
      <c r="X105" s="274">
        <v>3</v>
      </c>
      <c r="Y105" s="274">
        <v>3</v>
      </c>
      <c r="Z105" s="274">
        <v>3</v>
      </c>
      <c r="AA105" s="274">
        <v>3</v>
      </c>
      <c r="AB105" s="274">
        <v>3</v>
      </c>
      <c r="AC105" s="274">
        <v>3</v>
      </c>
      <c r="AD105" s="274">
        <v>3</v>
      </c>
      <c r="AE105" s="274">
        <v>3</v>
      </c>
      <c r="AF105" s="274">
        <v>3</v>
      </c>
      <c r="AG105" s="274">
        <v>3</v>
      </c>
      <c r="AH105" s="274">
        <v>3</v>
      </c>
      <c r="AI105" s="274">
        <v>3</v>
      </c>
      <c r="AJ105" s="274">
        <v>3</v>
      </c>
      <c r="AK105" s="274">
        <v>3</v>
      </c>
      <c r="AL105" s="274">
        <v>4</v>
      </c>
      <c r="AM105" s="274">
        <v>4</v>
      </c>
      <c r="AN105" s="274">
        <v>4</v>
      </c>
      <c r="AO105" s="274">
        <v>4</v>
      </c>
      <c r="AP105" s="274">
        <v>4</v>
      </c>
      <c r="AQ105" s="274">
        <v>4</v>
      </c>
      <c r="AR105" s="274">
        <v>4</v>
      </c>
      <c r="AS105" s="274">
        <v>4</v>
      </c>
      <c r="AT105" s="274">
        <v>4</v>
      </c>
      <c r="AU105" s="274">
        <v>4</v>
      </c>
      <c r="AV105" s="274">
        <v>5</v>
      </c>
      <c r="AW105" s="274">
        <v>5</v>
      </c>
      <c r="AX105" s="274">
        <v>5</v>
      </c>
      <c r="AY105" s="274">
        <v>5</v>
      </c>
      <c r="AZ105" s="274">
        <v>5</v>
      </c>
      <c r="BA105" s="274">
        <v>5</v>
      </c>
      <c r="BB105" s="274">
        <v>5</v>
      </c>
      <c r="BC105" s="274">
        <v>5</v>
      </c>
      <c r="BD105" s="274">
        <v>5</v>
      </c>
      <c r="BE105" s="274">
        <v>5</v>
      </c>
      <c r="BF105" s="274">
        <v>6</v>
      </c>
      <c r="BG105" s="274">
        <v>6</v>
      </c>
      <c r="BH105" s="274">
        <v>6</v>
      </c>
      <c r="BI105" s="274">
        <v>6</v>
      </c>
      <c r="BJ105" s="274">
        <v>6</v>
      </c>
      <c r="BK105" s="274">
        <v>6</v>
      </c>
    </row>
    <row r="106" spans="1:63" x14ac:dyDescent="0.25">
      <c r="A106" s="67" t="s">
        <v>1317</v>
      </c>
      <c r="D106" s="45">
        <v>1000</v>
      </c>
      <c r="E106" s="53">
        <v>0.45</v>
      </c>
      <c r="F106" s="45">
        <v>2000</v>
      </c>
      <c r="G106" s="53">
        <v>0.9</v>
      </c>
      <c r="H106" s="45">
        <v>3250</v>
      </c>
      <c r="I106" s="53">
        <v>1.35</v>
      </c>
      <c r="J106" s="45">
        <v>4500</v>
      </c>
      <c r="K106" s="53">
        <v>1.8</v>
      </c>
      <c r="L106" s="45">
        <v>6000</v>
      </c>
      <c r="M106" s="53">
        <v>2.25</v>
      </c>
      <c r="N106" s="45">
        <v>8000</v>
      </c>
      <c r="O106" s="53">
        <v>2.7</v>
      </c>
      <c r="P106" s="45">
        <v>11000</v>
      </c>
      <c r="Q106" s="53">
        <v>3.15</v>
      </c>
      <c r="R106" s="45">
        <v>15000</v>
      </c>
      <c r="S106" s="53">
        <v>3.6</v>
      </c>
      <c r="T106" s="45">
        <v>20000</v>
      </c>
      <c r="U106" s="53">
        <v>4.05</v>
      </c>
      <c r="V106" s="45">
        <v>30000</v>
      </c>
      <c r="W106" s="53">
        <v>4.5</v>
      </c>
      <c r="X106" s="274"/>
      <c r="Y106" s="274"/>
      <c r="Z106" s="274"/>
      <c r="AA106" s="274"/>
      <c r="AB106" s="274"/>
      <c r="AC106" s="274"/>
      <c r="AD106" s="274"/>
      <c r="AE106" s="274"/>
      <c r="AF106" s="274"/>
      <c r="AG106" s="274"/>
      <c r="AH106" s="274"/>
      <c r="AI106" s="274"/>
      <c r="AJ106" s="274"/>
      <c r="AK106" s="274"/>
      <c r="AL106" s="274"/>
      <c r="AM106" s="274"/>
      <c r="AN106" s="274"/>
      <c r="AO106" s="274"/>
      <c r="AP106" s="274"/>
      <c r="AQ106" s="274"/>
      <c r="AR106" s="274"/>
      <c r="AS106" s="274"/>
      <c r="AT106" s="274"/>
      <c r="AU106" s="274"/>
      <c r="AV106" s="274"/>
      <c r="AW106" s="274"/>
      <c r="AX106" s="274"/>
      <c r="AY106" s="274"/>
      <c r="AZ106" s="274"/>
      <c r="BA106" s="274"/>
      <c r="BB106" s="274"/>
      <c r="BC106" s="274"/>
      <c r="BD106" s="274"/>
      <c r="BE106" s="274"/>
      <c r="BF106" s="274"/>
      <c r="BG106" s="274"/>
      <c r="BH106" s="274"/>
      <c r="BI106" s="274"/>
      <c r="BJ106" s="274"/>
      <c r="BK106" s="274"/>
    </row>
    <row r="107" spans="1:63" x14ac:dyDescent="0.25">
      <c r="A107" s="67" t="s">
        <v>1785</v>
      </c>
      <c r="B107" s="67">
        <v>60</v>
      </c>
      <c r="C107" s="67" t="s">
        <v>1788</v>
      </c>
      <c r="D107" s="53">
        <v>0.12</v>
      </c>
      <c r="E107" s="53">
        <v>0.14000000000000001</v>
      </c>
      <c r="F107" s="53">
        <v>0.16</v>
      </c>
      <c r="G107" s="53">
        <v>0.18</v>
      </c>
      <c r="H107" s="53">
        <v>0.2</v>
      </c>
      <c r="I107" s="53">
        <v>0.22</v>
      </c>
      <c r="J107" s="53">
        <v>0.24</v>
      </c>
      <c r="K107" s="53">
        <v>0.26</v>
      </c>
      <c r="L107" s="53">
        <v>0.28000000000000003</v>
      </c>
      <c r="M107" s="53">
        <v>0.3</v>
      </c>
      <c r="N107" s="53">
        <v>0.32</v>
      </c>
      <c r="O107" s="53">
        <v>0.34</v>
      </c>
      <c r="P107" s="53">
        <v>0.36</v>
      </c>
      <c r="Q107" s="53">
        <v>0.38</v>
      </c>
      <c r="R107" s="53">
        <v>0.4</v>
      </c>
      <c r="S107" s="53">
        <v>0.42</v>
      </c>
      <c r="T107" s="53">
        <v>0.44</v>
      </c>
      <c r="U107" s="53">
        <v>0.46</v>
      </c>
      <c r="V107" s="53">
        <v>0.48</v>
      </c>
      <c r="W107" s="53">
        <v>0.5</v>
      </c>
      <c r="X107" s="75">
        <v>0.52</v>
      </c>
      <c r="Y107" s="75">
        <v>0.54</v>
      </c>
      <c r="Z107" s="75">
        <v>0.56000000000000005</v>
      </c>
      <c r="AA107" s="75">
        <v>0.57999999999999996</v>
      </c>
      <c r="AB107" s="75">
        <v>0.6</v>
      </c>
      <c r="AC107" s="75">
        <v>0.62</v>
      </c>
      <c r="AD107" s="75">
        <v>0.64</v>
      </c>
      <c r="AE107" s="75">
        <v>0.66</v>
      </c>
      <c r="AF107" s="75">
        <v>0.68</v>
      </c>
      <c r="AG107" s="75">
        <v>0.7</v>
      </c>
      <c r="AH107" s="75">
        <v>0.72</v>
      </c>
      <c r="AI107" s="75">
        <v>0.74</v>
      </c>
      <c r="AJ107" s="75">
        <v>0.76</v>
      </c>
      <c r="AK107" s="75">
        <v>0.78</v>
      </c>
      <c r="AL107" s="75">
        <v>0.8</v>
      </c>
      <c r="AM107" s="75">
        <v>0.82</v>
      </c>
      <c r="AN107" s="75">
        <v>0.84</v>
      </c>
      <c r="AO107" s="75">
        <v>0.86</v>
      </c>
      <c r="AP107" s="75">
        <v>0.88</v>
      </c>
      <c r="AQ107" s="75">
        <v>0.9</v>
      </c>
      <c r="AR107" s="75">
        <v>0.92</v>
      </c>
      <c r="AS107" s="75">
        <v>0.94</v>
      </c>
      <c r="AT107" s="75">
        <v>0.96</v>
      </c>
      <c r="AU107" s="75">
        <v>0.98</v>
      </c>
      <c r="AV107" s="75">
        <v>1</v>
      </c>
      <c r="AW107" s="75">
        <v>1.02</v>
      </c>
      <c r="AX107" s="75">
        <v>1.04</v>
      </c>
      <c r="AY107" s="75">
        <v>1.06</v>
      </c>
      <c r="AZ107" s="75">
        <v>1.08</v>
      </c>
      <c r="BA107" s="75">
        <v>1.1000000000000001</v>
      </c>
      <c r="BB107" s="75">
        <v>1.1200000000000001</v>
      </c>
      <c r="BC107" s="75">
        <v>1.1399999999999999</v>
      </c>
      <c r="BD107" s="75">
        <v>1.1599999999999999</v>
      </c>
      <c r="BE107" s="75">
        <v>1.18</v>
      </c>
      <c r="BF107" s="75">
        <v>1.2</v>
      </c>
      <c r="BG107" s="75">
        <v>1.22</v>
      </c>
      <c r="BH107" s="75">
        <v>1.24</v>
      </c>
      <c r="BI107" s="75">
        <v>1.26</v>
      </c>
      <c r="BJ107" s="75">
        <v>1.28</v>
      </c>
      <c r="BK107" s="75">
        <v>1.3</v>
      </c>
    </row>
    <row r="108" spans="1:63" x14ac:dyDescent="0.25">
      <c r="A108" s="67" t="s">
        <v>1786</v>
      </c>
      <c r="B108" s="67">
        <v>60</v>
      </c>
      <c r="D108" s="54">
        <v>0</v>
      </c>
      <c r="E108" s="54">
        <v>0</v>
      </c>
      <c r="F108" s="54">
        <v>0</v>
      </c>
      <c r="G108" s="54">
        <v>0</v>
      </c>
      <c r="H108" s="54">
        <v>1</v>
      </c>
      <c r="I108" s="54">
        <v>1</v>
      </c>
      <c r="J108" s="54">
        <v>1</v>
      </c>
      <c r="K108" s="54">
        <v>1</v>
      </c>
      <c r="L108" s="54">
        <v>1</v>
      </c>
      <c r="M108" s="54">
        <v>2</v>
      </c>
      <c r="N108" s="54">
        <v>2</v>
      </c>
      <c r="O108" s="54">
        <v>2</v>
      </c>
      <c r="P108" s="54">
        <v>2</v>
      </c>
      <c r="Q108" s="54">
        <v>2</v>
      </c>
      <c r="R108" s="54">
        <v>2</v>
      </c>
      <c r="S108" s="54">
        <v>2</v>
      </c>
      <c r="T108" s="54">
        <v>2</v>
      </c>
      <c r="U108" s="54">
        <v>2</v>
      </c>
      <c r="V108" s="54">
        <v>2</v>
      </c>
      <c r="W108" s="54">
        <v>3</v>
      </c>
      <c r="X108" s="274">
        <v>3</v>
      </c>
      <c r="Y108" s="274">
        <v>3</v>
      </c>
      <c r="Z108" s="274">
        <v>3</v>
      </c>
      <c r="AA108" s="274">
        <v>3</v>
      </c>
      <c r="AB108" s="274">
        <v>3</v>
      </c>
      <c r="AC108" s="274">
        <v>3</v>
      </c>
      <c r="AD108" s="274">
        <v>3</v>
      </c>
      <c r="AE108" s="274">
        <v>3</v>
      </c>
      <c r="AF108" s="274">
        <v>3</v>
      </c>
      <c r="AG108" s="274">
        <v>3</v>
      </c>
      <c r="AH108" s="274">
        <v>3</v>
      </c>
      <c r="AI108" s="274">
        <v>3</v>
      </c>
      <c r="AJ108" s="274">
        <v>3</v>
      </c>
      <c r="AK108" s="274">
        <v>3</v>
      </c>
      <c r="AL108" s="274">
        <v>4</v>
      </c>
      <c r="AM108" s="274">
        <v>4</v>
      </c>
      <c r="AN108" s="274">
        <v>4</v>
      </c>
      <c r="AO108" s="274">
        <v>4</v>
      </c>
      <c r="AP108" s="274">
        <v>4</v>
      </c>
      <c r="AQ108" s="274">
        <v>4</v>
      </c>
      <c r="AR108" s="274">
        <v>4</v>
      </c>
      <c r="AS108" s="274">
        <v>4</v>
      </c>
      <c r="AT108" s="274">
        <v>4</v>
      </c>
      <c r="AU108" s="274">
        <v>4</v>
      </c>
      <c r="AV108" s="274">
        <v>5</v>
      </c>
      <c r="AW108" s="274">
        <v>5</v>
      </c>
      <c r="AX108" s="274">
        <v>5</v>
      </c>
      <c r="AY108" s="274">
        <v>5</v>
      </c>
      <c r="AZ108" s="274">
        <v>5</v>
      </c>
      <c r="BA108" s="274">
        <v>5</v>
      </c>
      <c r="BB108" s="274">
        <v>5</v>
      </c>
      <c r="BC108" s="274">
        <v>5</v>
      </c>
      <c r="BD108" s="274">
        <v>5</v>
      </c>
      <c r="BE108" s="274">
        <v>5</v>
      </c>
      <c r="BF108" s="274">
        <v>6</v>
      </c>
      <c r="BG108" s="274">
        <v>6</v>
      </c>
      <c r="BH108" s="274">
        <v>6</v>
      </c>
      <c r="BI108" s="274">
        <v>6</v>
      </c>
      <c r="BJ108" s="274">
        <v>6</v>
      </c>
      <c r="BK108" s="274">
        <v>6</v>
      </c>
    </row>
    <row r="109" spans="1:63" x14ac:dyDescent="0.25">
      <c r="A109" s="67" t="s">
        <v>1787</v>
      </c>
      <c r="D109" s="45">
        <v>1800</v>
      </c>
      <c r="E109" s="53">
        <v>0.6</v>
      </c>
      <c r="F109" s="45">
        <v>3600</v>
      </c>
      <c r="G109" s="53">
        <v>1.2</v>
      </c>
      <c r="H109" s="45">
        <v>5850</v>
      </c>
      <c r="I109" s="53">
        <v>1.8</v>
      </c>
      <c r="J109" s="45">
        <v>8100</v>
      </c>
      <c r="K109" s="53">
        <v>2.4</v>
      </c>
      <c r="L109" s="45">
        <v>10800</v>
      </c>
      <c r="M109" s="53">
        <v>3</v>
      </c>
      <c r="N109" s="45">
        <v>14400</v>
      </c>
      <c r="O109" s="53">
        <v>3.6</v>
      </c>
      <c r="P109" s="45">
        <v>19800</v>
      </c>
      <c r="Q109" s="53">
        <v>4.2</v>
      </c>
      <c r="R109" s="45">
        <v>27000</v>
      </c>
      <c r="S109" s="53">
        <v>4.8</v>
      </c>
      <c r="T109" s="45">
        <v>36000</v>
      </c>
      <c r="U109" s="53">
        <v>5.4</v>
      </c>
      <c r="V109" s="45">
        <v>54000</v>
      </c>
      <c r="W109" s="53">
        <v>6</v>
      </c>
      <c r="X109" s="274"/>
      <c r="Y109" s="274"/>
      <c r="Z109" s="274"/>
      <c r="AA109" s="274"/>
      <c r="AB109" s="274"/>
      <c r="AC109" s="274"/>
      <c r="AD109" s="274"/>
      <c r="AE109" s="274"/>
      <c r="AF109" s="274"/>
      <c r="AG109" s="274"/>
      <c r="AH109" s="274"/>
      <c r="AI109" s="274"/>
      <c r="AJ109" s="274"/>
      <c r="AK109" s="274"/>
      <c r="AL109" s="274"/>
      <c r="AM109" s="274"/>
      <c r="AN109" s="274"/>
      <c r="AO109" s="274"/>
      <c r="AP109" s="274"/>
      <c r="AQ109" s="274"/>
      <c r="AR109" s="274"/>
      <c r="AS109" s="274"/>
      <c r="AT109" s="274"/>
      <c r="AU109" s="274"/>
      <c r="AV109" s="274"/>
      <c r="AW109" s="274"/>
      <c r="AX109" s="274"/>
      <c r="AY109" s="274"/>
      <c r="AZ109" s="274"/>
      <c r="BA109" s="274"/>
      <c r="BB109" s="274"/>
      <c r="BC109" s="274"/>
      <c r="BD109" s="274"/>
      <c r="BE109" s="274"/>
      <c r="BF109" s="274"/>
      <c r="BG109" s="274"/>
      <c r="BH109" s="274"/>
      <c r="BI109" s="274"/>
      <c r="BJ109" s="274"/>
      <c r="BK109" s="274"/>
    </row>
    <row r="110" spans="1:63" x14ac:dyDescent="0.25">
      <c r="A110" s="67" t="s">
        <v>1045</v>
      </c>
      <c r="B110" s="67">
        <v>20</v>
      </c>
      <c r="C110" s="67" t="s">
        <v>960</v>
      </c>
      <c r="D110" s="274">
        <v>10</v>
      </c>
      <c r="E110" s="274">
        <v>15</v>
      </c>
      <c r="F110" s="274">
        <v>20</v>
      </c>
      <c r="G110" s="274">
        <v>25</v>
      </c>
      <c r="H110" s="274">
        <v>30</v>
      </c>
      <c r="I110" s="274">
        <v>35</v>
      </c>
      <c r="J110" s="274">
        <v>40</v>
      </c>
      <c r="K110" s="274">
        <v>45</v>
      </c>
      <c r="L110" s="274">
        <v>50</v>
      </c>
      <c r="M110" s="274">
        <v>55</v>
      </c>
      <c r="N110" s="274">
        <v>60</v>
      </c>
      <c r="O110" s="274">
        <v>65</v>
      </c>
      <c r="P110" s="274">
        <v>70</v>
      </c>
      <c r="Q110" s="274">
        <v>75</v>
      </c>
      <c r="R110" s="274">
        <v>85</v>
      </c>
      <c r="S110" s="274">
        <v>90</v>
      </c>
      <c r="T110" s="274">
        <v>95</v>
      </c>
      <c r="U110" s="274">
        <v>100</v>
      </c>
      <c r="V110" s="274">
        <v>105</v>
      </c>
      <c r="W110" s="274">
        <v>110</v>
      </c>
      <c r="X110" s="274"/>
      <c r="Y110" s="274"/>
      <c r="Z110" s="274"/>
      <c r="AA110" s="274"/>
      <c r="AB110" s="274"/>
      <c r="AC110" s="274"/>
      <c r="AD110" s="274"/>
      <c r="AE110" s="274"/>
      <c r="AF110" s="274"/>
      <c r="AG110" s="274"/>
      <c r="AH110" s="274"/>
      <c r="AI110" s="274"/>
      <c r="AJ110" s="274"/>
      <c r="AK110" s="274"/>
      <c r="AL110" s="274"/>
      <c r="AM110" s="274"/>
      <c r="AN110" s="274"/>
      <c r="AO110" s="274"/>
      <c r="AP110" s="274"/>
      <c r="AQ110" s="274"/>
      <c r="AR110" s="274"/>
      <c r="AS110" s="274"/>
      <c r="AT110" s="274"/>
      <c r="AU110" s="274"/>
      <c r="AV110" s="274"/>
      <c r="AW110" s="274"/>
      <c r="AX110" s="274"/>
      <c r="AY110" s="274"/>
      <c r="AZ110" s="274"/>
      <c r="BA110" s="274"/>
      <c r="BB110" s="274"/>
      <c r="BC110" s="274"/>
      <c r="BD110" s="274"/>
      <c r="BE110" s="274"/>
      <c r="BF110" s="274"/>
      <c r="BG110" s="274"/>
      <c r="BH110" s="274"/>
      <c r="BI110" s="274"/>
      <c r="BJ110" s="274"/>
      <c r="BK110" s="274"/>
    </row>
    <row r="111" spans="1:63" x14ac:dyDescent="0.25">
      <c r="A111" s="67" t="s">
        <v>991</v>
      </c>
      <c r="B111" s="67">
        <v>20</v>
      </c>
      <c r="D111" s="274">
        <v>0</v>
      </c>
      <c r="E111" s="274">
        <v>0</v>
      </c>
      <c r="F111" s="274">
        <v>0</v>
      </c>
      <c r="G111" s="274">
        <v>0</v>
      </c>
      <c r="H111" s="274">
        <v>1</v>
      </c>
      <c r="I111" s="274">
        <v>1</v>
      </c>
      <c r="J111" s="274">
        <v>1</v>
      </c>
      <c r="K111" s="274">
        <v>1</v>
      </c>
      <c r="L111" s="274">
        <v>1</v>
      </c>
      <c r="M111" s="274">
        <v>1</v>
      </c>
      <c r="N111" s="274">
        <v>1</v>
      </c>
      <c r="O111" s="274">
        <v>1</v>
      </c>
      <c r="P111" s="274">
        <v>1</v>
      </c>
      <c r="Q111" s="274">
        <v>1</v>
      </c>
      <c r="R111" s="274">
        <v>2</v>
      </c>
      <c r="S111" s="274">
        <v>2</v>
      </c>
      <c r="T111" s="274">
        <v>2</v>
      </c>
      <c r="U111" s="274">
        <v>2</v>
      </c>
      <c r="V111" s="274">
        <v>2</v>
      </c>
      <c r="W111" s="274">
        <v>2</v>
      </c>
      <c r="X111" s="274"/>
      <c r="Y111" s="274"/>
      <c r="Z111" s="274"/>
      <c r="AA111" s="274"/>
      <c r="AB111" s="274"/>
      <c r="AC111" s="274"/>
      <c r="AD111" s="274"/>
      <c r="AE111" s="274"/>
      <c r="AF111" s="274"/>
      <c r="AG111" s="274"/>
      <c r="AH111" s="274"/>
      <c r="AI111" s="274"/>
      <c r="AJ111" s="274"/>
      <c r="AK111" s="274"/>
      <c r="AL111" s="274"/>
      <c r="AM111" s="274"/>
      <c r="AN111" s="274"/>
      <c r="AO111" s="274"/>
      <c r="AP111" s="274"/>
      <c r="AQ111" s="274"/>
      <c r="AR111" s="274"/>
      <c r="AS111" s="274"/>
      <c r="AT111" s="274"/>
      <c r="AU111" s="274"/>
      <c r="AV111" s="274"/>
      <c r="AW111" s="274"/>
      <c r="AX111" s="274"/>
      <c r="AY111" s="274"/>
      <c r="AZ111" s="274"/>
      <c r="BA111" s="274"/>
      <c r="BB111" s="274"/>
      <c r="BC111" s="274"/>
      <c r="BD111" s="274"/>
      <c r="BE111" s="274"/>
      <c r="BF111" s="274"/>
      <c r="BG111" s="274"/>
      <c r="BH111" s="274"/>
      <c r="BI111" s="274"/>
      <c r="BJ111" s="274"/>
      <c r="BK111" s="274"/>
    </row>
    <row r="112" spans="1:63" x14ac:dyDescent="0.25">
      <c r="A112" s="67" t="s">
        <v>1318</v>
      </c>
      <c r="D112" s="45">
        <v>15</v>
      </c>
      <c r="E112" s="53">
        <v>0.1</v>
      </c>
      <c r="F112" s="45">
        <v>30</v>
      </c>
      <c r="G112" s="53">
        <v>0.2</v>
      </c>
      <c r="H112" s="45">
        <v>49</v>
      </c>
      <c r="I112" s="53">
        <v>0.3</v>
      </c>
      <c r="J112" s="45">
        <v>68</v>
      </c>
      <c r="K112" s="53">
        <v>0.4</v>
      </c>
      <c r="L112" s="45">
        <v>90</v>
      </c>
      <c r="M112" s="53">
        <v>0.5</v>
      </c>
      <c r="N112" s="45">
        <v>120</v>
      </c>
      <c r="O112" s="53">
        <v>0.6</v>
      </c>
      <c r="P112" s="45">
        <v>165</v>
      </c>
      <c r="Q112" s="53">
        <v>0.7</v>
      </c>
      <c r="R112" s="45">
        <v>225</v>
      </c>
      <c r="S112" s="53">
        <v>0.8</v>
      </c>
      <c r="T112" s="45">
        <v>300</v>
      </c>
      <c r="U112" s="53">
        <v>0.9</v>
      </c>
      <c r="V112" s="45">
        <v>450</v>
      </c>
      <c r="W112" s="53">
        <v>1</v>
      </c>
      <c r="X112" s="274"/>
      <c r="Y112" s="274"/>
      <c r="Z112" s="274"/>
      <c r="AA112" s="274"/>
      <c r="AB112" s="274"/>
      <c r="AC112" s="274"/>
      <c r="AD112" s="274"/>
      <c r="AE112" s="274"/>
      <c r="AF112" s="274"/>
      <c r="AG112" s="274"/>
      <c r="AH112" s="274"/>
      <c r="AI112" s="274"/>
      <c r="AJ112" s="274"/>
      <c r="AK112" s="274"/>
      <c r="AL112" s="274"/>
      <c r="AM112" s="274"/>
      <c r="AN112" s="274"/>
      <c r="AO112" s="274"/>
      <c r="AP112" s="274"/>
      <c r="AQ112" s="274"/>
      <c r="AR112" s="274"/>
      <c r="AS112" s="274"/>
      <c r="AT112" s="274"/>
      <c r="AU112" s="274"/>
      <c r="AV112" s="274"/>
      <c r="AW112" s="274"/>
      <c r="AX112" s="274"/>
      <c r="AY112" s="274"/>
      <c r="AZ112" s="274"/>
      <c r="BA112" s="274"/>
      <c r="BB112" s="274"/>
      <c r="BC112" s="274"/>
      <c r="BD112" s="274"/>
      <c r="BE112" s="274"/>
      <c r="BF112" s="274"/>
      <c r="BG112" s="274"/>
      <c r="BH112" s="274"/>
      <c r="BI112" s="274"/>
      <c r="BJ112" s="274"/>
      <c r="BK112" s="274"/>
    </row>
    <row r="113" spans="1:63" x14ac:dyDescent="0.25">
      <c r="A113" s="67" t="s">
        <v>1792</v>
      </c>
      <c r="B113" s="67">
        <v>60</v>
      </c>
      <c r="C113" s="67" t="s">
        <v>1793</v>
      </c>
      <c r="D113" s="53">
        <v>0.1</v>
      </c>
      <c r="E113" s="53">
        <v>0.1</v>
      </c>
      <c r="F113" s="53">
        <v>0.1</v>
      </c>
      <c r="G113" s="53">
        <v>0.1</v>
      </c>
      <c r="H113" s="53">
        <v>0.11</v>
      </c>
      <c r="I113" s="53">
        <v>0.11</v>
      </c>
      <c r="J113" s="53">
        <v>0.11</v>
      </c>
      <c r="K113" s="53">
        <v>0.11</v>
      </c>
      <c r="L113" s="53">
        <v>0.11</v>
      </c>
      <c r="M113" s="53">
        <v>0.11</v>
      </c>
      <c r="N113" s="53">
        <v>0.11</v>
      </c>
      <c r="O113" s="53">
        <v>0.11</v>
      </c>
      <c r="P113" s="53">
        <v>0.11</v>
      </c>
      <c r="Q113" s="53">
        <v>0.11</v>
      </c>
      <c r="R113" s="53">
        <v>0.12</v>
      </c>
      <c r="S113" s="53">
        <v>0.12</v>
      </c>
      <c r="T113" s="53">
        <v>0.12</v>
      </c>
      <c r="U113" s="53">
        <v>0.12</v>
      </c>
      <c r="V113" s="53">
        <v>0.12</v>
      </c>
      <c r="W113" s="53">
        <v>0.12</v>
      </c>
      <c r="X113" s="75">
        <v>0.12</v>
      </c>
      <c r="Y113" s="75">
        <v>0.12</v>
      </c>
      <c r="Z113" s="75">
        <v>0.12</v>
      </c>
      <c r="AA113" s="75">
        <v>0.12</v>
      </c>
      <c r="AB113" s="75">
        <v>0.13</v>
      </c>
      <c r="AC113" s="75">
        <v>0.13</v>
      </c>
      <c r="AD113" s="75">
        <v>0.13</v>
      </c>
      <c r="AE113" s="75">
        <v>0.13</v>
      </c>
      <c r="AF113" s="75">
        <v>0.13</v>
      </c>
      <c r="AG113" s="75">
        <v>0.14000000000000001</v>
      </c>
      <c r="AH113" s="75">
        <v>0.14000000000000001</v>
      </c>
      <c r="AI113" s="75">
        <v>0.14000000000000001</v>
      </c>
      <c r="AJ113" s="75">
        <v>0.14000000000000001</v>
      </c>
      <c r="AK113" s="75">
        <v>0.14000000000000001</v>
      </c>
      <c r="AL113" s="75">
        <v>0.15</v>
      </c>
      <c r="AM113" s="75">
        <v>0.15</v>
      </c>
      <c r="AN113" s="75">
        <v>0.15</v>
      </c>
      <c r="AO113" s="75">
        <v>0.15</v>
      </c>
      <c r="AP113" s="75">
        <v>0.15</v>
      </c>
      <c r="AQ113" s="75">
        <v>0.16</v>
      </c>
      <c r="AR113" s="75">
        <v>0.16</v>
      </c>
      <c r="AS113" s="75">
        <v>0.16</v>
      </c>
      <c r="AT113" s="75">
        <v>0.16</v>
      </c>
      <c r="AU113" s="75">
        <v>0.16</v>
      </c>
      <c r="AV113" s="75">
        <v>0.17</v>
      </c>
      <c r="AW113" s="75">
        <v>0.17</v>
      </c>
      <c r="AX113" s="75">
        <v>0.17</v>
      </c>
      <c r="AY113" s="75">
        <v>0.17</v>
      </c>
      <c r="AZ113" s="75">
        <v>0.17</v>
      </c>
      <c r="BA113" s="75">
        <v>0.18</v>
      </c>
      <c r="BB113" s="75">
        <v>0.18</v>
      </c>
      <c r="BC113" s="75">
        <v>0.18</v>
      </c>
      <c r="BD113" s="75">
        <v>0.18</v>
      </c>
      <c r="BE113" s="75">
        <v>0.18</v>
      </c>
      <c r="BF113" s="75">
        <v>0.19</v>
      </c>
      <c r="BG113" s="75">
        <v>0.19</v>
      </c>
      <c r="BH113" s="75">
        <v>0.19</v>
      </c>
      <c r="BI113" s="75">
        <v>0.19</v>
      </c>
      <c r="BJ113" s="75">
        <v>0.19</v>
      </c>
      <c r="BK113" s="75">
        <v>0.2</v>
      </c>
    </row>
    <row r="114" spans="1:63" x14ac:dyDescent="0.25">
      <c r="A114" s="67" t="s">
        <v>1794</v>
      </c>
      <c r="B114" s="67">
        <v>60</v>
      </c>
      <c r="D114" s="274">
        <v>0</v>
      </c>
      <c r="E114" s="274">
        <v>0</v>
      </c>
      <c r="F114" s="274">
        <v>0</v>
      </c>
      <c r="G114" s="274">
        <v>0</v>
      </c>
      <c r="H114" s="274">
        <v>1</v>
      </c>
      <c r="I114" s="274">
        <v>1</v>
      </c>
      <c r="J114" s="274">
        <v>1</v>
      </c>
      <c r="K114" s="274">
        <v>1</v>
      </c>
      <c r="L114" s="274">
        <v>1</v>
      </c>
      <c r="M114" s="274">
        <v>2</v>
      </c>
      <c r="N114" s="274">
        <v>2</v>
      </c>
      <c r="O114" s="274">
        <v>2</v>
      </c>
      <c r="P114" s="274">
        <v>2</v>
      </c>
      <c r="Q114" s="274">
        <v>2</v>
      </c>
      <c r="R114" s="274">
        <v>2</v>
      </c>
      <c r="S114" s="274">
        <v>2</v>
      </c>
      <c r="T114" s="274">
        <v>2</v>
      </c>
      <c r="U114" s="274">
        <v>2</v>
      </c>
      <c r="V114" s="274">
        <v>2</v>
      </c>
      <c r="W114" s="274">
        <v>3</v>
      </c>
      <c r="X114" s="274">
        <v>3</v>
      </c>
      <c r="Y114" s="274">
        <v>3</v>
      </c>
      <c r="Z114" s="274">
        <v>3</v>
      </c>
      <c r="AA114" s="274">
        <v>3</v>
      </c>
      <c r="AB114" s="274">
        <v>3</v>
      </c>
      <c r="AC114" s="274">
        <v>3</v>
      </c>
      <c r="AD114" s="274">
        <v>3</v>
      </c>
      <c r="AE114" s="274">
        <v>3</v>
      </c>
      <c r="AF114" s="274">
        <v>3</v>
      </c>
      <c r="AG114" s="274">
        <v>4</v>
      </c>
      <c r="AH114" s="274">
        <v>4</v>
      </c>
      <c r="AI114" s="274">
        <v>4</v>
      </c>
      <c r="AJ114" s="274">
        <v>4</v>
      </c>
      <c r="AK114" s="274">
        <v>4</v>
      </c>
      <c r="AL114" s="274">
        <v>4</v>
      </c>
      <c r="AM114" s="274">
        <v>4</v>
      </c>
      <c r="AN114" s="274">
        <v>4</v>
      </c>
      <c r="AO114" s="274">
        <v>4</v>
      </c>
      <c r="AP114" s="274">
        <v>4</v>
      </c>
      <c r="AQ114" s="274">
        <v>5</v>
      </c>
      <c r="AR114" s="274">
        <v>5</v>
      </c>
      <c r="AS114" s="274">
        <v>5</v>
      </c>
      <c r="AT114" s="274">
        <v>5</v>
      </c>
      <c r="AU114" s="274">
        <v>5</v>
      </c>
      <c r="AV114" s="274">
        <v>6</v>
      </c>
      <c r="AW114" s="274">
        <v>6</v>
      </c>
      <c r="AX114" s="274">
        <v>6</v>
      </c>
      <c r="AY114" s="274">
        <v>6</v>
      </c>
      <c r="AZ114" s="274">
        <v>6</v>
      </c>
      <c r="BA114" s="274">
        <v>6</v>
      </c>
      <c r="BB114" s="274">
        <v>6</v>
      </c>
      <c r="BC114" s="274">
        <v>6</v>
      </c>
      <c r="BD114" s="274">
        <v>6</v>
      </c>
      <c r="BE114" s="274">
        <v>6</v>
      </c>
      <c r="BF114" s="274">
        <v>7</v>
      </c>
      <c r="BG114" s="274">
        <v>7</v>
      </c>
      <c r="BH114" s="274">
        <v>7</v>
      </c>
      <c r="BI114" s="274">
        <v>7</v>
      </c>
      <c r="BJ114" s="274">
        <v>7</v>
      </c>
      <c r="BK114" s="274">
        <v>7</v>
      </c>
    </row>
    <row r="115" spans="1:63" x14ac:dyDescent="0.25">
      <c r="A115" s="67" t="s">
        <v>1795</v>
      </c>
      <c r="D115" s="45">
        <v>2200</v>
      </c>
      <c r="E115" s="53">
        <v>0.65</v>
      </c>
      <c r="F115" s="45">
        <v>4400</v>
      </c>
      <c r="G115" s="53">
        <v>1.3</v>
      </c>
      <c r="H115" s="45">
        <v>7150</v>
      </c>
      <c r="I115" s="53">
        <v>1.95</v>
      </c>
      <c r="J115" s="45">
        <v>9900</v>
      </c>
      <c r="K115" s="53">
        <v>2.6</v>
      </c>
      <c r="L115" s="45">
        <v>13200</v>
      </c>
      <c r="M115" s="53">
        <v>3.25</v>
      </c>
      <c r="N115" s="45">
        <v>17600</v>
      </c>
      <c r="O115" s="53">
        <v>3.9</v>
      </c>
      <c r="P115" s="45">
        <v>24200</v>
      </c>
      <c r="Q115" s="53">
        <v>4.55</v>
      </c>
      <c r="R115" s="45">
        <v>33000</v>
      </c>
      <c r="S115" s="53">
        <v>5.2</v>
      </c>
      <c r="T115" s="45">
        <v>44000</v>
      </c>
      <c r="U115" s="53">
        <v>5.85</v>
      </c>
      <c r="V115" s="45">
        <v>66000</v>
      </c>
      <c r="W115" s="53">
        <v>6.5</v>
      </c>
      <c r="X115" s="274"/>
      <c r="Y115" s="274"/>
      <c r="Z115" s="274"/>
      <c r="AA115" s="274"/>
      <c r="AB115" s="274"/>
      <c r="AC115" s="274"/>
      <c r="AD115" s="274"/>
      <c r="AE115" s="274"/>
      <c r="AF115" s="274"/>
      <c r="AG115" s="274"/>
      <c r="AH115" s="274"/>
      <c r="AI115" s="274"/>
      <c r="AJ115" s="274"/>
      <c r="AK115" s="274"/>
      <c r="AL115" s="274"/>
      <c r="AM115" s="274"/>
      <c r="AN115" s="274"/>
      <c r="AO115" s="274"/>
      <c r="AP115" s="274"/>
      <c r="AQ115" s="274"/>
      <c r="AR115" s="274"/>
      <c r="AS115" s="274"/>
      <c r="AT115" s="274"/>
      <c r="AU115" s="274"/>
      <c r="AV115" s="274"/>
      <c r="AW115" s="274"/>
      <c r="AX115" s="274"/>
      <c r="AY115" s="274"/>
      <c r="AZ115" s="274"/>
      <c r="BA115" s="274"/>
      <c r="BB115" s="274"/>
      <c r="BC115" s="274"/>
      <c r="BD115" s="274"/>
      <c r="BE115" s="274"/>
      <c r="BF115" s="274"/>
      <c r="BG115" s="274"/>
      <c r="BH115" s="274"/>
      <c r="BI115" s="274"/>
      <c r="BJ115" s="274"/>
      <c r="BK115" s="274"/>
    </row>
    <row r="116" spans="1:63" x14ac:dyDescent="0.25">
      <c r="A116" s="67" t="s">
        <v>1801</v>
      </c>
      <c r="B116" s="67">
        <v>60</v>
      </c>
      <c r="C116" s="67" t="s">
        <v>1804</v>
      </c>
      <c r="D116" s="466">
        <v>0.1</v>
      </c>
      <c r="E116" s="466">
        <v>0.1</v>
      </c>
      <c r="F116" s="466">
        <v>0.1</v>
      </c>
      <c r="G116" s="466">
        <v>0.1</v>
      </c>
      <c r="H116" s="466">
        <v>0.1</v>
      </c>
      <c r="I116" s="466">
        <v>0.11</v>
      </c>
      <c r="J116" s="466">
        <v>0.11</v>
      </c>
      <c r="K116" s="466">
        <v>0.11</v>
      </c>
      <c r="L116" s="466">
        <v>0.11</v>
      </c>
      <c r="M116" s="466">
        <v>0.11</v>
      </c>
      <c r="N116" s="466">
        <v>0.12</v>
      </c>
      <c r="O116" s="466">
        <v>0.12</v>
      </c>
      <c r="P116" s="466">
        <v>0.12</v>
      </c>
      <c r="Q116" s="466">
        <v>0.12</v>
      </c>
      <c r="R116" s="466">
        <v>0.12</v>
      </c>
      <c r="S116" s="466">
        <v>0.13</v>
      </c>
      <c r="T116" s="466">
        <v>0.13</v>
      </c>
      <c r="U116" s="466">
        <v>0.13</v>
      </c>
      <c r="V116" s="466">
        <v>0.13</v>
      </c>
      <c r="W116" s="466">
        <v>0.13</v>
      </c>
      <c r="X116" s="466">
        <v>0.16</v>
      </c>
      <c r="Y116" s="466">
        <v>0.16</v>
      </c>
      <c r="Z116" s="466">
        <v>0.16</v>
      </c>
      <c r="AA116" s="466">
        <v>0.16</v>
      </c>
      <c r="AB116" s="466">
        <v>0.16</v>
      </c>
      <c r="AC116" s="466">
        <v>0.17</v>
      </c>
      <c r="AD116" s="466">
        <v>0.17</v>
      </c>
      <c r="AE116" s="466">
        <v>0.17</v>
      </c>
      <c r="AF116" s="466">
        <v>0.17</v>
      </c>
      <c r="AG116" s="466">
        <v>0.17</v>
      </c>
      <c r="AH116" s="466">
        <v>0.18</v>
      </c>
      <c r="AI116" s="466">
        <v>0.18</v>
      </c>
      <c r="AJ116" s="466">
        <v>0.18</v>
      </c>
      <c r="AK116" s="466">
        <v>0.18</v>
      </c>
      <c r="AL116" s="466">
        <v>0.18</v>
      </c>
      <c r="AM116" s="466">
        <v>0.19</v>
      </c>
      <c r="AN116" s="466">
        <v>0.19</v>
      </c>
      <c r="AO116" s="466">
        <v>0.19</v>
      </c>
      <c r="AP116" s="466">
        <v>0.19</v>
      </c>
      <c r="AQ116" s="466">
        <v>0.19</v>
      </c>
      <c r="AR116" s="466">
        <v>0.22</v>
      </c>
      <c r="AS116" s="466">
        <v>0.22</v>
      </c>
      <c r="AT116" s="466">
        <v>0.22</v>
      </c>
      <c r="AU116" s="466">
        <v>0.22</v>
      </c>
      <c r="AV116" s="466">
        <v>0.22</v>
      </c>
      <c r="AW116" s="466">
        <v>0.23</v>
      </c>
      <c r="AX116" s="466">
        <v>0.23</v>
      </c>
      <c r="AY116" s="466">
        <v>0.23</v>
      </c>
      <c r="AZ116" s="466">
        <v>0.23</v>
      </c>
      <c r="BA116" s="466">
        <v>0.23</v>
      </c>
      <c r="BB116" s="466">
        <v>0.24</v>
      </c>
      <c r="BC116" s="466">
        <v>0.24</v>
      </c>
      <c r="BD116" s="466">
        <v>0.24</v>
      </c>
      <c r="BE116" s="466">
        <v>0.24</v>
      </c>
      <c r="BF116" s="466">
        <v>0.24</v>
      </c>
      <c r="BG116" s="466">
        <v>0.25</v>
      </c>
      <c r="BH116" s="466">
        <v>0.25</v>
      </c>
      <c r="BI116" s="466">
        <v>0.25</v>
      </c>
      <c r="BJ116" s="466">
        <v>0.25</v>
      </c>
      <c r="BK116" s="466">
        <v>0.25</v>
      </c>
    </row>
    <row r="117" spans="1:63" x14ac:dyDescent="0.25">
      <c r="A117" s="67" t="s">
        <v>1802</v>
      </c>
      <c r="B117" s="67">
        <v>60</v>
      </c>
      <c r="D117" s="45">
        <v>0</v>
      </c>
      <c r="E117" s="53">
        <v>0</v>
      </c>
      <c r="F117" s="45">
        <v>0</v>
      </c>
      <c r="G117" s="53">
        <v>0</v>
      </c>
      <c r="H117" s="45">
        <v>1</v>
      </c>
      <c r="I117" s="53">
        <v>0.01</v>
      </c>
      <c r="J117" s="45">
        <v>1</v>
      </c>
      <c r="K117" s="53">
        <v>0.01</v>
      </c>
      <c r="L117" s="45">
        <v>1</v>
      </c>
      <c r="M117" s="53">
        <v>0.02</v>
      </c>
      <c r="N117" s="45">
        <v>2</v>
      </c>
      <c r="O117" s="53">
        <v>0.02</v>
      </c>
      <c r="P117" s="45">
        <v>2</v>
      </c>
      <c r="Q117" s="53">
        <v>0.02</v>
      </c>
      <c r="R117" s="45">
        <v>2</v>
      </c>
      <c r="S117" s="53">
        <v>0.02</v>
      </c>
      <c r="T117" s="45">
        <v>2</v>
      </c>
      <c r="U117" s="53">
        <v>0.02</v>
      </c>
      <c r="V117" s="45">
        <v>2</v>
      </c>
      <c r="W117" s="53">
        <v>0.03</v>
      </c>
      <c r="X117" s="274">
        <v>3</v>
      </c>
      <c r="Y117" s="274">
        <v>3</v>
      </c>
      <c r="Z117" s="274">
        <v>3</v>
      </c>
      <c r="AA117" s="274">
        <v>3</v>
      </c>
      <c r="AB117" s="274">
        <v>3</v>
      </c>
      <c r="AC117" s="274">
        <v>3</v>
      </c>
      <c r="AD117" s="274">
        <v>3</v>
      </c>
      <c r="AE117" s="274">
        <v>3</v>
      </c>
      <c r="AF117" s="274">
        <v>3</v>
      </c>
      <c r="AG117" s="274">
        <v>3</v>
      </c>
      <c r="AH117" s="274">
        <v>3</v>
      </c>
      <c r="AI117" s="274">
        <v>3</v>
      </c>
      <c r="AJ117" s="274">
        <v>3</v>
      </c>
      <c r="AK117" s="274">
        <v>3</v>
      </c>
      <c r="AL117" s="274">
        <v>4</v>
      </c>
      <c r="AM117" s="274">
        <v>4</v>
      </c>
      <c r="AN117" s="274">
        <v>4</v>
      </c>
      <c r="AO117" s="274">
        <v>4</v>
      </c>
      <c r="AP117" s="274">
        <v>4</v>
      </c>
      <c r="AQ117" s="274">
        <v>4</v>
      </c>
      <c r="AR117" s="274">
        <v>4</v>
      </c>
      <c r="AS117" s="274">
        <v>4</v>
      </c>
      <c r="AT117" s="274">
        <v>4</v>
      </c>
      <c r="AU117" s="274">
        <v>4</v>
      </c>
      <c r="AV117" s="274">
        <v>5</v>
      </c>
      <c r="AW117" s="274">
        <v>5</v>
      </c>
      <c r="AX117" s="274">
        <v>5</v>
      </c>
      <c r="AY117" s="274">
        <v>5</v>
      </c>
      <c r="AZ117" s="274">
        <v>5</v>
      </c>
      <c r="BA117" s="274">
        <v>5</v>
      </c>
      <c r="BB117" s="274">
        <v>5</v>
      </c>
      <c r="BC117" s="274">
        <v>5</v>
      </c>
      <c r="BD117" s="274">
        <v>5</v>
      </c>
      <c r="BE117" s="274">
        <v>5</v>
      </c>
      <c r="BF117" s="274">
        <v>6</v>
      </c>
      <c r="BG117" s="274">
        <v>6</v>
      </c>
      <c r="BH117" s="274">
        <v>6</v>
      </c>
      <c r="BI117" s="274">
        <v>6</v>
      </c>
      <c r="BJ117" s="274">
        <v>6</v>
      </c>
      <c r="BK117" s="274">
        <v>6</v>
      </c>
    </row>
    <row r="118" spans="1:63" x14ac:dyDescent="0.25">
      <c r="A118" s="67" t="s">
        <v>1803</v>
      </c>
      <c r="D118" s="45">
        <v>1800</v>
      </c>
      <c r="E118" s="53">
        <v>0.6</v>
      </c>
      <c r="F118" s="45">
        <v>3600</v>
      </c>
      <c r="G118" s="53">
        <v>1.2</v>
      </c>
      <c r="H118" s="45">
        <v>5850</v>
      </c>
      <c r="I118" s="53">
        <v>1.8</v>
      </c>
      <c r="J118" s="45">
        <v>8100</v>
      </c>
      <c r="K118" s="53">
        <v>2.4</v>
      </c>
      <c r="L118" s="45">
        <v>10800</v>
      </c>
      <c r="M118" s="53">
        <v>3</v>
      </c>
      <c r="N118" s="45">
        <v>14400</v>
      </c>
      <c r="O118" s="53">
        <v>3.6</v>
      </c>
      <c r="P118" s="45">
        <v>19800</v>
      </c>
      <c r="Q118" s="53">
        <v>4.2</v>
      </c>
      <c r="R118" s="45">
        <v>27000</v>
      </c>
      <c r="S118" s="53">
        <v>4.8</v>
      </c>
      <c r="T118" s="45">
        <v>36000</v>
      </c>
      <c r="U118" s="53">
        <v>5.4</v>
      </c>
      <c r="V118" s="45">
        <v>54000</v>
      </c>
      <c r="W118" s="53">
        <v>6</v>
      </c>
      <c r="X118" s="274"/>
      <c r="Y118" s="274"/>
      <c r="Z118" s="274"/>
      <c r="AA118" s="274"/>
      <c r="AB118" s="274"/>
      <c r="AC118" s="274"/>
      <c r="AD118" s="274"/>
      <c r="AE118" s="274"/>
      <c r="AF118" s="274"/>
      <c r="AG118" s="274"/>
      <c r="AH118" s="274"/>
      <c r="AI118" s="274"/>
      <c r="AJ118" s="274"/>
      <c r="AK118" s="274"/>
      <c r="AL118" s="274"/>
      <c r="AM118" s="274"/>
      <c r="AN118" s="274"/>
      <c r="AO118" s="274"/>
      <c r="AP118" s="274"/>
      <c r="AQ118" s="274"/>
      <c r="AR118" s="274"/>
      <c r="AS118" s="274"/>
      <c r="AT118" s="274"/>
      <c r="AU118" s="274"/>
      <c r="AV118" s="274"/>
      <c r="AW118" s="274"/>
      <c r="AX118" s="274"/>
      <c r="AY118" s="274"/>
      <c r="AZ118" s="274"/>
      <c r="BA118" s="274"/>
      <c r="BB118" s="274"/>
      <c r="BC118" s="274"/>
      <c r="BD118" s="274"/>
      <c r="BE118" s="274"/>
      <c r="BF118" s="274"/>
      <c r="BG118" s="274"/>
      <c r="BH118" s="274"/>
      <c r="BI118" s="274"/>
      <c r="BJ118" s="274"/>
      <c r="BK118" s="274"/>
    </row>
    <row r="119" spans="1:63" x14ac:dyDescent="0.25">
      <c r="A119" s="67" t="s">
        <v>1046</v>
      </c>
      <c r="B119" s="67">
        <v>60</v>
      </c>
      <c r="C119" s="67" t="s">
        <v>1208</v>
      </c>
      <c r="D119" s="75">
        <v>860</v>
      </c>
      <c r="E119" s="75">
        <v>870</v>
      </c>
      <c r="F119" s="75">
        <v>880</v>
      </c>
      <c r="G119" s="75">
        <v>890</v>
      </c>
      <c r="H119" s="75">
        <v>900</v>
      </c>
      <c r="I119" s="75">
        <v>910</v>
      </c>
      <c r="J119" s="75">
        <v>920</v>
      </c>
      <c r="K119" s="75">
        <v>930</v>
      </c>
      <c r="L119" s="75">
        <v>940</v>
      </c>
      <c r="M119" s="75">
        <v>950</v>
      </c>
      <c r="N119" s="75">
        <v>960</v>
      </c>
      <c r="O119" s="75">
        <v>970</v>
      </c>
      <c r="P119" s="75">
        <v>980</v>
      </c>
      <c r="Q119" s="75">
        <v>990</v>
      </c>
      <c r="R119" s="75">
        <v>1000</v>
      </c>
      <c r="S119" s="75">
        <v>1160</v>
      </c>
      <c r="T119" s="75">
        <v>1170</v>
      </c>
      <c r="U119" s="75">
        <v>1180</v>
      </c>
      <c r="V119" s="75">
        <v>1190</v>
      </c>
      <c r="W119" s="75">
        <v>1200</v>
      </c>
      <c r="X119" s="75">
        <v>1210</v>
      </c>
      <c r="Y119" s="75">
        <v>1220</v>
      </c>
      <c r="Z119" s="75">
        <v>1230</v>
      </c>
      <c r="AA119" s="75">
        <v>1240</v>
      </c>
      <c r="AB119" s="75">
        <v>1250</v>
      </c>
      <c r="AC119" s="75">
        <v>1260</v>
      </c>
      <c r="AD119" s="75">
        <v>1270</v>
      </c>
      <c r="AE119" s="75">
        <v>1280</v>
      </c>
      <c r="AF119" s="75">
        <v>1290</v>
      </c>
      <c r="AG119" s="75">
        <v>1300</v>
      </c>
      <c r="AH119" s="75">
        <v>1720</v>
      </c>
      <c r="AI119" s="75">
        <v>1740</v>
      </c>
      <c r="AJ119" s="75">
        <v>1760</v>
      </c>
      <c r="AK119" s="75">
        <v>1780</v>
      </c>
      <c r="AL119" s="75">
        <v>1800</v>
      </c>
      <c r="AM119" s="75">
        <v>1820</v>
      </c>
      <c r="AN119" s="75">
        <v>1840</v>
      </c>
      <c r="AO119" s="75">
        <v>1860</v>
      </c>
      <c r="AP119" s="75">
        <v>1880</v>
      </c>
      <c r="AQ119" s="75">
        <v>1900</v>
      </c>
      <c r="AR119" s="75">
        <v>1920</v>
      </c>
      <c r="AS119" s="75">
        <v>1940</v>
      </c>
      <c r="AT119" s="75">
        <v>1960</v>
      </c>
      <c r="AU119" s="75">
        <v>1980</v>
      </c>
      <c r="AV119" s="75">
        <v>2000</v>
      </c>
      <c r="AW119" s="75">
        <v>2220</v>
      </c>
      <c r="AX119" s="75">
        <v>2240</v>
      </c>
      <c r="AY119" s="75">
        <v>2260</v>
      </c>
      <c r="AZ119" s="75">
        <v>2280</v>
      </c>
      <c r="BA119" s="75">
        <v>2300</v>
      </c>
      <c r="BB119" s="75">
        <v>2320</v>
      </c>
      <c r="BC119" s="75">
        <v>2340</v>
      </c>
      <c r="BD119" s="75">
        <v>2360</v>
      </c>
      <c r="BE119" s="75">
        <v>2380</v>
      </c>
      <c r="BF119" s="75">
        <v>2400</v>
      </c>
      <c r="BG119" s="75">
        <v>2420</v>
      </c>
      <c r="BH119" s="75">
        <v>2440</v>
      </c>
      <c r="BI119" s="75">
        <v>2460</v>
      </c>
      <c r="BJ119" s="75">
        <v>2480</v>
      </c>
      <c r="BK119" s="75">
        <v>2500</v>
      </c>
    </row>
    <row r="120" spans="1:63" x14ac:dyDescent="0.25">
      <c r="A120" s="67" t="s">
        <v>992</v>
      </c>
      <c r="B120" s="67">
        <v>60</v>
      </c>
      <c r="D120" s="274">
        <v>0</v>
      </c>
      <c r="E120" s="274">
        <v>0</v>
      </c>
      <c r="F120" s="274">
        <v>0</v>
      </c>
      <c r="G120" s="274">
        <v>0</v>
      </c>
      <c r="H120" s="274">
        <v>1</v>
      </c>
      <c r="I120" s="274">
        <v>1</v>
      </c>
      <c r="J120" s="274">
        <v>1</v>
      </c>
      <c r="K120" s="274">
        <v>1</v>
      </c>
      <c r="L120" s="274">
        <v>1</v>
      </c>
      <c r="M120" s="274">
        <v>1</v>
      </c>
      <c r="N120" s="274">
        <v>1</v>
      </c>
      <c r="O120" s="274">
        <v>1</v>
      </c>
      <c r="P120" s="274">
        <v>1</v>
      </c>
      <c r="Q120" s="274">
        <v>1</v>
      </c>
      <c r="R120" s="274">
        <v>2</v>
      </c>
      <c r="S120" s="274">
        <v>2</v>
      </c>
      <c r="T120" s="274">
        <v>2</v>
      </c>
      <c r="U120" s="274">
        <v>2</v>
      </c>
      <c r="V120" s="274">
        <v>2</v>
      </c>
      <c r="W120" s="274">
        <v>2</v>
      </c>
      <c r="X120" s="274">
        <v>2</v>
      </c>
      <c r="Y120" s="274">
        <v>2</v>
      </c>
      <c r="Z120" s="274">
        <v>2</v>
      </c>
      <c r="AA120" s="274">
        <v>2</v>
      </c>
      <c r="AB120" s="274">
        <v>2</v>
      </c>
      <c r="AC120" s="274">
        <v>2</v>
      </c>
      <c r="AD120" s="274">
        <v>2</v>
      </c>
      <c r="AE120" s="274">
        <v>2</v>
      </c>
      <c r="AF120" s="274">
        <v>2</v>
      </c>
      <c r="AG120" s="274">
        <v>3</v>
      </c>
      <c r="AH120" s="274">
        <v>3</v>
      </c>
      <c r="AI120" s="274">
        <v>3</v>
      </c>
      <c r="AJ120" s="274">
        <v>3</v>
      </c>
      <c r="AK120" s="274">
        <v>3</v>
      </c>
      <c r="AL120" s="274">
        <v>3</v>
      </c>
      <c r="AM120" s="274">
        <v>3</v>
      </c>
      <c r="AN120" s="274">
        <v>3</v>
      </c>
      <c r="AO120" s="274">
        <v>3</v>
      </c>
      <c r="AP120" s="274">
        <v>3</v>
      </c>
      <c r="AQ120" s="274">
        <v>3</v>
      </c>
      <c r="AR120" s="274">
        <v>3</v>
      </c>
      <c r="AS120" s="274">
        <v>3</v>
      </c>
      <c r="AT120" s="274">
        <v>3</v>
      </c>
      <c r="AU120" s="274">
        <v>3</v>
      </c>
      <c r="AV120" s="274">
        <v>4</v>
      </c>
      <c r="AW120" s="274">
        <v>4</v>
      </c>
      <c r="AX120" s="274">
        <v>4</v>
      </c>
      <c r="AY120" s="274">
        <v>4</v>
      </c>
      <c r="AZ120" s="274">
        <v>4</v>
      </c>
      <c r="BA120" s="274">
        <v>4</v>
      </c>
      <c r="BB120" s="274">
        <v>4</v>
      </c>
      <c r="BC120" s="274">
        <v>4</v>
      </c>
      <c r="BD120" s="274">
        <v>4</v>
      </c>
      <c r="BE120" s="274">
        <v>4</v>
      </c>
      <c r="BF120" s="274">
        <v>4</v>
      </c>
      <c r="BG120" s="274">
        <v>4</v>
      </c>
      <c r="BH120" s="274">
        <v>4</v>
      </c>
      <c r="BI120" s="274">
        <v>4</v>
      </c>
      <c r="BJ120" s="274">
        <v>4</v>
      </c>
      <c r="BK120" s="274">
        <v>5</v>
      </c>
    </row>
    <row r="121" spans="1:63" x14ac:dyDescent="0.25">
      <c r="A121" s="67" t="s">
        <v>1319</v>
      </c>
      <c r="D121" s="45">
        <v>400</v>
      </c>
      <c r="E121" s="53">
        <v>0.3</v>
      </c>
      <c r="F121" s="45">
        <v>800</v>
      </c>
      <c r="G121" s="53">
        <v>0.6</v>
      </c>
      <c r="H121" s="45">
        <v>1300</v>
      </c>
      <c r="I121" s="53">
        <v>0.9</v>
      </c>
      <c r="J121" s="45">
        <v>1800</v>
      </c>
      <c r="K121" s="53">
        <v>1.2</v>
      </c>
      <c r="L121" s="45">
        <v>2400</v>
      </c>
      <c r="M121" s="53">
        <v>1.5</v>
      </c>
      <c r="N121" s="45">
        <v>3200</v>
      </c>
      <c r="O121" s="53">
        <v>1.8</v>
      </c>
      <c r="P121" s="45">
        <v>4400</v>
      </c>
      <c r="Q121" s="53">
        <v>2.1</v>
      </c>
      <c r="R121" s="45">
        <v>6000</v>
      </c>
      <c r="S121" s="53">
        <v>2.4</v>
      </c>
      <c r="T121" s="45">
        <v>8000</v>
      </c>
      <c r="U121" s="53">
        <v>2.7</v>
      </c>
      <c r="V121" s="45">
        <v>12000</v>
      </c>
      <c r="W121" s="53">
        <v>3</v>
      </c>
      <c r="X121" s="274"/>
      <c r="Y121" s="274"/>
      <c r="Z121" s="274"/>
      <c r="AA121" s="274"/>
      <c r="AB121" s="274"/>
      <c r="AC121" s="274"/>
      <c r="AD121" s="274"/>
      <c r="AE121" s="274"/>
      <c r="AF121" s="274"/>
      <c r="AG121" s="274"/>
      <c r="AH121" s="274"/>
      <c r="AI121" s="274"/>
      <c r="AJ121" s="274"/>
      <c r="AK121" s="274"/>
      <c r="AL121" s="274"/>
      <c r="AM121" s="274"/>
      <c r="AN121" s="274"/>
      <c r="AO121" s="274"/>
      <c r="AP121" s="274"/>
      <c r="AQ121" s="274"/>
      <c r="AR121" s="274"/>
      <c r="AS121" s="274"/>
      <c r="AT121" s="274"/>
      <c r="AU121" s="274"/>
      <c r="AV121" s="274"/>
      <c r="AW121" s="274"/>
      <c r="AX121" s="274"/>
      <c r="AY121" s="274"/>
      <c r="AZ121" s="274"/>
      <c r="BA121" s="274"/>
      <c r="BB121" s="274"/>
      <c r="BC121" s="274"/>
      <c r="BD121" s="274"/>
      <c r="BE121" s="274"/>
      <c r="BF121" s="274"/>
      <c r="BG121" s="274"/>
      <c r="BH121" s="274"/>
      <c r="BI121" s="274"/>
      <c r="BJ121" s="274"/>
      <c r="BK121" s="274"/>
    </row>
    <row r="122" spans="1:63" x14ac:dyDescent="0.25">
      <c r="A122" s="67" t="s">
        <v>1047</v>
      </c>
      <c r="B122" s="67">
        <v>45</v>
      </c>
      <c r="C122" s="67" t="s">
        <v>1129</v>
      </c>
      <c r="D122" s="75">
        <v>0.3</v>
      </c>
      <c r="E122" s="75">
        <v>0.32</v>
      </c>
      <c r="F122" s="75">
        <v>0.34</v>
      </c>
      <c r="G122" s="75">
        <v>0.36</v>
      </c>
      <c r="H122" s="75">
        <v>0.38</v>
      </c>
      <c r="I122" s="75">
        <v>0.4</v>
      </c>
      <c r="J122" s="75">
        <v>0.42</v>
      </c>
      <c r="K122" s="75">
        <v>0.44</v>
      </c>
      <c r="L122" s="75">
        <v>0.46</v>
      </c>
      <c r="M122" s="75">
        <v>0.48</v>
      </c>
      <c r="N122" s="75">
        <v>0.5</v>
      </c>
      <c r="O122" s="75">
        <v>0.52</v>
      </c>
      <c r="P122" s="75">
        <v>0.54</v>
      </c>
      <c r="Q122" s="75">
        <v>0.56000000000000005</v>
      </c>
      <c r="R122" s="75">
        <v>0.57999999999999996</v>
      </c>
      <c r="S122" s="75">
        <v>0.6</v>
      </c>
      <c r="T122" s="75">
        <v>0.62</v>
      </c>
      <c r="U122" s="75">
        <v>0.64</v>
      </c>
      <c r="V122" s="75">
        <v>0.66</v>
      </c>
      <c r="W122" s="75">
        <v>0.68</v>
      </c>
      <c r="X122" s="75">
        <v>0.7</v>
      </c>
      <c r="Y122" s="75">
        <v>0.72</v>
      </c>
      <c r="Z122" s="75">
        <v>0.74</v>
      </c>
      <c r="AA122" s="75">
        <v>0.76</v>
      </c>
      <c r="AB122" s="75">
        <v>0.78</v>
      </c>
      <c r="AC122" s="75">
        <v>0.8</v>
      </c>
      <c r="AD122" s="75">
        <v>0.82</v>
      </c>
      <c r="AE122" s="75">
        <v>0.84</v>
      </c>
      <c r="AF122" s="75">
        <v>0.86</v>
      </c>
      <c r="AG122" s="75">
        <v>0.88</v>
      </c>
      <c r="AH122" s="75">
        <v>0.9</v>
      </c>
      <c r="AI122" s="75">
        <v>0.92</v>
      </c>
      <c r="AJ122" s="75">
        <v>0.94</v>
      </c>
      <c r="AK122" s="75">
        <v>0.96</v>
      </c>
      <c r="AL122" s="75">
        <v>0.98</v>
      </c>
      <c r="AM122" s="75">
        <v>1</v>
      </c>
      <c r="AN122" s="75">
        <v>1.02</v>
      </c>
      <c r="AO122" s="75">
        <v>1.04</v>
      </c>
      <c r="AP122" s="75">
        <v>1.06</v>
      </c>
      <c r="AQ122" s="75">
        <v>1.08</v>
      </c>
      <c r="AR122" s="75">
        <v>1.1000000000000001</v>
      </c>
      <c r="AS122" s="75">
        <v>1.1200000000000001</v>
      </c>
      <c r="AT122" s="75">
        <v>1.1399999999999999</v>
      </c>
      <c r="AU122" s="75">
        <v>1.1599999999999999</v>
      </c>
      <c r="AV122" s="75">
        <v>1.2</v>
      </c>
      <c r="AW122" s="75"/>
      <c r="AX122" s="75"/>
      <c r="AY122" s="75"/>
      <c r="AZ122" s="75"/>
      <c r="BA122" s="75"/>
      <c r="BB122" s="75"/>
      <c r="BC122" s="75"/>
      <c r="BD122" s="75"/>
      <c r="BE122" s="75"/>
      <c r="BF122" s="75"/>
      <c r="BG122" s="75"/>
      <c r="BH122" s="75"/>
      <c r="BI122" s="75"/>
      <c r="BJ122" s="75"/>
      <c r="BK122" s="75"/>
    </row>
    <row r="123" spans="1:63" x14ac:dyDescent="0.25">
      <c r="A123" s="67" t="s">
        <v>993</v>
      </c>
      <c r="B123" s="67">
        <v>45</v>
      </c>
      <c r="D123" s="274">
        <v>0</v>
      </c>
      <c r="E123" s="274">
        <v>0</v>
      </c>
      <c r="F123" s="274">
        <v>0</v>
      </c>
      <c r="G123" s="274">
        <v>0</v>
      </c>
      <c r="H123" s="274">
        <v>1</v>
      </c>
      <c r="I123" s="274">
        <v>1</v>
      </c>
      <c r="J123" s="274">
        <v>1</v>
      </c>
      <c r="K123" s="274">
        <v>1</v>
      </c>
      <c r="L123" s="274">
        <v>1</v>
      </c>
      <c r="M123" s="274">
        <v>2</v>
      </c>
      <c r="N123" s="274">
        <v>2</v>
      </c>
      <c r="O123" s="274">
        <v>2</v>
      </c>
      <c r="P123" s="274">
        <v>2</v>
      </c>
      <c r="Q123" s="274">
        <v>2</v>
      </c>
      <c r="R123" s="274">
        <v>2</v>
      </c>
      <c r="S123" s="274">
        <v>2</v>
      </c>
      <c r="T123" s="274">
        <v>2</v>
      </c>
      <c r="U123" s="274">
        <v>2</v>
      </c>
      <c r="V123" s="274">
        <v>2</v>
      </c>
      <c r="W123" s="274">
        <v>3</v>
      </c>
      <c r="X123" s="274">
        <v>3</v>
      </c>
      <c r="Y123" s="274">
        <v>3</v>
      </c>
      <c r="Z123" s="274">
        <v>3</v>
      </c>
      <c r="AA123" s="274">
        <v>3</v>
      </c>
      <c r="AB123" s="274">
        <v>3</v>
      </c>
      <c r="AC123" s="274">
        <v>3</v>
      </c>
      <c r="AD123" s="274">
        <v>3</v>
      </c>
      <c r="AE123" s="274">
        <v>3</v>
      </c>
      <c r="AF123" s="274">
        <v>3</v>
      </c>
      <c r="AG123" s="274">
        <v>4</v>
      </c>
      <c r="AH123" s="274">
        <v>4</v>
      </c>
      <c r="AI123" s="274">
        <v>4</v>
      </c>
      <c r="AJ123" s="274">
        <v>4</v>
      </c>
      <c r="AK123" s="274">
        <v>4</v>
      </c>
      <c r="AL123" s="274">
        <v>4</v>
      </c>
      <c r="AM123" s="274">
        <v>4</v>
      </c>
      <c r="AN123" s="274">
        <v>4</v>
      </c>
      <c r="AO123" s="274">
        <v>4</v>
      </c>
      <c r="AP123" s="274">
        <v>4</v>
      </c>
      <c r="AQ123" s="274">
        <v>5</v>
      </c>
      <c r="AR123" s="274">
        <v>5</v>
      </c>
      <c r="AS123" s="274">
        <v>5</v>
      </c>
      <c r="AT123" s="274">
        <v>5</v>
      </c>
      <c r="AU123" s="274">
        <v>5</v>
      </c>
      <c r="AV123" s="274">
        <v>5</v>
      </c>
      <c r="AW123" s="75"/>
      <c r="AX123" s="75"/>
      <c r="AY123" s="75"/>
      <c r="AZ123" s="75"/>
      <c r="BA123" s="75"/>
      <c r="BB123" s="75"/>
      <c r="BC123" s="75"/>
      <c r="BD123" s="75"/>
      <c r="BE123" s="75"/>
      <c r="BF123" s="75"/>
      <c r="BG123" s="75"/>
      <c r="BH123" s="75"/>
      <c r="BI123" s="75"/>
      <c r="BJ123" s="75"/>
      <c r="BK123" s="75"/>
    </row>
    <row r="124" spans="1:63" x14ac:dyDescent="0.25">
      <c r="A124" s="67" t="s">
        <v>1320</v>
      </c>
      <c r="D124" s="45">
        <v>120</v>
      </c>
      <c r="E124" s="53">
        <v>0.3</v>
      </c>
      <c r="F124" s="45">
        <v>240</v>
      </c>
      <c r="G124" s="53">
        <v>0.6</v>
      </c>
      <c r="H124" s="45">
        <v>390</v>
      </c>
      <c r="I124" s="53">
        <v>0.9</v>
      </c>
      <c r="J124" s="45">
        <v>540</v>
      </c>
      <c r="K124" s="53">
        <v>1.2</v>
      </c>
      <c r="L124" s="45">
        <v>720</v>
      </c>
      <c r="M124" s="53">
        <v>1.5</v>
      </c>
      <c r="N124" s="45">
        <v>960</v>
      </c>
      <c r="O124" s="53">
        <v>1.8</v>
      </c>
      <c r="P124" s="45">
        <v>1320</v>
      </c>
      <c r="Q124" s="53">
        <v>2.1</v>
      </c>
      <c r="R124" s="45">
        <v>1800</v>
      </c>
      <c r="S124" s="53">
        <v>2.4</v>
      </c>
      <c r="T124" s="45">
        <v>2400</v>
      </c>
      <c r="U124" s="53">
        <v>2.7</v>
      </c>
      <c r="V124" s="45">
        <v>3600</v>
      </c>
      <c r="W124" s="53">
        <v>3</v>
      </c>
      <c r="X124" s="274"/>
      <c r="Y124" s="274"/>
      <c r="Z124" s="274"/>
      <c r="AA124" s="274"/>
      <c r="AB124" s="274"/>
      <c r="AC124" s="274"/>
      <c r="AD124" s="274"/>
      <c r="AE124" s="274"/>
      <c r="AF124" s="274"/>
      <c r="AG124" s="274"/>
      <c r="AH124" s="274"/>
      <c r="AI124" s="274"/>
      <c r="AJ124" s="274"/>
      <c r="AK124" s="274"/>
      <c r="AL124" s="274"/>
      <c r="AM124" s="274"/>
      <c r="AN124" s="274"/>
      <c r="AO124" s="274"/>
      <c r="AP124" s="274"/>
      <c r="AQ124" s="274"/>
      <c r="AR124" s="274"/>
      <c r="AS124" s="274"/>
      <c r="AT124" s="274"/>
      <c r="AU124" s="274"/>
      <c r="AV124" s="274"/>
      <c r="AW124" s="75"/>
      <c r="AX124" s="75"/>
      <c r="AY124" s="75"/>
      <c r="AZ124" s="75"/>
      <c r="BA124" s="75"/>
      <c r="BB124" s="75"/>
      <c r="BC124" s="75"/>
      <c r="BD124" s="75"/>
      <c r="BE124" s="75"/>
      <c r="BF124" s="75"/>
      <c r="BG124" s="75"/>
      <c r="BH124" s="75"/>
      <c r="BI124" s="75"/>
      <c r="BJ124" s="75"/>
      <c r="BK124" s="75"/>
    </row>
    <row r="125" spans="1:63" x14ac:dyDescent="0.25">
      <c r="A125" s="67" t="s">
        <v>1048</v>
      </c>
      <c r="B125" s="67">
        <v>45</v>
      </c>
      <c r="C125" s="67" t="s">
        <v>1200</v>
      </c>
      <c r="D125" s="75">
        <v>2</v>
      </c>
      <c r="E125" s="75">
        <v>2.25</v>
      </c>
      <c r="F125" s="75">
        <v>2.5</v>
      </c>
      <c r="G125" s="75">
        <v>2.75</v>
      </c>
      <c r="H125" s="75">
        <v>3</v>
      </c>
      <c r="I125" s="75">
        <v>3.05</v>
      </c>
      <c r="J125" s="75">
        <v>3.1</v>
      </c>
      <c r="K125" s="75">
        <v>3.15</v>
      </c>
      <c r="L125" s="75">
        <v>3.2</v>
      </c>
      <c r="M125" s="75">
        <v>3.25</v>
      </c>
      <c r="N125" s="75">
        <v>3.3</v>
      </c>
      <c r="O125" s="75">
        <v>3.35</v>
      </c>
      <c r="P125" s="75">
        <v>3.4</v>
      </c>
      <c r="Q125" s="75">
        <v>3.45</v>
      </c>
      <c r="R125" s="75">
        <v>3.5</v>
      </c>
      <c r="S125" s="75">
        <v>3.55</v>
      </c>
      <c r="T125" s="75">
        <v>3.6</v>
      </c>
      <c r="U125" s="75">
        <v>3.65</v>
      </c>
      <c r="V125" s="75">
        <v>3.7</v>
      </c>
      <c r="W125" s="75">
        <v>3.75</v>
      </c>
      <c r="X125" s="75">
        <v>3.8</v>
      </c>
      <c r="Y125" s="75">
        <v>3.85</v>
      </c>
      <c r="Z125" s="75">
        <v>3.9</v>
      </c>
      <c r="AA125" s="75">
        <v>3.95</v>
      </c>
      <c r="AB125" s="75">
        <v>4</v>
      </c>
      <c r="AC125" s="75">
        <v>4.05</v>
      </c>
      <c r="AD125" s="75">
        <v>4.0999999999999996</v>
      </c>
      <c r="AE125" s="75">
        <v>4.1500000000000004</v>
      </c>
      <c r="AF125" s="75">
        <v>4.2</v>
      </c>
      <c r="AG125" s="75">
        <v>4.25</v>
      </c>
      <c r="AH125" s="75">
        <v>4.3</v>
      </c>
      <c r="AI125" s="75">
        <v>4.3499999999999996</v>
      </c>
      <c r="AJ125" s="75">
        <v>4.4000000000000004</v>
      </c>
      <c r="AK125" s="75">
        <v>4.45</v>
      </c>
      <c r="AL125" s="75">
        <v>4.5</v>
      </c>
      <c r="AM125" s="75">
        <v>4.6500000000000004</v>
      </c>
      <c r="AN125" s="75">
        <v>4.8</v>
      </c>
      <c r="AO125" s="75">
        <v>4.95</v>
      </c>
      <c r="AP125" s="75">
        <v>5.0999999999999996</v>
      </c>
      <c r="AQ125" s="75">
        <v>5.25</v>
      </c>
      <c r="AR125" s="75">
        <v>5.4</v>
      </c>
      <c r="AS125" s="75">
        <v>5.55</v>
      </c>
      <c r="AT125" s="75">
        <v>5.7</v>
      </c>
      <c r="AU125" s="75">
        <v>5.85</v>
      </c>
      <c r="AV125" s="75">
        <v>6</v>
      </c>
      <c r="AW125" s="75"/>
      <c r="AX125" s="75"/>
      <c r="AY125" s="75"/>
      <c r="AZ125" s="75"/>
      <c r="BA125" s="75"/>
      <c r="BB125" s="75"/>
      <c r="BC125" s="75"/>
      <c r="BD125" s="75"/>
      <c r="BE125" s="75"/>
      <c r="BF125" s="75"/>
      <c r="BG125" s="75"/>
      <c r="BH125" s="75"/>
      <c r="BI125" s="75"/>
      <c r="BJ125" s="75"/>
      <c r="BK125" s="75"/>
    </row>
    <row r="126" spans="1:63" x14ac:dyDescent="0.25">
      <c r="A126" s="67" t="s">
        <v>994</v>
      </c>
      <c r="B126" s="67">
        <v>45</v>
      </c>
      <c r="D126" s="274">
        <v>2</v>
      </c>
      <c r="E126" s="274">
        <v>2</v>
      </c>
      <c r="F126" s="274">
        <v>2</v>
      </c>
      <c r="G126" s="274">
        <v>2</v>
      </c>
      <c r="H126" s="274">
        <v>3</v>
      </c>
      <c r="I126" s="274">
        <v>3</v>
      </c>
      <c r="J126" s="274">
        <v>3</v>
      </c>
      <c r="K126" s="274">
        <v>3</v>
      </c>
      <c r="L126" s="274">
        <v>3</v>
      </c>
      <c r="M126" s="274">
        <v>3</v>
      </c>
      <c r="N126" s="274">
        <v>3</v>
      </c>
      <c r="O126" s="274">
        <v>3</v>
      </c>
      <c r="P126" s="274">
        <v>3</v>
      </c>
      <c r="Q126" s="274">
        <v>3</v>
      </c>
      <c r="R126" s="274">
        <v>4</v>
      </c>
      <c r="S126" s="274">
        <v>4</v>
      </c>
      <c r="T126" s="274">
        <v>4</v>
      </c>
      <c r="U126" s="274">
        <v>4</v>
      </c>
      <c r="V126" s="274">
        <v>4</v>
      </c>
      <c r="W126" s="274">
        <v>4</v>
      </c>
      <c r="X126" s="274">
        <v>4</v>
      </c>
      <c r="Y126" s="274">
        <v>4</v>
      </c>
      <c r="Z126" s="274">
        <v>4</v>
      </c>
      <c r="AA126" s="274">
        <v>4</v>
      </c>
      <c r="AB126" s="274">
        <v>5</v>
      </c>
      <c r="AC126" s="274">
        <v>5</v>
      </c>
      <c r="AD126" s="274">
        <v>5</v>
      </c>
      <c r="AE126" s="274">
        <v>5</v>
      </c>
      <c r="AF126" s="274">
        <v>5</v>
      </c>
      <c r="AG126" s="274">
        <v>5</v>
      </c>
      <c r="AH126" s="274">
        <v>5</v>
      </c>
      <c r="AI126" s="274">
        <v>5</v>
      </c>
      <c r="AJ126" s="274">
        <v>5</v>
      </c>
      <c r="AK126" s="274">
        <v>5</v>
      </c>
      <c r="AL126" s="274">
        <v>5</v>
      </c>
      <c r="AM126" s="274">
        <v>5</v>
      </c>
      <c r="AN126" s="274">
        <v>5</v>
      </c>
      <c r="AO126" s="274">
        <v>5</v>
      </c>
      <c r="AP126" s="274">
        <v>5</v>
      </c>
      <c r="AQ126" s="274">
        <v>5</v>
      </c>
      <c r="AR126" s="274">
        <v>5</v>
      </c>
      <c r="AS126" s="274">
        <v>5</v>
      </c>
      <c r="AT126" s="274">
        <v>5</v>
      </c>
      <c r="AU126" s="274">
        <v>5</v>
      </c>
      <c r="AV126" s="274">
        <v>6</v>
      </c>
      <c r="AW126" s="75"/>
      <c r="AX126" s="75"/>
      <c r="AY126" s="75"/>
      <c r="AZ126" s="75"/>
      <c r="BA126" s="75"/>
      <c r="BB126" s="75"/>
      <c r="BC126" s="75"/>
      <c r="BD126" s="75"/>
      <c r="BE126" s="75"/>
      <c r="BF126" s="75"/>
      <c r="BG126" s="75"/>
      <c r="BH126" s="75"/>
      <c r="BI126" s="75"/>
      <c r="BJ126" s="75"/>
      <c r="BK126" s="75"/>
    </row>
    <row r="127" spans="1:63" x14ac:dyDescent="0.25">
      <c r="A127" s="67" t="s">
        <v>1321</v>
      </c>
      <c r="D127" s="45">
        <v>120</v>
      </c>
      <c r="E127" s="53">
        <v>0.3</v>
      </c>
      <c r="F127" s="45">
        <v>240</v>
      </c>
      <c r="G127" s="53">
        <v>0.6</v>
      </c>
      <c r="H127" s="45">
        <v>390</v>
      </c>
      <c r="I127" s="53">
        <v>0.9</v>
      </c>
      <c r="J127" s="45">
        <v>540</v>
      </c>
      <c r="K127" s="53">
        <v>1.2</v>
      </c>
      <c r="L127" s="45">
        <v>720</v>
      </c>
      <c r="M127" s="53">
        <v>1.5</v>
      </c>
      <c r="N127" s="45">
        <v>960</v>
      </c>
      <c r="O127" s="53">
        <v>1.8</v>
      </c>
      <c r="P127" s="45">
        <v>1320</v>
      </c>
      <c r="Q127" s="53">
        <v>2.1</v>
      </c>
      <c r="R127" s="45">
        <v>1800</v>
      </c>
      <c r="S127" s="53">
        <v>2.4</v>
      </c>
      <c r="T127" s="45">
        <v>2400</v>
      </c>
      <c r="U127" s="53">
        <v>2.7</v>
      </c>
      <c r="V127" s="45">
        <v>3600</v>
      </c>
      <c r="W127" s="53">
        <v>3</v>
      </c>
      <c r="X127" s="274"/>
      <c r="Y127" s="274"/>
      <c r="Z127" s="274"/>
      <c r="AA127" s="274"/>
      <c r="AB127" s="274"/>
      <c r="AC127" s="274"/>
      <c r="AD127" s="274"/>
      <c r="AE127" s="274"/>
      <c r="AF127" s="274"/>
      <c r="AG127" s="274"/>
      <c r="AH127" s="274"/>
      <c r="AI127" s="274"/>
      <c r="AJ127" s="274"/>
      <c r="AK127" s="274"/>
      <c r="AL127" s="274"/>
      <c r="AM127" s="274"/>
      <c r="AN127" s="274"/>
      <c r="AO127" s="274"/>
      <c r="AP127" s="274"/>
      <c r="AQ127" s="274"/>
      <c r="AR127" s="274"/>
      <c r="AS127" s="274"/>
      <c r="AT127" s="274"/>
      <c r="AU127" s="274"/>
      <c r="AV127" s="274"/>
      <c r="AW127" s="75"/>
      <c r="AX127" s="75"/>
      <c r="AY127" s="75"/>
      <c r="AZ127" s="75"/>
      <c r="BA127" s="75"/>
      <c r="BB127" s="75"/>
      <c r="BC127" s="75"/>
      <c r="BD127" s="75"/>
      <c r="BE127" s="75"/>
      <c r="BF127" s="75"/>
      <c r="BG127" s="75"/>
      <c r="BH127" s="75"/>
      <c r="BI127" s="75"/>
      <c r="BJ127" s="75"/>
      <c r="BK127" s="75"/>
    </row>
    <row r="128" spans="1:63" x14ac:dyDescent="0.25">
      <c r="A128" s="67" t="s">
        <v>1049</v>
      </c>
      <c r="B128" s="67">
        <v>35</v>
      </c>
      <c r="C128" s="67" t="s">
        <v>1094</v>
      </c>
      <c r="D128" s="75">
        <v>0.1</v>
      </c>
      <c r="E128" s="75">
        <v>0.11</v>
      </c>
      <c r="F128" s="75">
        <v>0.12</v>
      </c>
      <c r="G128" s="75">
        <v>0.13</v>
      </c>
      <c r="H128" s="75">
        <v>0.14000000000000001</v>
      </c>
      <c r="I128" s="75">
        <v>0.15</v>
      </c>
      <c r="J128" s="75">
        <v>0.16</v>
      </c>
      <c r="K128" s="75">
        <v>0.17</v>
      </c>
      <c r="L128" s="75">
        <v>0.18</v>
      </c>
      <c r="M128" s="75">
        <v>0.19</v>
      </c>
      <c r="N128" s="75">
        <v>0.2</v>
      </c>
      <c r="O128" s="75">
        <v>0.21</v>
      </c>
      <c r="P128" s="75">
        <v>0.22</v>
      </c>
      <c r="Q128" s="75">
        <v>0.23</v>
      </c>
      <c r="R128" s="75">
        <v>0.24</v>
      </c>
      <c r="S128" s="75">
        <v>0.25</v>
      </c>
      <c r="T128" s="75">
        <v>0.26</v>
      </c>
      <c r="U128" s="75">
        <v>0.27</v>
      </c>
      <c r="V128" s="75">
        <v>0.28000000000000003</v>
      </c>
      <c r="W128" s="75">
        <v>0.28999999999999998</v>
      </c>
      <c r="X128" s="75">
        <v>0.3</v>
      </c>
      <c r="Y128" s="75">
        <v>0.31</v>
      </c>
      <c r="Z128" s="75">
        <v>0.32</v>
      </c>
      <c r="AA128" s="75">
        <v>0.33</v>
      </c>
      <c r="AB128" s="75">
        <v>0.34</v>
      </c>
      <c r="AC128" s="75">
        <v>0.35</v>
      </c>
      <c r="AD128" s="75">
        <v>0.36</v>
      </c>
      <c r="AE128" s="75">
        <v>0.37</v>
      </c>
      <c r="AF128" s="75">
        <v>0.38</v>
      </c>
      <c r="AG128" s="75">
        <v>0.4</v>
      </c>
      <c r="AH128" s="75">
        <v>0.42</v>
      </c>
      <c r="AI128" s="75">
        <v>0.44</v>
      </c>
      <c r="AJ128" s="75">
        <v>0.46</v>
      </c>
      <c r="AK128" s="75">
        <v>0.48</v>
      </c>
      <c r="AL128" s="75">
        <v>0.5</v>
      </c>
      <c r="AM128" s="75"/>
      <c r="AN128" s="75"/>
      <c r="AO128" s="75"/>
      <c r="AP128" s="75"/>
      <c r="AQ128" s="75"/>
      <c r="AR128" s="75"/>
      <c r="AS128" s="75"/>
      <c r="AT128" s="75"/>
      <c r="AU128" s="75"/>
      <c r="AV128" s="75"/>
      <c r="AW128" s="75"/>
      <c r="AX128" s="75"/>
      <c r="AY128" s="75"/>
      <c r="AZ128" s="75"/>
      <c r="BA128" s="75"/>
      <c r="BB128" s="75"/>
      <c r="BC128" s="75"/>
      <c r="BD128" s="75"/>
      <c r="BE128" s="75"/>
      <c r="BF128" s="75"/>
      <c r="BG128" s="75"/>
      <c r="BH128" s="75"/>
      <c r="BI128" s="75"/>
      <c r="BJ128" s="75"/>
      <c r="BK128" s="75"/>
    </row>
    <row r="129" spans="1:63" x14ac:dyDescent="0.25">
      <c r="A129" s="67" t="s">
        <v>995</v>
      </c>
      <c r="B129" s="67">
        <v>35</v>
      </c>
      <c r="D129" s="274">
        <v>0</v>
      </c>
      <c r="E129" s="274">
        <v>0</v>
      </c>
      <c r="F129" s="274">
        <v>0</v>
      </c>
      <c r="G129" s="274">
        <v>0</v>
      </c>
      <c r="H129" s="274">
        <v>1</v>
      </c>
      <c r="I129" s="274">
        <v>1</v>
      </c>
      <c r="J129" s="274">
        <v>1</v>
      </c>
      <c r="K129" s="274">
        <v>1</v>
      </c>
      <c r="L129" s="274">
        <v>1</v>
      </c>
      <c r="M129" s="274">
        <v>2</v>
      </c>
      <c r="N129" s="274">
        <v>2</v>
      </c>
      <c r="O129" s="274">
        <v>2</v>
      </c>
      <c r="P129" s="274">
        <v>2</v>
      </c>
      <c r="Q129" s="274">
        <v>2</v>
      </c>
      <c r="R129" s="274">
        <v>2</v>
      </c>
      <c r="S129" s="274">
        <v>2</v>
      </c>
      <c r="T129" s="274">
        <v>2</v>
      </c>
      <c r="U129" s="274">
        <v>2</v>
      </c>
      <c r="V129" s="274">
        <v>2</v>
      </c>
      <c r="W129" s="274">
        <v>3</v>
      </c>
      <c r="X129" s="274">
        <v>3</v>
      </c>
      <c r="Y129" s="274">
        <v>3</v>
      </c>
      <c r="Z129" s="274">
        <v>3</v>
      </c>
      <c r="AA129" s="274">
        <v>3</v>
      </c>
      <c r="AB129" s="274">
        <v>3</v>
      </c>
      <c r="AC129" s="274">
        <v>3</v>
      </c>
      <c r="AD129" s="274">
        <v>3</v>
      </c>
      <c r="AE129" s="274">
        <v>3</v>
      </c>
      <c r="AF129" s="274">
        <v>3</v>
      </c>
      <c r="AG129" s="274">
        <v>3</v>
      </c>
      <c r="AH129" s="274">
        <v>3</v>
      </c>
      <c r="AI129" s="274">
        <v>3</v>
      </c>
      <c r="AJ129" s="274">
        <v>3</v>
      </c>
      <c r="AK129" s="274">
        <v>3</v>
      </c>
      <c r="AL129" s="274">
        <v>4</v>
      </c>
      <c r="AM129" s="75"/>
      <c r="AN129" s="75"/>
      <c r="AO129" s="75"/>
      <c r="AP129" s="75"/>
      <c r="AQ129" s="75"/>
      <c r="AR129" s="75"/>
      <c r="AS129" s="75"/>
      <c r="AT129" s="75"/>
      <c r="AU129" s="75"/>
      <c r="AV129" s="75"/>
      <c r="AW129" s="75"/>
      <c r="AX129" s="75"/>
      <c r="AY129" s="75"/>
      <c r="AZ129" s="75"/>
      <c r="BA129" s="75"/>
      <c r="BB129" s="75"/>
      <c r="BC129" s="75"/>
      <c r="BD129" s="75"/>
      <c r="BE129" s="75"/>
      <c r="BF129" s="75"/>
      <c r="BG129" s="75"/>
      <c r="BH129" s="75"/>
      <c r="BI129" s="75"/>
      <c r="BJ129" s="75"/>
      <c r="BK129" s="75"/>
    </row>
    <row r="130" spans="1:63" x14ac:dyDescent="0.25">
      <c r="A130" s="67" t="s">
        <v>1322</v>
      </c>
      <c r="D130" s="45">
        <v>40</v>
      </c>
      <c r="E130" s="53">
        <v>0.24</v>
      </c>
      <c r="F130" s="45">
        <v>80</v>
      </c>
      <c r="G130" s="53">
        <v>0.48</v>
      </c>
      <c r="H130" s="45">
        <v>130</v>
      </c>
      <c r="I130" s="53">
        <v>0.72</v>
      </c>
      <c r="J130" s="45">
        <v>180</v>
      </c>
      <c r="K130" s="53">
        <v>0.96</v>
      </c>
      <c r="L130" s="45">
        <v>240</v>
      </c>
      <c r="M130" s="53">
        <v>1.2</v>
      </c>
      <c r="N130" s="45">
        <v>320</v>
      </c>
      <c r="O130" s="53">
        <v>1.44</v>
      </c>
      <c r="P130" s="45">
        <v>440</v>
      </c>
      <c r="Q130" s="53">
        <v>1.68</v>
      </c>
      <c r="R130" s="45">
        <v>600</v>
      </c>
      <c r="S130" s="53">
        <v>1.92</v>
      </c>
      <c r="T130" s="45">
        <v>800</v>
      </c>
      <c r="U130" s="53">
        <v>2.16</v>
      </c>
      <c r="V130" s="45">
        <v>1200</v>
      </c>
      <c r="W130" s="53">
        <v>2.4</v>
      </c>
      <c r="X130" s="274"/>
      <c r="Y130" s="274"/>
      <c r="Z130" s="274"/>
      <c r="AA130" s="274"/>
      <c r="AB130" s="274"/>
      <c r="AC130" s="274"/>
      <c r="AD130" s="274"/>
      <c r="AE130" s="274"/>
      <c r="AF130" s="274"/>
      <c r="AG130" s="274"/>
      <c r="AH130" s="274"/>
      <c r="AI130" s="274"/>
      <c r="AJ130" s="274"/>
      <c r="AK130" s="274"/>
      <c r="AL130" s="274"/>
      <c r="AM130" s="75"/>
      <c r="AN130" s="75"/>
      <c r="AO130" s="75"/>
      <c r="AP130" s="75"/>
      <c r="AQ130" s="75"/>
      <c r="AR130" s="75"/>
      <c r="AS130" s="75"/>
      <c r="AT130" s="75"/>
      <c r="AU130" s="75"/>
      <c r="AV130" s="75"/>
      <c r="AW130" s="75"/>
      <c r="AX130" s="75"/>
      <c r="AY130" s="75"/>
      <c r="AZ130" s="75"/>
      <c r="BA130" s="75"/>
      <c r="BB130" s="75"/>
      <c r="BC130" s="75"/>
      <c r="BD130" s="75"/>
      <c r="BE130" s="75"/>
      <c r="BF130" s="75"/>
      <c r="BG130" s="75"/>
      <c r="BH130" s="75"/>
      <c r="BI130" s="75"/>
      <c r="BJ130" s="75"/>
      <c r="BK130" s="75"/>
    </row>
    <row r="131" spans="1:63" x14ac:dyDescent="0.25">
      <c r="A131" s="67" t="s">
        <v>1050</v>
      </c>
      <c r="B131" s="67">
        <v>60</v>
      </c>
      <c r="C131" s="181" t="s">
        <v>1271</v>
      </c>
      <c r="D131" s="274">
        <v>1</v>
      </c>
      <c r="E131" s="274">
        <v>1</v>
      </c>
      <c r="F131" s="274">
        <v>1</v>
      </c>
      <c r="G131" s="274">
        <v>1</v>
      </c>
      <c r="H131" s="274">
        <v>1</v>
      </c>
      <c r="I131" s="274">
        <v>1</v>
      </c>
      <c r="J131" s="274">
        <v>1</v>
      </c>
      <c r="K131" s="274">
        <v>1</v>
      </c>
      <c r="L131" s="274">
        <v>1</v>
      </c>
      <c r="M131" s="274">
        <v>1</v>
      </c>
      <c r="N131" s="274">
        <v>1</v>
      </c>
      <c r="O131" s="274">
        <v>1</v>
      </c>
      <c r="P131" s="274">
        <v>1</v>
      </c>
      <c r="Q131" s="274">
        <v>1</v>
      </c>
      <c r="R131" s="274">
        <v>2</v>
      </c>
      <c r="S131" s="274">
        <v>2</v>
      </c>
      <c r="T131" s="274">
        <v>2</v>
      </c>
      <c r="U131" s="274">
        <v>2</v>
      </c>
      <c r="V131" s="274">
        <v>2</v>
      </c>
      <c r="W131" s="274">
        <v>2</v>
      </c>
      <c r="X131" s="274">
        <v>2</v>
      </c>
      <c r="Y131" s="274">
        <v>2</v>
      </c>
      <c r="Z131" s="274">
        <v>2</v>
      </c>
      <c r="AA131" s="274">
        <v>2</v>
      </c>
      <c r="AB131" s="274">
        <v>2</v>
      </c>
      <c r="AC131" s="274">
        <v>2</v>
      </c>
      <c r="AD131" s="274">
        <v>2</v>
      </c>
      <c r="AE131" s="274">
        <v>2</v>
      </c>
      <c r="AF131" s="274">
        <v>2</v>
      </c>
      <c r="AG131" s="274">
        <v>3</v>
      </c>
      <c r="AH131" s="274">
        <v>3</v>
      </c>
      <c r="AI131" s="274">
        <v>3</v>
      </c>
      <c r="AJ131" s="274">
        <v>3</v>
      </c>
      <c r="AK131" s="274">
        <v>3</v>
      </c>
      <c r="AL131" s="274">
        <v>3</v>
      </c>
      <c r="AM131" s="274">
        <v>3</v>
      </c>
      <c r="AN131" s="274">
        <v>3</v>
      </c>
      <c r="AO131" s="274">
        <v>3</v>
      </c>
      <c r="AP131" s="274">
        <v>3</v>
      </c>
      <c r="AQ131" s="274">
        <v>3</v>
      </c>
      <c r="AR131" s="274">
        <v>3</v>
      </c>
      <c r="AS131" s="274">
        <v>3</v>
      </c>
      <c r="AT131" s="274">
        <v>3</v>
      </c>
      <c r="AU131" s="274">
        <v>3</v>
      </c>
      <c r="AV131" s="274">
        <v>4</v>
      </c>
      <c r="AW131" s="274">
        <v>4</v>
      </c>
      <c r="AX131" s="274">
        <v>4</v>
      </c>
      <c r="AY131" s="274">
        <v>4</v>
      </c>
      <c r="AZ131" s="274">
        <v>4</v>
      </c>
      <c r="BA131" s="274">
        <v>4</v>
      </c>
      <c r="BB131" s="274">
        <v>4</v>
      </c>
      <c r="BC131" s="274">
        <v>4</v>
      </c>
      <c r="BD131" s="274">
        <v>4</v>
      </c>
      <c r="BE131" s="274">
        <v>4</v>
      </c>
      <c r="BF131" s="274">
        <v>4</v>
      </c>
      <c r="BG131" s="274">
        <v>4</v>
      </c>
      <c r="BH131" s="274">
        <v>4</v>
      </c>
      <c r="BI131" s="274">
        <v>4</v>
      </c>
      <c r="BJ131" s="274">
        <v>4</v>
      </c>
      <c r="BK131" s="274">
        <v>5</v>
      </c>
    </row>
    <row r="132" spans="1:63" x14ac:dyDescent="0.25">
      <c r="A132" s="67" t="s">
        <v>996</v>
      </c>
      <c r="B132" s="67">
        <v>60</v>
      </c>
      <c r="D132" s="274">
        <v>0</v>
      </c>
      <c r="E132" s="274">
        <v>0</v>
      </c>
      <c r="F132" s="274">
        <v>0</v>
      </c>
      <c r="G132" s="274">
        <v>0</v>
      </c>
      <c r="H132" s="274">
        <v>1</v>
      </c>
      <c r="I132" s="274">
        <v>1</v>
      </c>
      <c r="J132" s="274">
        <v>1</v>
      </c>
      <c r="K132" s="274">
        <v>1</v>
      </c>
      <c r="L132" s="274">
        <v>1</v>
      </c>
      <c r="M132" s="274">
        <v>2</v>
      </c>
      <c r="N132" s="274">
        <v>2</v>
      </c>
      <c r="O132" s="274">
        <v>2</v>
      </c>
      <c r="P132" s="274">
        <v>2</v>
      </c>
      <c r="Q132" s="274">
        <v>2</v>
      </c>
      <c r="R132" s="274">
        <v>2</v>
      </c>
      <c r="S132" s="274">
        <v>2</v>
      </c>
      <c r="T132" s="274">
        <v>2</v>
      </c>
      <c r="U132" s="274">
        <v>2</v>
      </c>
      <c r="V132" s="274">
        <v>2</v>
      </c>
      <c r="W132" s="274">
        <v>3</v>
      </c>
      <c r="X132" s="274">
        <v>3</v>
      </c>
      <c r="Y132" s="274">
        <v>3</v>
      </c>
      <c r="Z132" s="274">
        <v>3</v>
      </c>
      <c r="AA132" s="274">
        <v>3</v>
      </c>
      <c r="AB132" s="274">
        <v>3</v>
      </c>
      <c r="AC132" s="274">
        <v>3</v>
      </c>
      <c r="AD132" s="274">
        <v>3</v>
      </c>
      <c r="AE132" s="274">
        <v>3</v>
      </c>
      <c r="AF132" s="274">
        <v>3</v>
      </c>
      <c r="AG132" s="274">
        <v>4</v>
      </c>
      <c r="AH132" s="274">
        <v>4</v>
      </c>
      <c r="AI132" s="274">
        <v>4</v>
      </c>
      <c r="AJ132" s="274">
        <v>4</v>
      </c>
      <c r="AK132" s="274">
        <v>4</v>
      </c>
      <c r="AL132" s="274">
        <v>4</v>
      </c>
      <c r="AM132" s="274">
        <v>4</v>
      </c>
      <c r="AN132" s="274">
        <v>4</v>
      </c>
      <c r="AO132" s="274">
        <v>4</v>
      </c>
      <c r="AP132" s="274">
        <v>4</v>
      </c>
      <c r="AQ132" s="274">
        <v>5</v>
      </c>
      <c r="AR132" s="274">
        <v>5</v>
      </c>
      <c r="AS132" s="274">
        <v>5</v>
      </c>
      <c r="AT132" s="274">
        <v>5</v>
      </c>
      <c r="AU132" s="274">
        <v>5</v>
      </c>
      <c r="AV132" s="274">
        <v>6</v>
      </c>
      <c r="AW132" s="274">
        <v>6</v>
      </c>
      <c r="AX132" s="274">
        <v>6</v>
      </c>
      <c r="AY132" s="274">
        <v>6</v>
      </c>
      <c r="AZ132" s="274">
        <v>6</v>
      </c>
      <c r="BA132" s="274">
        <v>6</v>
      </c>
      <c r="BB132" s="274">
        <v>6</v>
      </c>
      <c r="BC132" s="274">
        <v>6</v>
      </c>
      <c r="BD132" s="274">
        <v>6</v>
      </c>
      <c r="BE132" s="274">
        <v>6</v>
      </c>
      <c r="BF132" s="274">
        <v>7</v>
      </c>
      <c r="BG132" s="274">
        <v>7</v>
      </c>
      <c r="BH132" s="274">
        <v>7</v>
      </c>
      <c r="BI132" s="274">
        <v>7</v>
      </c>
      <c r="BJ132" s="274">
        <v>7</v>
      </c>
      <c r="BK132" s="274">
        <v>7</v>
      </c>
    </row>
    <row r="133" spans="1:63" x14ac:dyDescent="0.25">
      <c r="A133" s="67" t="s">
        <v>1323</v>
      </c>
      <c r="D133" s="45">
        <v>1500</v>
      </c>
      <c r="E133" s="53">
        <v>0.5</v>
      </c>
      <c r="F133" s="45">
        <v>3000</v>
      </c>
      <c r="G133" s="53">
        <v>1</v>
      </c>
      <c r="H133" s="45">
        <v>4875</v>
      </c>
      <c r="I133" s="53">
        <v>1.5</v>
      </c>
      <c r="J133" s="45">
        <v>6750</v>
      </c>
      <c r="K133" s="53">
        <v>2</v>
      </c>
      <c r="L133" s="45">
        <v>9000</v>
      </c>
      <c r="M133" s="53">
        <v>2.5</v>
      </c>
      <c r="N133" s="45">
        <v>12000</v>
      </c>
      <c r="O133" s="53">
        <v>3</v>
      </c>
      <c r="P133" s="45">
        <v>16500</v>
      </c>
      <c r="Q133" s="53">
        <v>3.5</v>
      </c>
      <c r="R133" s="45">
        <v>22500</v>
      </c>
      <c r="S133" s="53">
        <v>4</v>
      </c>
      <c r="T133" s="45">
        <v>30000</v>
      </c>
      <c r="U133" s="53">
        <v>4.5</v>
      </c>
      <c r="V133" s="45">
        <v>45000</v>
      </c>
      <c r="W133" s="53">
        <v>5</v>
      </c>
      <c r="X133" s="274"/>
      <c r="Y133" s="274"/>
      <c r="Z133" s="274"/>
      <c r="AA133" s="274"/>
      <c r="AB133" s="274"/>
      <c r="AC133" s="274"/>
      <c r="AD133" s="274"/>
      <c r="AE133" s="274"/>
      <c r="AF133" s="274"/>
      <c r="AG133" s="274"/>
      <c r="AH133" s="274"/>
      <c r="AI133" s="274"/>
      <c r="AJ133" s="274"/>
      <c r="AK133" s="274"/>
      <c r="AL133" s="274"/>
      <c r="AM133" s="274"/>
      <c r="AN133" s="274"/>
      <c r="AO133" s="274"/>
      <c r="AP133" s="274"/>
      <c r="AQ133" s="274"/>
      <c r="AR133" s="274"/>
      <c r="AS133" s="274"/>
      <c r="AT133" s="274"/>
      <c r="AU133" s="274"/>
      <c r="AV133" s="274"/>
      <c r="AW133" s="274"/>
      <c r="AX133" s="274"/>
      <c r="AY133" s="274"/>
      <c r="AZ133" s="274"/>
      <c r="BA133" s="274"/>
      <c r="BB133" s="274"/>
      <c r="BC133" s="274"/>
      <c r="BD133" s="274"/>
      <c r="BE133" s="274"/>
      <c r="BF133" s="274"/>
      <c r="BG133" s="274"/>
      <c r="BH133" s="274"/>
      <c r="BI133" s="274"/>
      <c r="BJ133" s="274"/>
      <c r="BK133" s="274"/>
    </row>
    <row r="134" spans="1:63" x14ac:dyDescent="0.25">
      <c r="A134" s="67" t="s">
        <v>1051</v>
      </c>
      <c r="B134" s="67">
        <v>35</v>
      </c>
      <c r="C134" s="67" t="s">
        <v>1085</v>
      </c>
      <c r="D134" s="75">
        <v>0.1</v>
      </c>
      <c r="E134" s="75">
        <v>0.11</v>
      </c>
      <c r="F134" s="75">
        <v>0.12</v>
      </c>
      <c r="G134" s="75">
        <v>0.13</v>
      </c>
      <c r="H134" s="75">
        <v>0.14000000000000001</v>
      </c>
      <c r="I134" s="75">
        <v>0.15</v>
      </c>
      <c r="J134" s="75">
        <v>0.16</v>
      </c>
      <c r="K134" s="75">
        <v>0.17</v>
      </c>
      <c r="L134" s="75">
        <v>0.18</v>
      </c>
      <c r="M134" s="75">
        <v>0.19</v>
      </c>
      <c r="N134" s="75">
        <v>0.2</v>
      </c>
      <c r="O134" s="75">
        <v>0.21</v>
      </c>
      <c r="P134" s="75">
        <v>0.22</v>
      </c>
      <c r="Q134" s="75">
        <v>0.23</v>
      </c>
      <c r="R134" s="75">
        <v>0.24</v>
      </c>
      <c r="S134" s="75">
        <v>0.25</v>
      </c>
      <c r="T134" s="75">
        <v>0.26</v>
      </c>
      <c r="U134" s="75">
        <v>0.27</v>
      </c>
      <c r="V134" s="75">
        <v>0.28000000000000003</v>
      </c>
      <c r="W134" s="75">
        <v>0.28999999999999998</v>
      </c>
      <c r="X134" s="75">
        <v>0.3</v>
      </c>
      <c r="Y134" s="75">
        <v>0.31</v>
      </c>
      <c r="Z134" s="75">
        <v>0.32</v>
      </c>
      <c r="AA134" s="75">
        <v>0.33</v>
      </c>
      <c r="AB134" s="75">
        <v>0.34</v>
      </c>
      <c r="AC134" s="75">
        <v>0.35</v>
      </c>
      <c r="AD134" s="75">
        <v>0.36</v>
      </c>
      <c r="AE134" s="75">
        <v>0.37</v>
      </c>
      <c r="AF134" s="75">
        <v>0.38</v>
      </c>
      <c r="AG134" s="75">
        <v>0.4</v>
      </c>
      <c r="AH134" s="75">
        <v>0.42</v>
      </c>
      <c r="AI134" s="75">
        <v>0.44</v>
      </c>
      <c r="AJ134" s="75">
        <v>0.46</v>
      </c>
      <c r="AK134" s="75">
        <v>0.48</v>
      </c>
      <c r="AL134" s="75">
        <v>0.5</v>
      </c>
      <c r="AM134" s="75"/>
      <c r="AN134" s="75"/>
      <c r="AO134" s="75"/>
      <c r="AP134" s="75"/>
      <c r="AQ134" s="75"/>
      <c r="AR134" s="75"/>
      <c r="AS134" s="75"/>
      <c r="AT134" s="75"/>
      <c r="AU134" s="75"/>
      <c r="AV134" s="75"/>
      <c r="AW134" s="75"/>
      <c r="AX134" s="75"/>
      <c r="AY134" s="75"/>
      <c r="AZ134" s="75"/>
      <c r="BA134" s="75"/>
      <c r="BB134" s="75"/>
      <c r="BC134" s="75"/>
      <c r="BD134" s="75"/>
      <c r="BE134" s="75"/>
      <c r="BF134" s="75"/>
      <c r="BG134" s="75"/>
      <c r="BH134" s="75"/>
      <c r="BI134" s="75"/>
      <c r="BJ134" s="75"/>
      <c r="BK134" s="75"/>
    </row>
    <row r="135" spans="1:63" x14ac:dyDescent="0.25">
      <c r="A135" s="67" t="s">
        <v>997</v>
      </c>
      <c r="B135" s="67">
        <v>35</v>
      </c>
      <c r="D135" s="274">
        <v>0</v>
      </c>
      <c r="E135" s="274">
        <v>0</v>
      </c>
      <c r="F135" s="274">
        <v>0</v>
      </c>
      <c r="G135" s="274">
        <v>0</v>
      </c>
      <c r="H135" s="274">
        <v>1</v>
      </c>
      <c r="I135" s="274">
        <v>1</v>
      </c>
      <c r="J135" s="274">
        <v>1</v>
      </c>
      <c r="K135" s="274">
        <v>1</v>
      </c>
      <c r="L135" s="274">
        <v>1</v>
      </c>
      <c r="M135" s="274">
        <v>2</v>
      </c>
      <c r="N135" s="274">
        <v>2</v>
      </c>
      <c r="O135" s="274">
        <v>2</v>
      </c>
      <c r="P135" s="274">
        <v>2</v>
      </c>
      <c r="Q135" s="274">
        <v>2</v>
      </c>
      <c r="R135" s="274">
        <v>3</v>
      </c>
      <c r="S135" s="274">
        <v>3</v>
      </c>
      <c r="T135" s="274">
        <v>3</v>
      </c>
      <c r="U135" s="274">
        <v>3</v>
      </c>
      <c r="V135" s="274">
        <v>3</v>
      </c>
      <c r="W135" s="274">
        <v>3</v>
      </c>
      <c r="X135" s="274">
        <v>3</v>
      </c>
      <c r="Y135" s="274">
        <v>3</v>
      </c>
      <c r="Z135" s="274">
        <v>3</v>
      </c>
      <c r="AA135" s="274">
        <v>3</v>
      </c>
      <c r="AB135" s="274">
        <v>4</v>
      </c>
      <c r="AC135" s="274">
        <v>4</v>
      </c>
      <c r="AD135" s="274">
        <v>4</v>
      </c>
      <c r="AE135" s="274">
        <v>4</v>
      </c>
      <c r="AF135" s="274">
        <v>4</v>
      </c>
      <c r="AG135" s="274">
        <v>4</v>
      </c>
      <c r="AH135" s="274">
        <v>4</v>
      </c>
      <c r="AI135" s="274">
        <v>4</v>
      </c>
      <c r="AJ135" s="274">
        <v>4</v>
      </c>
      <c r="AK135" s="274">
        <v>4</v>
      </c>
      <c r="AL135" s="274">
        <v>5</v>
      </c>
      <c r="AM135" s="75"/>
      <c r="AN135" s="75"/>
      <c r="AO135" s="75"/>
      <c r="AP135" s="75"/>
      <c r="AQ135" s="75"/>
      <c r="AR135" s="75"/>
      <c r="AS135" s="75"/>
      <c r="AT135" s="75"/>
      <c r="AU135" s="75"/>
      <c r="AV135" s="75"/>
      <c r="AW135" s="75"/>
      <c r="AX135" s="75"/>
      <c r="AY135" s="75"/>
      <c r="AZ135" s="75"/>
      <c r="BA135" s="75"/>
      <c r="BB135" s="75"/>
      <c r="BC135" s="75"/>
      <c r="BD135" s="75"/>
      <c r="BE135" s="75"/>
      <c r="BF135" s="75"/>
      <c r="BG135" s="75"/>
      <c r="BH135" s="75"/>
      <c r="BI135" s="75"/>
      <c r="BJ135" s="75"/>
      <c r="BK135" s="75"/>
    </row>
    <row r="136" spans="1:63" x14ac:dyDescent="0.25">
      <c r="A136" s="67" t="s">
        <v>1324</v>
      </c>
      <c r="D136" s="45">
        <v>40</v>
      </c>
      <c r="E136" s="53">
        <v>0.23</v>
      </c>
      <c r="F136" s="45">
        <v>80</v>
      </c>
      <c r="G136" s="53">
        <v>0.46</v>
      </c>
      <c r="H136" s="45">
        <v>130</v>
      </c>
      <c r="I136" s="53">
        <v>0.69</v>
      </c>
      <c r="J136" s="45">
        <v>180</v>
      </c>
      <c r="K136" s="53">
        <v>0.92</v>
      </c>
      <c r="L136" s="45">
        <v>240</v>
      </c>
      <c r="M136" s="53">
        <v>1.1499999999999999</v>
      </c>
      <c r="N136" s="45">
        <v>320</v>
      </c>
      <c r="O136" s="53">
        <v>1.38</v>
      </c>
      <c r="P136" s="45">
        <v>440</v>
      </c>
      <c r="Q136" s="53">
        <v>1.61</v>
      </c>
      <c r="R136" s="45">
        <v>600</v>
      </c>
      <c r="S136" s="53">
        <v>1.84</v>
      </c>
      <c r="T136" s="45">
        <v>800</v>
      </c>
      <c r="U136" s="53">
        <v>2.0699999999999998</v>
      </c>
      <c r="V136" s="45">
        <v>1200</v>
      </c>
      <c r="W136" s="53">
        <v>2.2999999999999998</v>
      </c>
      <c r="X136" s="274"/>
      <c r="Y136" s="274"/>
      <c r="Z136" s="274"/>
      <c r="AA136" s="274"/>
      <c r="AB136" s="274"/>
      <c r="AC136" s="274"/>
      <c r="AD136" s="274"/>
      <c r="AE136" s="274"/>
      <c r="AF136" s="274"/>
      <c r="AG136" s="274"/>
      <c r="AH136" s="274"/>
      <c r="AI136" s="274"/>
      <c r="AJ136" s="274"/>
      <c r="AK136" s="274"/>
      <c r="AL136" s="274"/>
      <c r="AM136" s="75"/>
      <c r="AN136" s="75"/>
      <c r="AO136" s="75"/>
      <c r="AP136" s="75"/>
      <c r="AQ136" s="75"/>
      <c r="AR136" s="75"/>
      <c r="AS136" s="75"/>
      <c r="AT136" s="75"/>
      <c r="AU136" s="75"/>
      <c r="AV136" s="75"/>
      <c r="AW136" s="75"/>
      <c r="AX136" s="75"/>
      <c r="AY136" s="75"/>
      <c r="AZ136" s="75"/>
      <c r="BA136" s="75"/>
      <c r="BB136" s="75"/>
      <c r="BC136" s="75"/>
      <c r="BD136" s="75"/>
      <c r="BE136" s="75"/>
      <c r="BF136" s="75"/>
      <c r="BG136" s="75"/>
      <c r="BH136" s="75"/>
      <c r="BI136" s="75"/>
      <c r="BJ136" s="75"/>
      <c r="BK136" s="75"/>
    </row>
    <row r="137" spans="1:63" x14ac:dyDescent="0.25">
      <c r="A137" s="67" t="s">
        <v>1052</v>
      </c>
      <c r="B137" s="67">
        <v>45</v>
      </c>
      <c r="C137" s="67" t="s">
        <v>1170</v>
      </c>
      <c r="D137" s="75">
        <v>0.7</v>
      </c>
      <c r="E137" s="284">
        <v>0.73899999999999999</v>
      </c>
      <c r="F137" s="284">
        <v>0.77800000000000002</v>
      </c>
      <c r="G137" s="284">
        <v>0.81699999999999995</v>
      </c>
      <c r="H137" s="284">
        <v>0.85599999999999998</v>
      </c>
      <c r="I137" s="284">
        <v>0.89500000000000002</v>
      </c>
      <c r="J137" s="284">
        <v>0.93400000000000005</v>
      </c>
      <c r="K137" s="284">
        <v>0.97299999999999998</v>
      </c>
      <c r="L137" s="284">
        <v>1.012</v>
      </c>
      <c r="M137" s="284">
        <v>1.0509999999999999</v>
      </c>
      <c r="N137" s="75">
        <v>1.0900000000000001</v>
      </c>
      <c r="O137" s="284">
        <v>1.129</v>
      </c>
      <c r="P137" s="284">
        <v>1.1679999999999999</v>
      </c>
      <c r="Q137" s="284">
        <v>1.2070000000000001</v>
      </c>
      <c r="R137" s="284">
        <v>1.246</v>
      </c>
      <c r="S137" s="284">
        <v>1.2849999999999999</v>
      </c>
      <c r="T137" s="284">
        <v>1.3240000000000001</v>
      </c>
      <c r="U137" s="284">
        <v>1.363</v>
      </c>
      <c r="V137" s="284">
        <v>1.4019999999999999</v>
      </c>
      <c r="W137" s="284">
        <v>1.4410000000000001</v>
      </c>
      <c r="X137" s="75">
        <v>1.48</v>
      </c>
      <c r="Y137" s="284">
        <v>1.5189999999999999</v>
      </c>
      <c r="Z137" s="284">
        <v>1.5580000000000001</v>
      </c>
      <c r="AA137" s="284">
        <v>1.597</v>
      </c>
      <c r="AB137" s="284">
        <v>1.6359999999999999</v>
      </c>
      <c r="AC137" s="284">
        <v>1.675</v>
      </c>
      <c r="AD137" s="284">
        <v>1.714</v>
      </c>
      <c r="AE137" s="284">
        <v>1.7529999999999999</v>
      </c>
      <c r="AF137" s="284">
        <v>1.792</v>
      </c>
      <c r="AG137" s="284">
        <v>1.831</v>
      </c>
      <c r="AH137" s="75">
        <v>1.87</v>
      </c>
      <c r="AI137" s="284">
        <v>1.909</v>
      </c>
      <c r="AJ137" s="284">
        <v>1.948</v>
      </c>
      <c r="AK137" s="284">
        <v>1.986</v>
      </c>
      <c r="AL137" s="284">
        <v>2.0249999999999999</v>
      </c>
      <c r="AM137" s="284">
        <v>2.0640000000000001</v>
      </c>
      <c r="AN137" s="284">
        <v>2.1030000000000002</v>
      </c>
      <c r="AO137" s="284">
        <v>2.1419999999999999</v>
      </c>
      <c r="AP137" s="284">
        <v>2.181</v>
      </c>
      <c r="AQ137" s="75">
        <v>2.2200000000000002</v>
      </c>
      <c r="AR137" s="284">
        <v>2.2589999999999999</v>
      </c>
      <c r="AS137" s="284">
        <v>2.298</v>
      </c>
      <c r="AT137" s="284">
        <v>2.3370000000000002</v>
      </c>
      <c r="AU137" s="284">
        <v>2.3759999999999999</v>
      </c>
      <c r="AV137" s="75">
        <v>2.5</v>
      </c>
      <c r="AW137" s="75"/>
      <c r="AX137" s="75"/>
      <c r="AY137" s="75"/>
      <c r="AZ137" s="75"/>
      <c r="BA137" s="75"/>
      <c r="BB137" s="75"/>
      <c r="BC137" s="75"/>
      <c r="BD137" s="75"/>
      <c r="BE137" s="75"/>
      <c r="BF137" s="75"/>
      <c r="BG137" s="75"/>
      <c r="BH137" s="75"/>
      <c r="BI137" s="75"/>
      <c r="BJ137" s="75"/>
      <c r="BK137" s="75"/>
    </row>
    <row r="138" spans="1:63" x14ac:dyDescent="0.25">
      <c r="A138" s="67" t="s">
        <v>998</v>
      </c>
      <c r="B138" s="67">
        <v>45</v>
      </c>
      <c r="D138" s="274">
        <v>0</v>
      </c>
      <c r="E138" s="274">
        <v>0</v>
      </c>
      <c r="F138" s="274">
        <v>0</v>
      </c>
      <c r="G138" s="274">
        <v>0</v>
      </c>
      <c r="H138" s="274">
        <v>1</v>
      </c>
      <c r="I138" s="274">
        <v>1</v>
      </c>
      <c r="J138" s="274">
        <v>1</v>
      </c>
      <c r="K138" s="274">
        <v>1</v>
      </c>
      <c r="L138" s="274">
        <v>1</v>
      </c>
      <c r="M138" s="274">
        <v>2</v>
      </c>
      <c r="N138" s="274">
        <v>2</v>
      </c>
      <c r="O138" s="274">
        <v>2</v>
      </c>
      <c r="P138" s="274">
        <v>2</v>
      </c>
      <c r="Q138" s="274">
        <v>2</v>
      </c>
      <c r="R138" s="274">
        <v>2</v>
      </c>
      <c r="S138" s="274">
        <v>2</v>
      </c>
      <c r="T138" s="274">
        <v>2</v>
      </c>
      <c r="U138" s="274">
        <v>2</v>
      </c>
      <c r="V138" s="274">
        <v>2</v>
      </c>
      <c r="W138" s="274">
        <v>3</v>
      </c>
      <c r="X138" s="274">
        <v>3</v>
      </c>
      <c r="Y138" s="274">
        <v>3</v>
      </c>
      <c r="Z138" s="274">
        <v>3</v>
      </c>
      <c r="AA138" s="274">
        <v>3</v>
      </c>
      <c r="AB138" s="274">
        <v>3</v>
      </c>
      <c r="AC138" s="274">
        <v>3</v>
      </c>
      <c r="AD138" s="274">
        <v>3</v>
      </c>
      <c r="AE138" s="274">
        <v>3</v>
      </c>
      <c r="AF138" s="274">
        <v>3</v>
      </c>
      <c r="AG138" s="274">
        <v>4</v>
      </c>
      <c r="AH138" s="274">
        <v>4</v>
      </c>
      <c r="AI138" s="274">
        <v>4</v>
      </c>
      <c r="AJ138" s="274">
        <v>4</v>
      </c>
      <c r="AK138" s="274">
        <v>4</v>
      </c>
      <c r="AL138" s="274">
        <v>5</v>
      </c>
      <c r="AM138" s="274">
        <v>5</v>
      </c>
      <c r="AN138" s="274">
        <v>5</v>
      </c>
      <c r="AO138" s="274">
        <v>5</v>
      </c>
      <c r="AP138" s="274">
        <v>5</v>
      </c>
      <c r="AQ138" s="274">
        <v>6</v>
      </c>
      <c r="AR138" s="274">
        <v>6</v>
      </c>
      <c r="AS138" s="274">
        <v>6</v>
      </c>
      <c r="AT138" s="274">
        <v>6</v>
      </c>
      <c r="AU138" s="274">
        <v>6</v>
      </c>
      <c r="AV138" s="274">
        <v>7</v>
      </c>
      <c r="AW138" s="75"/>
      <c r="AX138" s="75"/>
      <c r="AY138" s="75"/>
      <c r="AZ138" s="75"/>
      <c r="BA138" s="75"/>
      <c r="BB138" s="75"/>
      <c r="BC138" s="75"/>
      <c r="BD138" s="75"/>
      <c r="BE138" s="75"/>
      <c r="BF138" s="75"/>
      <c r="BG138" s="75"/>
      <c r="BH138" s="75"/>
      <c r="BI138" s="75"/>
      <c r="BJ138" s="75"/>
      <c r="BK138" s="75"/>
    </row>
    <row r="139" spans="1:63" x14ac:dyDescent="0.25">
      <c r="A139" s="67" t="s">
        <v>1325</v>
      </c>
      <c r="D139" s="45">
        <v>200</v>
      </c>
      <c r="E139" s="53">
        <v>0.3</v>
      </c>
      <c r="F139" s="45">
        <v>400</v>
      </c>
      <c r="G139" s="53">
        <v>0.6</v>
      </c>
      <c r="H139" s="45">
        <v>650</v>
      </c>
      <c r="I139" s="53">
        <v>0.9</v>
      </c>
      <c r="J139" s="45">
        <v>900</v>
      </c>
      <c r="K139" s="53">
        <v>1.2</v>
      </c>
      <c r="L139" s="45">
        <v>1200</v>
      </c>
      <c r="M139" s="53">
        <v>1.5</v>
      </c>
      <c r="N139" s="45">
        <v>1600</v>
      </c>
      <c r="O139" s="53">
        <v>1.8</v>
      </c>
      <c r="P139" s="45">
        <v>2200</v>
      </c>
      <c r="Q139" s="53">
        <v>2.1</v>
      </c>
      <c r="R139" s="45">
        <v>3000</v>
      </c>
      <c r="S139" s="53">
        <v>2.4</v>
      </c>
      <c r="T139" s="45">
        <v>4000</v>
      </c>
      <c r="U139" s="53">
        <v>2.7</v>
      </c>
      <c r="V139" s="45">
        <v>6000</v>
      </c>
      <c r="W139" s="53">
        <v>3</v>
      </c>
      <c r="X139" s="274"/>
      <c r="Y139" s="274"/>
      <c r="Z139" s="274"/>
      <c r="AA139" s="274"/>
      <c r="AB139" s="274"/>
      <c r="AC139" s="274"/>
      <c r="AD139" s="274"/>
      <c r="AE139" s="274"/>
      <c r="AF139" s="274"/>
      <c r="AG139" s="274"/>
      <c r="AH139" s="274"/>
      <c r="AI139" s="274"/>
      <c r="AJ139" s="274"/>
      <c r="AK139" s="274"/>
      <c r="AL139" s="274"/>
      <c r="AM139" s="274"/>
      <c r="AN139" s="274"/>
      <c r="AO139" s="274"/>
      <c r="AP139" s="274"/>
      <c r="AQ139" s="274"/>
      <c r="AR139" s="274"/>
      <c r="AS139" s="274"/>
      <c r="AT139" s="274"/>
      <c r="AU139" s="274"/>
      <c r="AV139" s="274"/>
      <c r="AW139" s="75"/>
      <c r="AX139" s="75"/>
      <c r="AY139" s="75"/>
      <c r="AZ139" s="75"/>
      <c r="BA139" s="75"/>
      <c r="BB139" s="75"/>
      <c r="BC139" s="75"/>
      <c r="BD139" s="75"/>
      <c r="BE139" s="75"/>
      <c r="BF139" s="75"/>
      <c r="BG139" s="75"/>
      <c r="BH139" s="75"/>
      <c r="BI139" s="75"/>
      <c r="BJ139" s="75"/>
      <c r="BK139" s="75"/>
    </row>
    <row r="140" spans="1:63" x14ac:dyDescent="0.25">
      <c r="A140" s="67" t="s">
        <v>2223</v>
      </c>
      <c r="B140" s="67">
        <v>60</v>
      </c>
      <c r="C140" s="67" t="s">
        <v>2226</v>
      </c>
      <c r="D140" s="581">
        <v>5</v>
      </c>
      <c r="E140" s="581">
        <v>10</v>
      </c>
      <c r="F140" s="581">
        <v>15</v>
      </c>
      <c r="G140" s="581">
        <v>20</v>
      </c>
      <c r="H140" s="581">
        <v>25</v>
      </c>
      <c r="I140" s="581">
        <v>30</v>
      </c>
      <c r="J140" s="581">
        <v>35</v>
      </c>
      <c r="K140" s="581">
        <v>40</v>
      </c>
      <c r="L140" s="581">
        <v>45</v>
      </c>
      <c r="M140" s="581">
        <v>50</v>
      </c>
      <c r="N140" s="581">
        <v>55</v>
      </c>
      <c r="O140" s="581">
        <v>60</v>
      </c>
      <c r="P140" s="581">
        <v>65</v>
      </c>
      <c r="Q140" s="581">
        <v>70</v>
      </c>
      <c r="R140" s="581">
        <v>75</v>
      </c>
      <c r="S140" s="581">
        <v>80</v>
      </c>
      <c r="T140" s="581">
        <v>85</v>
      </c>
      <c r="U140" s="581">
        <v>90</v>
      </c>
      <c r="V140" s="581">
        <v>95</v>
      </c>
      <c r="W140" s="581">
        <v>100</v>
      </c>
      <c r="X140" s="582">
        <v>105</v>
      </c>
      <c r="Y140" s="582">
        <v>110</v>
      </c>
      <c r="Z140" s="582">
        <v>115</v>
      </c>
      <c r="AA140" s="582">
        <v>120</v>
      </c>
      <c r="AB140" s="582">
        <v>125</v>
      </c>
      <c r="AC140" s="582">
        <v>130</v>
      </c>
      <c r="AD140" s="582">
        <v>135</v>
      </c>
      <c r="AE140" s="582">
        <v>140</v>
      </c>
      <c r="AF140" s="582">
        <v>145</v>
      </c>
      <c r="AG140" s="582">
        <v>150</v>
      </c>
      <c r="AH140" s="582">
        <v>155</v>
      </c>
      <c r="AI140" s="582">
        <v>160</v>
      </c>
      <c r="AJ140" s="582">
        <v>165</v>
      </c>
      <c r="AK140" s="582">
        <v>170</v>
      </c>
      <c r="AL140" s="582">
        <v>175</v>
      </c>
      <c r="AM140" s="582">
        <v>180</v>
      </c>
      <c r="AN140" s="582">
        <v>185</v>
      </c>
      <c r="AO140" s="582">
        <v>190</v>
      </c>
      <c r="AP140" s="582">
        <v>195</v>
      </c>
      <c r="AQ140" s="582">
        <v>200</v>
      </c>
      <c r="AR140" s="582">
        <v>205</v>
      </c>
      <c r="AS140" s="582">
        <v>210</v>
      </c>
      <c r="AT140" s="582">
        <v>215</v>
      </c>
      <c r="AU140" s="582">
        <v>220</v>
      </c>
      <c r="AV140" s="582">
        <v>225</v>
      </c>
      <c r="AW140" s="582">
        <v>230</v>
      </c>
      <c r="AX140" s="582">
        <v>235</v>
      </c>
      <c r="AY140" s="582">
        <v>240</v>
      </c>
      <c r="AZ140" s="582">
        <v>245</v>
      </c>
      <c r="BA140" s="582">
        <v>250</v>
      </c>
      <c r="BB140" s="582">
        <v>255</v>
      </c>
      <c r="BC140" s="582">
        <v>260</v>
      </c>
      <c r="BD140" s="582">
        <v>265</v>
      </c>
      <c r="BE140" s="582">
        <v>270</v>
      </c>
      <c r="BF140" s="582">
        <v>275</v>
      </c>
      <c r="BG140" s="582">
        <v>281</v>
      </c>
      <c r="BH140" s="582">
        <v>287</v>
      </c>
      <c r="BI140" s="582">
        <v>293</v>
      </c>
      <c r="BJ140" s="582">
        <v>299</v>
      </c>
      <c r="BK140" s="582">
        <v>305</v>
      </c>
    </row>
    <row r="141" spans="1:63" x14ac:dyDescent="0.25">
      <c r="A141" s="67" t="s">
        <v>2224</v>
      </c>
      <c r="B141" s="67">
        <v>60</v>
      </c>
      <c r="D141" s="67">
        <v>0</v>
      </c>
      <c r="E141" s="67">
        <v>0</v>
      </c>
      <c r="F141" s="67">
        <v>0</v>
      </c>
      <c r="G141" s="67">
        <v>0</v>
      </c>
      <c r="H141" s="67">
        <v>1</v>
      </c>
      <c r="I141" s="67">
        <v>1</v>
      </c>
      <c r="J141" s="67">
        <v>1</v>
      </c>
      <c r="K141" s="67">
        <v>1</v>
      </c>
      <c r="L141" s="67">
        <v>1</v>
      </c>
      <c r="M141" s="67">
        <v>2</v>
      </c>
      <c r="N141" s="67">
        <v>2</v>
      </c>
      <c r="O141" s="67">
        <v>2</v>
      </c>
      <c r="P141" s="67">
        <v>2</v>
      </c>
      <c r="Q141" s="67">
        <v>2</v>
      </c>
      <c r="R141" s="67">
        <v>2</v>
      </c>
      <c r="S141" s="67">
        <v>2</v>
      </c>
      <c r="T141" s="67">
        <v>2</v>
      </c>
      <c r="U141" s="67">
        <v>2</v>
      </c>
      <c r="V141" s="67">
        <v>2</v>
      </c>
      <c r="W141" s="67">
        <v>3</v>
      </c>
      <c r="X141" s="67">
        <v>3</v>
      </c>
      <c r="Y141" s="67">
        <v>3</v>
      </c>
      <c r="Z141" s="67">
        <v>3</v>
      </c>
      <c r="AA141" s="67">
        <v>3</v>
      </c>
      <c r="AB141" s="67">
        <v>3</v>
      </c>
      <c r="AC141" s="67">
        <v>3</v>
      </c>
      <c r="AD141" s="67">
        <v>3</v>
      </c>
      <c r="AE141" s="67">
        <v>3</v>
      </c>
      <c r="AF141" s="67">
        <v>3</v>
      </c>
      <c r="AG141" s="67">
        <v>4</v>
      </c>
      <c r="AH141" s="67">
        <v>4</v>
      </c>
      <c r="AI141" s="67">
        <v>4</v>
      </c>
      <c r="AJ141" s="67">
        <v>4</v>
      </c>
      <c r="AK141" s="67">
        <v>4</v>
      </c>
      <c r="AL141" s="67">
        <v>4</v>
      </c>
      <c r="AM141" s="67">
        <v>4</v>
      </c>
      <c r="AN141" s="67">
        <v>4</v>
      </c>
      <c r="AO141" s="67">
        <v>4</v>
      </c>
      <c r="AP141" s="67">
        <v>4</v>
      </c>
      <c r="AQ141" s="67">
        <v>5</v>
      </c>
      <c r="AR141" s="67">
        <v>5</v>
      </c>
      <c r="AS141" s="67">
        <v>5</v>
      </c>
      <c r="AT141" s="67">
        <v>5</v>
      </c>
      <c r="AU141" s="67">
        <v>5</v>
      </c>
      <c r="AV141" s="67">
        <v>6</v>
      </c>
      <c r="AW141" s="67">
        <v>6</v>
      </c>
      <c r="AX141" s="67">
        <v>6</v>
      </c>
      <c r="AY141" s="67">
        <v>6</v>
      </c>
      <c r="AZ141" s="67">
        <v>6</v>
      </c>
      <c r="BA141" s="67">
        <v>6</v>
      </c>
      <c r="BB141" s="67">
        <v>6</v>
      </c>
      <c r="BC141" s="67">
        <v>6</v>
      </c>
      <c r="BD141" s="67">
        <v>6</v>
      </c>
      <c r="BE141" s="67">
        <v>6</v>
      </c>
      <c r="BF141" s="67">
        <v>7</v>
      </c>
      <c r="BG141" s="67">
        <v>7</v>
      </c>
      <c r="BH141" s="67">
        <v>7</v>
      </c>
      <c r="BI141" s="67">
        <v>7</v>
      </c>
      <c r="BJ141" s="67">
        <v>7</v>
      </c>
      <c r="BK141" s="67">
        <v>7</v>
      </c>
    </row>
    <row r="142" spans="1:63" x14ac:dyDescent="0.25">
      <c r="A142" s="67" t="s">
        <v>2225</v>
      </c>
      <c r="D142" s="45">
        <v>1500</v>
      </c>
      <c r="E142" s="53">
        <v>0.5</v>
      </c>
      <c r="F142" s="45">
        <v>3000</v>
      </c>
      <c r="G142" s="53">
        <v>1</v>
      </c>
      <c r="H142" s="45">
        <v>4875</v>
      </c>
      <c r="I142" s="53">
        <v>1.5</v>
      </c>
      <c r="J142" s="45">
        <v>6750</v>
      </c>
      <c r="K142" s="53">
        <v>2</v>
      </c>
      <c r="L142" s="45">
        <v>9000</v>
      </c>
      <c r="M142" s="53">
        <v>2.5</v>
      </c>
      <c r="N142" s="45">
        <v>12000</v>
      </c>
      <c r="O142" s="53">
        <v>3</v>
      </c>
      <c r="P142" s="45">
        <v>16500</v>
      </c>
      <c r="Q142" s="53">
        <v>3.5</v>
      </c>
      <c r="R142" s="45">
        <v>22500</v>
      </c>
      <c r="S142" s="53">
        <v>4</v>
      </c>
      <c r="T142" s="45">
        <v>30000</v>
      </c>
      <c r="U142" s="53">
        <v>4.5</v>
      </c>
      <c r="V142" s="45">
        <v>45000</v>
      </c>
      <c r="W142" s="53">
        <v>5</v>
      </c>
      <c r="X142" s="274"/>
      <c r="Y142" s="274"/>
      <c r="Z142" s="274"/>
      <c r="AA142" s="274"/>
      <c r="AB142" s="274"/>
      <c r="AC142" s="274"/>
      <c r="AD142" s="274"/>
      <c r="AE142" s="274"/>
      <c r="AF142" s="274"/>
      <c r="AG142" s="274"/>
      <c r="AH142" s="274"/>
      <c r="AI142" s="274"/>
      <c r="AJ142" s="274"/>
      <c r="AK142" s="274"/>
      <c r="AL142" s="274"/>
      <c r="AM142" s="274"/>
      <c r="AN142" s="274"/>
      <c r="AO142" s="274"/>
      <c r="AP142" s="274"/>
      <c r="AQ142" s="274"/>
      <c r="AR142" s="274"/>
      <c r="AS142" s="274"/>
      <c r="AT142" s="274"/>
      <c r="AU142" s="274"/>
      <c r="AV142" s="274"/>
      <c r="AW142" s="75"/>
      <c r="AX142" s="75"/>
      <c r="AY142" s="75"/>
      <c r="AZ142" s="75"/>
      <c r="BA142" s="75"/>
      <c r="BB142" s="75"/>
      <c r="BC142" s="75"/>
      <c r="BD142" s="75"/>
      <c r="BE142" s="75"/>
      <c r="BF142" s="75"/>
      <c r="BG142" s="75"/>
      <c r="BH142" s="75"/>
      <c r="BI142" s="75"/>
      <c r="BJ142" s="75"/>
      <c r="BK142" s="75"/>
    </row>
    <row r="143" spans="1:63" x14ac:dyDescent="0.25">
      <c r="A143" s="67" t="s">
        <v>1810</v>
      </c>
      <c r="B143" s="67">
        <v>60</v>
      </c>
      <c r="C143" s="67" t="s">
        <v>1813</v>
      </c>
      <c r="D143" s="53">
        <v>0.02</v>
      </c>
      <c r="E143" s="53">
        <v>0.03</v>
      </c>
      <c r="F143" s="53">
        <v>0.04</v>
      </c>
      <c r="G143" s="53">
        <v>0.06</v>
      </c>
      <c r="H143" s="53">
        <v>0.08</v>
      </c>
      <c r="I143" s="53">
        <v>0.09</v>
      </c>
      <c r="J143" s="53">
        <v>0.1</v>
      </c>
      <c r="K143" s="53">
        <v>0.12</v>
      </c>
      <c r="L143" s="53">
        <v>0.14000000000000001</v>
      </c>
      <c r="M143" s="53">
        <v>0.17</v>
      </c>
      <c r="N143" s="53">
        <v>0.18</v>
      </c>
      <c r="O143" s="53">
        <v>0.19</v>
      </c>
      <c r="P143" s="53">
        <v>0.21</v>
      </c>
      <c r="Q143" s="53">
        <v>0.22</v>
      </c>
      <c r="R143" s="53">
        <v>0.25</v>
      </c>
      <c r="S143" s="53">
        <v>0.26</v>
      </c>
      <c r="T143" s="53">
        <v>0.27</v>
      </c>
      <c r="U143" s="53">
        <v>0.28999999999999998</v>
      </c>
      <c r="V143" s="53">
        <v>0.31</v>
      </c>
      <c r="W143" s="53">
        <v>0.33</v>
      </c>
      <c r="X143" s="75">
        <v>0.34</v>
      </c>
      <c r="Y143" s="75">
        <v>0.35</v>
      </c>
      <c r="Z143" s="75">
        <v>0.37</v>
      </c>
      <c r="AA143" s="75">
        <v>0.39</v>
      </c>
      <c r="AB143" s="75">
        <v>0.42</v>
      </c>
      <c r="AC143" s="75">
        <v>0.43</v>
      </c>
      <c r="AD143" s="75">
        <v>0.44</v>
      </c>
      <c r="AE143" s="75">
        <v>0.46</v>
      </c>
      <c r="AF143" s="75">
        <v>0.48</v>
      </c>
      <c r="AG143" s="75">
        <v>0.5</v>
      </c>
      <c r="AH143" s="75">
        <v>0.51</v>
      </c>
      <c r="AI143" s="75">
        <v>0.52</v>
      </c>
      <c r="AJ143" s="75">
        <v>0.54</v>
      </c>
      <c r="AK143" s="75">
        <v>0.56000000000000005</v>
      </c>
      <c r="AL143" s="75">
        <v>0.57999999999999996</v>
      </c>
      <c r="AM143" s="75">
        <v>0.59</v>
      </c>
      <c r="AN143" s="75">
        <v>0.6</v>
      </c>
      <c r="AO143" s="75">
        <v>0.62</v>
      </c>
      <c r="AP143" s="75">
        <v>0.64</v>
      </c>
      <c r="AQ143" s="75">
        <v>0.67</v>
      </c>
      <c r="AR143" s="75">
        <v>0.68</v>
      </c>
      <c r="AS143" s="75">
        <v>0.69</v>
      </c>
      <c r="AT143" s="75">
        <v>0.71</v>
      </c>
      <c r="AU143" s="75">
        <v>0.73</v>
      </c>
      <c r="AV143" s="75">
        <v>0.75</v>
      </c>
      <c r="AW143" s="75">
        <v>0.76</v>
      </c>
      <c r="AX143" s="75">
        <v>0.77</v>
      </c>
      <c r="AY143" s="75">
        <v>0.79</v>
      </c>
      <c r="AZ143" s="75">
        <v>0.81</v>
      </c>
      <c r="BA143" s="75">
        <v>0.83</v>
      </c>
      <c r="BB143" s="75">
        <v>0.84</v>
      </c>
      <c r="BC143" s="75">
        <v>0.85</v>
      </c>
      <c r="BD143" s="75">
        <v>0.87</v>
      </c>
      <c r="BE143" s="75">
        <v>0.89</v>
      </c>
      <c r="BF143" s="75">
        <v>0.92</v>
      </c>
      <c r="BG143" s="75">
        <v>0.93</v>
      </c>
      <c r="BH143" s="75">
        <v>0.94</v>
      </c>
      <c r="BI143" s="75">
        <v>0.96</v>
      </c>
      <c r="BJ143" s="75">
        <v>0.98</v>
      </c>
      <c r="BK143" s="75">
        <v>1</v>
      </c>
    </row>
    <row r="144" spans="1:63" x14ac:dyDescent="0.25">
      <c r="A144" s="67" t="s">
        <v>1811</v>
      </c>
      <c r="B144" s="67">
        <v>60</v>
      </c>
      <c r="D144" s="54">
        <v>0</v>
      </c>
      <c r="E144" s="54">
        <v>0</v>
      </c>
      <c r="F144" s="54">
        <v>0</v>
      </c>
      <c r="G144" s="54">
        <v>0</v>
      </c>
      <c r="H144" s="54">
        <v>1</v>
      </c>
      <c r="I144" s="54">
        <v>1</v>
      </c>
      <c r="J144" s="54">
        <v>1</v>
      </c>
      <c r="K144" s="54">
        <v>1</v>
      </c>
      <c r="L144" s="54">
        <v>1</v>
      </c>
      <c r="M144" s="54">
        <v>2</v>
      </c>
      <c r="N144" s="54">
        <v>2</v>
      </c>
      <c r="O144" s="54">
        <v>2</v>
      </c>
      <c r="P144" s="54">
        <v>2</v>
      </c>
      <c r="Q144" s="54">
        <v>2</v>
      </c>
      <c r="R144" s="54">
        <v>2</v>
      </c>
      <c r="S144" s="54">
        <v>2</v>
      </c>
      <c r="T144" s="54">
        <v>2</v>
      </c>
      <c r="U144" s="54">
        <v>2</v>
      </c>
      <c r="V144" s="54">
        <v>2</v>
      </c>
      <c r="W144" s="54">
        <v>3</v>
      </c>
      <c r="X144" s="274">
        <v>3</v>
      </c>
      <c r="Y144" s="274">
        <v>3</v>
      </c>
      <c r="Z144" s="274">
        <v>3</v>
      </c>
      <c r="AA144" s="274">
        <v>3</v>
      </c>
      <c r="AB144" s="274">
        <v>3</v>
      </c>
      <c r="AC144" s="274">
        <v>3</v>
      </c>
      <c r="AD144" s="274">
        <v>3</v>
      </c>
      <c r="AE144" s="274">
        <v>3</v>
      </c>
      <c r="AF144" s="274">
        <v>3</v>
      </c>
      <c r="AG144" s="274">
        <v>3</v>
      </c>
      <c r="AH144" s="274">
        <v>3</v>
      </c>
      <c r="AI144" s="274">
        <v>3</v>
      </c>
      <c r="AJ144" s="274">
        <v>3</v>
      </c>
      <c r="AK144" s="274">
        <v>3</v>
      </c>
      <c r="AL144" s="274">
        <v>4</v>
      </c>
      <c r="AM144" s="274">
        <v>4</v>
      </c>
      <c r="AN144" s="274">
        <v>4</v>
      </c>
      <c r="AO144" s="274">
        <v>4</v>
      </c>
      <c r="AP144" s="274">
        <v>4</v>
      </c>
      <c r="AQ144" s="274">
        <v>4</v>
      </c>
      <c r="AR144" s="274">
        <v>4</v>
      </c>
      <c r="AS144" s="274">
        <v>4</v>
      </c>
      <c r="AT144" s="274">
        <v>4</v>
      </c>
      <c r="AU144" s="274">
        <v>4</v>
      </c>
      <c r="AV144" s="274">
        <v>5</v>
      </c>
      <c r="AW144" s="274">
        <v>5</v>
      </c>
      <c r="AX144" s="274">
        <v>5</v>
      </c>
      <c r="AY144" s="274">
        <v>5</v>
      </c>
      <c r="AZ144" s="274">
        <v>5</v>
      </c>
      <c r="BA144" s="274">
        <v>5</v>
      </c>
      <c r="BB144" s="274">
        <v>5</v>
      </c>
      <c r="BC144" s="274">
        <v>5</v>
      </c>
      <c r="BD144" s="274">
        <v>5</v>
      </c>
      <c r="BE144" s="274">
        <v>5</v>
      </c>
      <c r="BF144" s="274">
        <v>6</v>
      </c>
      <c r="BG144" s="274">
        <v>6</v>
      </c>
      <c r="BH144" s="274">
        <v>6</v>
      </c>
      <c r="BI144" s="274">
        <v>6</v>
      </c>
      <c r="BJ144" s="274">
        <v>6</v>
      </c>
      <c r="BK144" s="274">
        <v>6</v>
      </c>
    </row>
    <row r="145" spans="1:63" x14ac:dyDescent="0.25">
      <c r="A145" s="67" t="s">
        <v>1812</v>
      </c>
      <c r="D145" s="45">
        <v>1800</v>
      </c>
      <c r="E145" s="53">
        <v>0.6</v>
      </c>
      <c r="F145" s="45">
        <v>3600</v>
      </c>
      <c r="G145" s="53">
        <v>1.2</v>
      </c>
      <c r="H145" s="45">
        <v>5850</v>
      </c>
      <c r="I145" s="53">
        <v>1.8</v>
      </c>
      <c r="J145" s="45">
        <v>8100</v>
      </c>
      <c r="K145" s="53">
        <v>2.4</v>
      </c>
      <c r="L145" s="45">
        <v>10800</v>
      </c>
      <c r="M145" s="53">
        <v>3</v>
      </c>
      <c r="N145" s="45">
        <v>14400</v>
      </c>
      <c r="O145" s="53">
        <v>3.6</v>
      </c>
      <c r="P145" s="45">
        <v>19800</v>
      </c>
      <c r="Q145" s="53">
        <v>4.2</v>
      </c>
      <c r="R145" s="45">
        <v>27000</v>
      </c>
      <c r="S145" s="53">
        <v>4.8</v>
      </c>
      <c r="T145" s="45">
        <v>36000</v>
      </c>
      <c r="U145" s="53">
        <v>5.4</v>
      </c>
      <c r="V145" s="45">
        <v>54000</v>
      </c>
      <c r="W145" s="53">
        <v>6</v>
      </c>
      <c r="X145" s="274"/>
      <c r="Y145" s="274"/>
      <c r="Z145" s="274"/>
      <c r="AA145" s="274"/>
      <c r="AB145" s="274"/>
      <c r="AC145" s="274"/>
      <c r="AD145" s="274"/>
      <c r="AE145" s="274"/>
      <c r="AF145" s="274"/>
      <c r="AG145" s="274"/>
      <c r="AH145" s="274"/>
      <c r="AI145" s="274"/>
      <c r="AJ145" s="274"/>
      <c r="AK145" s="274"/>
      <c r="AL145" s="274"/>
      <c r="AM145" s="274"/>
      <c r="AN145" s="274"/>
      <c r="AO145" s="274"/>
      <c r="AP145" s="274"/>
      <c r="AQ145" s="274"/>
      <c r="AR145" s="274"/>
      <c r="AS145" s="274"/>
      <c r="AT145" s="274"/>
      <c r="AU145" s="274"/>
      <c r="AV145" s="274"/>
      <c r="AW145" s="75"/>
      <c r="AX145" s="75"/>
      <c r="AY145" s="75"/>
      <c r="AZ145" s="75"/>
      <c r="BA145" s="75"/>
      <c r="BB145" s="75"/>
      <c r="BC145" s="75"/>
      <c r="BD145" s="75"/>
      <c r="BE145" s="75"/>
      <c r="BF145" s="75"/>
      <c r="BG145" s="75"/>
      <c r="BH145" s="75"/>
      <c r="BI145" s="75"/>
      <c r="BJ145" s="75"/>
      <c r="BK145" s="75"/>
    </row>
    <row r="146" spans="1:63" x14ac:dyDescent="0.25">
      <c r="A146" s="67" t="s">
        <v>1053</v>
      </c>
      <c r="B146" s="67">
        <v>45</v>
      </c>
      <c r="C146" s="67" t="s">
        <v>1204</v>
      </c>
      <c r="D146" s="75">
        <v>18.600000000000001</v>
      </c>
      <c r="E146" s="75">
        <v>19.2</v>
      </c>
      <c r="F146" s="75">
        <v>19.8</v>
      </c>
      <c r="G146" s="75">
        <v>20.399999999999999</v>
      </c>
      <c r="H146" s="75">
        <v>21</v>
      </c>
      <c r="I146" s="75">
        <v>21.6</v>
      </c>
      <c r="J146" s="75">
        <v>22.2</v>
      </c>
      <c r="K146" s="75">
        <v>22.8</v>
      </c>
      <c r="L146" s="75">
        <v>23.4</v>
      </c>
      <c r="M146" s="75">
        <v>24</v>
      </c>
      <c r="N146" s="75">
        <v>24.6</v>
      </c>
      <c r="O146" s="75">
        <v>25.2</v>
      </c>
      <c r="P146" s="75">
        <v>25.8</v>
      </c>
      <c r="Q146" s="75">
        <v>26.4</v>
      </c>
      <c r="R146" s="75">
        <v>27</v>
      </c>
      <c r="S146" s="75">
        <v>27.6</v>
      </c>
      <c r="T146" s="75">
        <v>28.2</v>
      </c>
      <c r="U146" s="75">
        <v>28.8</v>
      </c>
      <c r="V146" s="75">
        <v>29.4</v>
      </c>
      <c r="W146" s="75">
        <v>30</v>
      </c>
      <c r="X146" s="75">
        <v>30.6</v>
      </c>
      <c r="Y146" s="75">
        <v>31.2</v>
      </c>
      <c r="Z146" s="75">
        <v>31.8</v>
      </c>
      <c r="AA146" s="75">
        <v>32.4</v>
      </c>
      <c r="AB146" s="75">
        <v>33</v>
      </c>
      <c r="AC146" s="75">
        <v>33.6</v>
      </c>
      <c r="AD146" s="75">
        <v>34.200000000000003</v>
      </c>
      <c r="AE146" s="75">
        <v>34.799999999999997</v>
      </c>
      <c r="AF146" s="75">
        <v>35.4</v>
      </c>
      <c r="AG146" s="75">
        <v>36</v>
      </c>
      <c r="AH146" s="75">
        <v>36.6</v>
      </c>
      <c r="AI146" s="75">
        <v>37.200000000000003</v>
      </c>
      <c r="AJ146" s="75">
        <v>37.799999999999997</v>
      </c>
      <c r="AK146" s="75">
        <v>38.4</v>
      </c>
      <c r="AL146" s="75">
        <v>39</v>
      </c>
      <c r="AM146" s="75">
        <v>39.6</v>
      </c>
      <c r="AN146" s="75">
        <v>40.200000000000003</v>
      </c>
      <c r="AO146" s="75">
        <v>40.799999999999997</v>
      </c>
      <c r="AP146" s="75">
        <v>41.4</v>
      </c>
      <c r="AQ146" s="75">
        <v>42</v>
      </c>
      <c r="AR146" s="75">
        <v>42.6</v>
      </c>
      <c r="AS146" s="75">
        <v>43.2</v>
      </c>
      <c r="AT146" s="75">
        <v>43.8</v>
      </c>
      <c r="AU146" s="75">
        <v>44.4</v>
      </c>
      <c r="AV146" s="75">
        <v>45</v>
      </c>
      <c r="AW146" s="75"/>
      <c r="AX146" s="75"/>
      <c r="AY146" s="75"/>
      <c r="AZ146" s="75"/>
      <c r="BA146" s="75"/>
      <c r="BB146" s="75"/>
      <c r="BC146" s="75"/>
      <c r="BD146" s="75"/>
      <c r="BE146" s="75"/>
      <c r="BF146" s="75"/>
      <c r="BG146" s="75"/>
      <c r="BH146" s="75"/>
      <c r="BI146" s="75"/>
      <c r="BJ146" s="75"/>
      <c r="BK146" s="75"/>
    </row>
    <row r="147" spans="1:63" x14ac:dyDescent="0.25">
      <c r="A147" s="67" t="s">
        <v>999</v>
      </c>
      <c r="B147" s="67">
        <v>45</v>
      </c>
      <c r="D147" s="274">
        <v>0</v>
      </c>
      <c r="E147" s="274">
        <v>0</v>
      </c>
      <c r="F147" s="274">
        <v>0</v>
      </c>
      <c r="G147" s="274">
        <v>0</v>
      </c>
      <c r="H147" s="274">
        <v>1</v>
      </c>
      <c r="I147" s="274">
        <v>1</v>
      </c>
      <c r="J147" s="274">
        <v>1</v>
      </c>
      <c r="K147" s="274">
        <v>1</v>
      </c>
      <c r="L147" s="274">
        <v>1</v>
      </c>
      <c r="M147" s="274">
        <v>2</v>
      </c>
      <c r="N147" s="274">
        <v>2</v>
      </c>
      <c r="O147" s="274">
        <v>2</v>
      </c>
      <c r="P147" s="274">
        <v>2</v>
      </c>
      <c r="Q147" s="274">
        <v>2</v>
      </c>
      <c r="R147" s="274">
        <v>2</v>
      </c>
      <c r="S147" s="274">
        <v>2</v>
      </c>
      <c r="T147" s="274">
        <v>2</v>
      </c>
      <c r="U147" s="274">
        <v>2</v>
      </c>
      <c r="V147" s="274">
        <v>2</v>
      </c>
      <c r="W147" s="274">
        <v>3</v>
      </c>
      <c r="X147" s="274">
        <v>3</v>
      </c>
      <c r="Y147" s="274">
        <v>3</v>
      </c>
      <c r="Z147" s="274">
        <v>3</v>
      </c>
      <c r="AA147" s="274">
        <v>3</v>
      </c>
      <c r="AB147" s="274">
        <v>3</v>
      </c>
      <c r="AC147" s="274">
        <v>3</v>
      </c>
      <c r="AD147" s="274">
        <v>3</v>
      </c>
      <c r="AE147" s="274">
        <v>3</v>
      </c>
      <c r="AF147" s="274">
        <v>3</v>
      </c>
      <c r="AG147" s="274">
        <v>4</v>
      </c>
      <c r="AH147" s="274">
        <v>4</v>
      </c>
      <c r="AI147" s="274">
        <v>4</v>
      </c>
      <c r="AJ147" s="274">
        <v>4</v>
      </c>
      <c r="AK147" s="274">
        <v>4</v>
      </c>
      <c r="AL147" s="274">
        <v>4</v>
      </c>
      <c r="AM147" s="274">
        <v>4</v>
      </c>
      <c r="AN147" s="274">
        <v>4</v>
      </c>
      <c r="AO147" s="274">
        <v>4</v>
      </c>
      <c r="AP147" s="274">
        <v>4</v>
      </c>
      <c r="AQ147" s="274">
        <v>4</v>
      </c>
      <c r="AR147" s="274">
        <v>4</v>
      </c>
      <c r="AS147" s="274">
        <v>4</v>
      </c>
      <c r="AT147" s="274">
        <v>4</v>
      </c>
      <c r="AU147" s="274">
        <v>4</v>
      </c>
      <c r="AV147" s="274">
        <v>5</v>
      </c>
      <c r="AW147" s="75"/>
      <c r="AX147" s="75"/>
      <c r="AY147" s="75"/>
      <c r="AZ147" s="75"/>
      <c r="BA147" s="75"/>
      <c r="BB147" s="75"/>
      <c r="BC147" s="75"/>
      <c r="BD147" s="75"/>
      <c r="BE147" s="75"/>
      <c r="BF147" s="75"/>
      <c r="BG147" s="75"/>
      <c r="BH147" s="75"/>
      <c r="BI147" s="75"/>
      <c r="BJ147" s="75"/>
      <c r="BK147" s="75"/>
    </row>
    <row r="148" spans="1:63" x14ac:dyDescent="0.25">
      <c r="A148" s="67" t="s">
        <v>1326</v>
      </c>
      <c r="D148" s="45">
        <v>100</v>
      </c>
      <c r="E148" s="53">
        <v>0.3</v>
      </c>
      <c r="F148" s="45">
        <v>200</v>
      </c>
      <c r="G148" s="53">
        <v>0.6</v>
      </c>
      <c r="H148" s="45">
        <v>325</v>
      </c>
      <c r="I148" s="53">
        <v>0.9</v>
      </c>
      <c r="J148" s="45">
        <v>450</v>
      </c>
      <c r="K148" s="53">
        <v>1.2</v>
      </c>
      <c r="L148" s="45">
        <v>600</v>
      </c>
      <c r="M148" s="53">
        <v>1.5</v>
      </c>
      <c r="N148" s="45">
        <v>800</v>
      </c>
      <c r="O148" s="53">
        <v>1.8</v>
      </c>
      <c r="P148" s="45">
        <v>1100</v>
      </c>
      <c r="Q148" s="53">
        <v>2.1</v>
      </c>
      <c r="R148" s="45">
        <v>1500</v>
      </c>
      <c r="S148" s="53">
        <v>2.4</v>
      </c>
      <c r="T148" s="45">
        <v>2000</v>
      </c>
      <c r="U148" s="53">
        <v>2.7</v>
      </c>
      <c r="V148" s="45">
        <v>3000</v>
      </c>
      <c r="W148" s="53">
        <v>3</v>
      </c>
      <c r="X148" s="274"/>
      <c r="Y148" s="274"/>
      <c r="Z148" s="274"/>
      <c r="AA148" s="274"/>
      <c r="AB148" s="274"/>
      <c r="AC148" s="274"/>
      <c r="AD148" s="274"/>
      <c r="AE148" s="274"/>
      <c r="AF148" s="274"/>
      <c r="AG148" s="274"/>
      <c r="AH148" s="274"/>
      <c r="AI148" s="274"/>
      <c r="AJ148" s="274"/>
      <c r="AK148" s="274"/>
      <c r="AL148" s="274"/>
      <c r="AM148" s="274"/>
      <c r="AN148" s="274"/>
      <c r="AO148" s="274"/>
      <c r="AP148" s="274"/>
      <c r="AQ148" s="274"/>
      <c r="AR148" s="274"/>
      <c r="AS148" s="274"/>
      <c r="AT148" s="274"/>
      <c r="AU148" s="274"/>
      <c r="AV148" s="274"/>
      <c r="AW148" s="75"/>
      <c r="AX148" s="75"/>
      <c r="AY148" s="75"/>
      <c r="AZ148" s="75"/>
      <c r="BA148" s="75"/>
      <c r="BB148" s="75"/>
      <c r="BC148" s="75"/>
      <c r="BD148" s="75"/>
      <c r="BE148" s="75"/>
      <c r="BF148" s="75"/>
      <c r="BG148" s="75"/>
      <c r="BH148" s="75"/>
      <c r="BI148" s="75"/>
      <c r="BJ148" s="75"/>
      <c r="BK148" s="75"/>
    </row>
    <row r="149" spans="1:63" x14ac:dyDescent="0.25">
      <c r="A149" s="67" t="s">
        <v>1054</v>
      </c>
      <c r="B149" s="67">
        <v>45</v>
      </c>
      <c r="C149" s="67" t="s">
        <v>1165</v>
      </c>
      <c r="D149" s="75">
        <v>0.05</v>
      </c>
      <c r="E149" s="75">
        <v>0.05</v>
      </c>
      <c r="F149" s="75">
        <v>0.05</v>
      </c>
      <c r="G149" s="75">
        <v>0.06</v>
      </c>
      <c r="H149" s="75">
        <v>0.06</v>
      </c>
      <c r="I149" s="75">
        <v>0.06</v>
      </c>
      <c r="J149" s="75">
        <v>0.06</v>
      </c>
      <c r="K149" s="75">
        <v>0.06</v>
      </c>
      <c r="L149" s="75">
        <v>7.0000000000000007E-2</v>
      </c>
      <c r="M149" s="75">
        <v>7.0000000000000007E-2</v>
      </c>
      <c r="N149" s="75">
        <v>7.0000000000000007E-2</v>
      </c>
      <c r="O149" s="75">
        <v>0.08</v>
      </c>
      <c r="P149" s="75">
        <v>0.08</v>
      </c>
      <c r="Q149" s="75">
        <v>0.09</v>
      </c>
      <c r="R149" s="75">
        <v>0.09</v>
      </c>
      <c r="S149" s="75">
        <v>0.1</v>
      </c>
      <c r="T149" s="75">
        <v>0.1</v>
      </c>
      <c r="U149" s="75">
        <v>0.11</v>
      </c>
      <c r="V149" s="75">
        <v>0.11</v>
      </c>
      <c r="W149" s="75">
        <v>0.12</v>
      </c>
      <c r="X149" s="75">
        <v>0.12</v>
      </c>
      <c r="Y149" s="75">
        <v>0.13</v>
      </c>
      <c r="Z149" s="75">
        <v>0.13</v>
      </c>
      <c r="AA149" s="75">
        <v>0.14000000000000001</v>
      </c>
      <c r="AB149" s="75">
        <v>0.14000000000000001</v>
      </c>
      <c r="AC149" s="75">
        <v>0.15</v>
      </c>
      <c r="AD149" s="75">
        <v>0.15</v>
      </c>
      <c r="AE149" s="75">
        <v>0.16</v>
      </c>
      <c r="AF149" s="75">
        <v>0.16</v>
      </c>
      <c r="AG149" s="75">
        <v>0.17</v>
      </c>
      <c r="AH149" s="75">
        <v>0.17</v>
      </c>
      <c r="AI149" s="75">
        <v>0.18</v>
      </c>
      <c r="AJ149" s="75">
        <v>0.18</v>
      </c>
      <c r="AK149" s="75">
        <v>0.19</v>
      </c>
      <c r="AL149" s="75">
        <v>0.19</v>
      </c>
      <c r="AM149" s="75">
        <v>0.2</v>
      </c>
      <c r="AN149" s="75">
        <v>0.2</v>
      </c>
      <c r="AO149" s="75">
        <v>0.21</v>
      </c>
      <c r="AP149" s="75">
        <v>0.21</v>
      </c>
      <c r="AQ149" s="75">
        <v>0.22</v>
      </c>
      <c r="AR149" s="75">
        <v>0.22</v>
      </c>
      <c r="AS149" s="75">
        <v>0.23</v>
      </c>
      <c r="AT149" s="75">
        <v>0.23</v>
      </c>
      <c r="AU149" s="75">
        <v>0.24</v>
      </c>
      <c r="AV149" s="75">
        <v>0.25</v>
      </c>
      <c r="AW149" s="75"/>
      <c r="AX149" s="75"/>
      <c r="AY149" s="75"/>
      <c r="AZ149" s="75"/>
      <c r="BA149" s="75"/>
      <c r="BB149" s="75"/>
      <c r="BC149" s="75"/>
      <c r="BD149" s="75"/>
      <c r="BE149" s="75"/>
      <c r="BF149" s="75"/>
      <c r="BG149" s="75"/>
      <c r="BH149" s="75"/>
      <c r="BI149" s="75"/>
      <c r="BJ149" s="75"/>
      <c r="BK149" s="75"/>
    </row>
    <row r="150" spans="1:63" x14ac:dyDescent="0.25">
      <c r="A150" s="67" t="s">
        <v>1000</v>
      </c>
      <c r="B150" s="67">
        <v>45</v>
      </c>
      <c r="D150" s="274">
        <v>0</v>
      </c>
      <c r="E150" s="274">
        <v>0</v>
      </c>
      <c r="F150" s="274">
        <v>0</v>
      </c>
      <c r="G150" s="274">
        <v>0</v>
      </c>
      <c r="H150" s="274">
        <v>1</v>
      </c>
      <c r="I150" s="274">
        <v>1</v>
      </c>
      <c r="J150" s="274">
        <v>1</v>
      </c>
      <c r="K150" s="274">
        <v>1</v>
      </c>
      <c r="L150" s="274">
        <v>1</v>
      </c>
      <c r="M150" s="274">
        <v>2</v>
      </c>
      <c r="N150" s="274">
        <v>2</v>
      </c>
      <c r="O150" s="274">
        <v>2</v>
      </c>
      <c r="P150" s="274">
        <v>2</v>
      </c>
      <c r="Q150" s="274">
        <v>2</v>
      </c>
      <c r="R150" s="274">
        <v>2</v>
      </c>
      <c r="S150" s="274">
        <v>2</v>
      </c>
      <c r="T150" s="274">
        <v>2</v>
      </c>
      <c r="U150" s="274">
        <v>2</v>
      </c>
      <c r="V150" s="274">
        <v>2</v>
      </c>
      <c r="W150" s="274">
        <v>3</v>
      </c>
      <c r="X150" s="274">
        <v>3</v>
      </c>
      <c r="Y150" s="274">
        <v>3</v>
      </c>
      <c r="Z150" s="274">
        <v>3</v>
      </c>
      <c r="AA150" s="274">
        <v>3</v>
      </c>
      <c r="AB150" s="274">
        <v>3</v>
      </c>
      <c r="AC150" s="274">
        <v>3</v>
      </c>
      <c r="AD150" s="274">
        <v>3</v>
      </c>
      <c r="AE150" s="274">
        <v>3</v>
      </c>
      <c r="AF150" s="274">
        <v>3</v>
      </c>
      <c r="AG150" s="274">
        <v>4</v>
      </c>
      <c r="AH150" s="274">
        <v>4</v>
      </c>
      <c r="AI150" s="274">
        <v>4</v>
      </c>
      <c r="AJ150" s="274">
        <v>4</v>
      </c>
      <c r="AK150" s="274">
        <v>4</v>
      </c>
      <c r="AL150" s="274">
        <v>5</v>
      </c>
      <c r="AM150" s="274">
        <v>5</v>
      </c>
      <c r="AN150" s="274">
        <v>5</v>
      </c>
      <c r="AO150" s="274">
        <v>5</v>
      </c>
      <c r="AP150" s="274">
        <v>5</v>
      </c>
      <c r="AQ150" s="274">
        <v>6</v>
      </c>
      <c r="AR150" s="274">
        <v>6</v>
      </c>
      <c r="AS150" s="274">
        <v>6</v>
      </c>
      <c r="AT150" s="274">
        <v>6</v>
      </c>
      <c r="AU150" s="274">
        <v>6</v>
      </c>
      <c r="AV150" s="274">
        <v>7</v>
      </c>
      <c r="AW150" s="75"/>
      <c r="AX150" s="75"/>
      <c r="AY150" s="75"/>
      <c r="AZ150" s="75"/>
      <c r="BA150" s="75"/>
      <c r="BB150" s="75"/>
      <c r="BC150" s="75"/>
      <c r="BD150" s="75"/>
      <c r="BE150" s="75"/>
      <c r="BF150" s="75"/>
      <c r="BG150" s="75"/>
      <c r="BH150" s="75"/>
      <c r="BI150" s="75"/>
      <c r="BJ150" s="75"/>
      <c r="BK150" s="75"/>
    </row>
    <row r="151" spans="1:63" x14ac:dyDescent="0.25">
      <c r="A151" s="67" t="s">
        <v>1327</v>
      </c>
      <c r="D151" s="54">
        <v>300</v>
      </c>
      <c r="E151" s="53">
        <v>0.3</v>
      </c>
      <c r="F151" s="54">
        <v>600</v>
      </c>
      <c r="G151" s="53">
        <v>0.6</v>
      </c>
      <c r="H151" s="54">
        <v>975</v>
      </c>
      <c r="I151" s="53">
        <v>0.9</v>
      </c>
      <c r="J151" s="54">
        <v>1350</v>
      </c>
      <c r="K151" s="53">
        <v>1.2</v>
      </c>
      <c r="L151" s="54">
        <v>1800</v>
      </c>
      <c r="M151" s="53">
        <v>1.5</v>
      </c>
      <c r="N151" s="54">
        <v>2400</v>
      </c>
      <c r="O151" s="53">
        <v>1.8</v>
      </c>
      <c r="P151" s="54">
        <v>3300</v>
      </c>
      <c r="Q151" s="53">
        <v>2.1</v>
      </c>
      <c r="R151" s="54">
        <v>4500</v>
      </c>
      <c r="S151" s="53">
        <v>2.4</v>
      </c>
      <c r="T151" s="54">
        <v>6000</v>
      </c>
      <c r="U151" s="53">
        <v>2.7</v>
      </c>
      <c r="V151" s="54">
        <v>9000</v>
      </c>
      <c r="W151" s="53">
        <v>3</v>
      </c>
      <c r="X151" s="274"/>
      <c r="Y151" s="274"/>
      <c r="Z151" s="274"/>
      <c r="AA151" s="274"/>
      <c r="AB151" s="274"/>
      <c r="AC151" s="274"/>
      <c r="AD151" s="274"/>
      <c r="AE151" s="274"/>
      <c r="AF151" s="274"/>
      <c r="AG151" s="274"/>
      <c r="AH151" s="274"/>
      <c r="AI151" s="274"/>
      <c r="AJ151" s="274"/>
      <c r="AK151" s="274"/>
      <c r="AL151" s="274"/>
      <c r="AM151" s="274"/>
      <c r="AN151" s="274"/>
      <c r="AO151" s="274"/>
      <c r="AP151" s="274"/>
      <c r="AQ151" s="274"/>
      <c r="AR151" s="274"/>
      <c r="AS151" s="274"/>
      <c r="AT151" s="274"/>
      <c r="AU151" s="274"/>
      <c r="AV151" s="274"/>
      <c r="AW151" s="75"/>
      <c r="AX151" s="75"/>
      <c r="AY151" s="75"/>
      <c r="AZ151" s="75"/>
      <c r="BA151" s="75"/>
      <c r="BB151" s="75"/>
      <c r="BC151" s="75"/>
      <c r="BD151" s="75"/>
      <c r="BE151" s="75"/>
      <c r="BF151" s="75"/>
      <c r="BG151" s="75"/>
      <c r="BH151" s="75"/>
      <c r="BI151" s="75"/>
      <c r="BJ151" s="75"/>
      <c r="BK151" s="75"/>
    </row>
    <row r="152" spans="1:63" x14ac:dyDescent="0.25">
      <c r="A152" s="67" t="s">
        <v>1055</v>
      </c>
      <c r="B152" s="67">
        <v>60</v>
      </c>
      <c r="C152" s="67" t="s">
        <v>1256</v>
      </c>
      <c r="D152" s="75">
        <v>0.01</v>
      </c>
      <c r="E152" s="75">
        <v>0.01</v>
      </c>
      <c r="F152" s="75">
        <v>0.01</v>
      </c>
      <c r="G152" s="75">
        <v>0.01</v>
      </c>
      <c r="H152" s="75">
        <v>0.01</v>
      </c>
      <c r="I152" s="75">
        <v>0.02</v>
      </c>
      <c r="J152" s="75">
        <v>0.02</v>
      </c>
      <c r="K152" s="75">
        <v>0.02</v>
      </c>
      <c r="L152" s="75">
        <v>0.02</v>
      </c>
      <c r="M152" s="75">
        <v>0.02</v>
      </c>
      <c r="N152" s="75">
        <v>0.02</v>
      </c>
      <c r="O152" s="75">
        <v>0.02</v>
      </c>
      <c r="P152" s="75">
        <v>0.03</v>
      </c>
      <c r="Q152" s="75">
        <v>0.03</v>
      </c>
      <c r="R152" s="75">
        <v>0.03</v>
      </c>
      <c r="S152" s="75">
        <v>0.03</v>
      </c>
      <c r="T152" s="75">
        <v>0.03</v>
      </c>
      <c r="U152" s="75">
        <v>0.03</v>
      </c>
      <c r="V152" s="75">
        <v>0.03</v>
      </c>
      <c r="W152" s="75">
        <v>0.04</v>
      </c>
      <c r="X152" s="75">
        <v>0.04</v>
      </c>
      <c r="Y152" s="75">
        <v>0.04</v>
      </c>
      <c r="Z152" s="75">
        <v>0.04</v>
      </c>
      <c r="AA152" s="75">
        <v>0.04</v>
      </c>
      <c r="AB152" s="75">
        <v>0.04</v>
      </c>
      <c r="AC152" s="75">
        <v>0.04</v>
      </c>
      <c r="AD152" s="75">
        <v>0.05</v>
      </c>
      <c r="AE152" s="75">
        <v>0.05</v>
      </c>
      <c r="AF152" s="75">
        <v>0.05</v>
      </c>
      <c r="AG152" s="75">
        <v>0.05</v>
      </c>
      <c r="AH152" s="75">
        <v>0.05</v>
      </c>
      <c r="AI152" s="75">
        <v>0.05</v>
      </c>
      <c r="AJ152" s="75">
        <v>0.05</v>
      </c>
      <c r="AK152" s="75">
        <v>0.06</v>
      </c>
      <c r="AL152" s="75">
        <v>0.06</v>
      </c>
      <c r="AM152" s="75">
        <v>0.06</v>
      </c>
      <c r="AN152" s="75">
        <v>0.06</v>
      </c>
      <c r="AO152" s="75">
        <v>0.06</v>
      </c>
      <c r="AP152" s="75">
        <v>0.06</v>
      </c>
      <c r="AQ152" s="75">
        <v>0.06</v>
      </c>
      <c r="AR152" s="75">
        <v>7.0000000000000007E-2</v>
      </c>
      <c r="AS152" s="75">
        <v>7.0000000000000007E-2</v>
      </c>
      <c r="AT152" s="75">
        <v>7.0000000000000007E-2</v>
      </c>
      <c r="AU152" s="75">
        <v>7.0000000000000007E-2</v>
      </c>
      <c r="AV152" s="75">
        <v>7.0000000000000007E-2</v>
      </c>
      <c r="AW152" s="75">
        <v>7.0000000000000007E-2</v>
      </c>
      <c r="AX152" s="75">
        <v>7.0000000000000007E-2</v>
      </c>
      <c r="AY152" s="75">
        <v>0.08</v>
      </c>
      <c r="AZ152" s="75">
        <v>0.08</v>
      </c>
      <c r="BA152" s="75">
        <v>0.08</v>
      </c>
      <c r="BB152" s="75">
        <v>0.08</v>
      </c>
      <c r="BC152" s="75">
        <v>0.08</v>
      </c>
      <c r="BD152" s="75">
        <v>0.08</v>
      </c>
      <c r="BE152" s="75">
        <v>0.08</v>
      </c>
      <c r="BF152" s="75">
        <v>0.09</v>
      </c>
      <c r="BG152" s="75">
        <v>0.09</v>
      </c>
      <c r="BH152" s="75">
        <v>0.09</v>
      </c>
      <c r="BI152" s="75">
        <v>0.09</v>
      </c>
      <c r="BJ152" s="75">
        <v>0.09</v>
      </c>
      <c r="BK152" s="75">
        <v>0.1</v>
      </c>
    </row>
    <row r="153" spans="1:63" x14ac:dyDescent="0.25">
      <c r="A153" s="67" t="s">
        <v>1001</v>
      </c>
      <c r="B153" s="67">
        <v>60</v>
      </c>
      <c r="D153" s="274">
        <v>0</v>
      </c>
      <c r="E153" s="274">
        <v>0</v>
      </c>
      <c r="F153" s="274">
        <v>0</v>
      </c>
      <c r="G153" s="274">
        <v>0</v>
      </c>
      <c r="H153" s="274">
        <v>1</v>
      </c>
      <c r="I153" s="274">
        <v>1</v>
      </c>
      <c r="J153" s="274">
        <v>1</v>
      </c>
      <c r="K153" s="274">
        <v>1</v>
      </c>
      <c r="L153" s="274">
        <v>1</v>
      </c>
      <c r="M153" s="274">
        <v>2</v>
      </c>
      <c r="N153" s="274">
        <v>2</v>
      </c>
      <c r="O153" s="274">
        <v>2</v>
      </c>
      <c r="P153" s="274">
        <v>2</v>
      </c>
      <c r="Q153" s="274">
        <v>2</v>
      </c>
      <c r="R153" s="274">
        <v>2</v>
      </c>
      <c r="S153" s="274">
        <v>2</v>
      </c>
      <c r="T153" s="274">
        <v>2</v>
      </c>
      <c r="U153" s="274">
        <v>2</v>
      </c>
      <c r="V153" s="274">
        <v>2</v>
      </c>
      <c r="W153" s="274">
        <v>3</v>
      </c>
      <c r="X153" s="274">
        <v>3</v>
      </c>
      <c r="Y153" s="274">
        <v>3</v>
      </c>
      <c r="Z153" s="274">
        <v>3</v>
      </c>
      <c r="AA153" s="274">
        <v>3</v>
      </c>
      <c r="AB153" s="274">
        <v>3</v>
      </c>
      <c r="AC153" s="274">
        <v>3</v>
      </c>
      <c r="AD153" s="274">
        <v>3</v>
      </c>
      <c r="AE153" s="274">
        <v>3</v>
      </c>
      <c r="AF153" s="274">
        <v>3</v>
      </c>
      <c r="AG153" s="274">
        <v>4</v>
      </c>
      <c r="AH153" s="274">
        <v>4</v>
      </c>
      <c r="AI153" s="274">
        <v>4</v>
      </c>
      <c r="AJ153" s="274">
        <v>4</v>
      </c>
      <c r="AK153" s="274">
        <v>4</v>
      </c>
      <c r="AL153" s="274">
        <v>4</v>
      </c>
      <c r="AM153" s="274">
        <v>4</v>
      </c>
      <c r="AN153" s="274">
        <v>4</v>
      </c>
      <c r="AO153" s="274">
        <v>4</v>
      </c>
      <c r="AP153" s="274">
        <v>4</v>
      </c>
      <c r="AQ153" s="274">
        <v>5</v>
      </c>
      <c r="AR153" s="274">
        <v>5</v>
      </c>
      <c r="AS153" s="274">
        <v>5</v>
      </c>
      <c r="AT153" s="274">
        <v>5</v>
      </c>
      <c r="AU153" s="274">
        <v>5</v>
      </c>
      <c r="AV153" s="274">
        <v>6</v>
      </c>
      <c r="AW153" s="274">
        <v>6</v>
      </c>
      <c r="AX153" s="274">
        <v>6</v>
      </c>
      <c r="AY153" s="274">
        <v>6</v>
      </c>
      <c r="AZ153" s="274">
        <v>6</v>
      </c>
      <c r="BA153" s="274">
        <v>6</v>
      </c>
      <c r="BB153" s="274">
        <v>6</v>
      </c>
      <c r="BC153" s="274">
        <v>6</v>
      </c>
      <c r="BD153" s="274">
        <v>6</v>
      </c>
      <c r="BE153" s="274">
        <v>6</v>
      </c>
      <c r="BF153" s="274">
        <v>7</v>
      </c>
      <c r="BG153" s="274">
        <v>7</v>
      </c>
      <c r="BH153" s="274">
        <v>7</v>
      </c>
      <c r="BI153" s="274">
        <v>7</v>
      </c>
      <c r="BJ153" s="274">
        <v>7</v>
      </c>
      <c r="BK153" s="274">
        <v>7</v>
      </c>
    </row>
    <row r="154" spans="1:63" x14ac:dyDescent="0.25">
      <c r="A154" s="67" t="s">
        <v>1821</v>
      </c>
      <c r="D154" s="45">
        <v>1500</v>
      </c>
      <c r="E154" s="53">
        <v>0.5</v>
      </c>
      <c r="F154" s="45">
        <v>3000</v>
      </c>
      <c r="G154" s="53">
        <v>1</v>
      </c>
      <c r="H154" s="45">
        <v>4875</v>
      </c>
      <c r="I154" s="53">
        <v>1.5</v>
      </c>
      <c r="J154" s="45">
        <v>6750</v>
      </c>
      <c r="K154" s="53">
        <v>2</v>
      </c>
      <c r="L154" s="45">
        <v>9000</v>
      </c>
      <c r="M154" s="53">
        <v>2.5</v>
      </c>
      <c r="N154" s="45">
        <v>12000</v>
      </c>
      <c r="O154" s="53">
        <v>3</v>
      </c>
      <c r="P154" s="45">
        <v>16500</v>
      </c>
      <c r="Q154" s="53">
        <v>3.5</v>
      </c>
      <c r="R154" s="45">
        <v>22500</v>
      </c>
      <c r="S154" s="53">
        <v>4</v>
      </c>
      <c r="T154" s="45">
        <v>30000</v>
      </c>
      <c r="U154" s="53">
        <v>4.5</v>
      </c>
      <c r="V154" s="45">
        <v>45000</v>
      </c>
      <c r="W154" s="53">
        <v>5</v>
      </c>
      <c r="X154" s="274"/>
      <c r="Y154" s="274"/>
      <c r="Z154" s="274"/>
      <c r="AA154" s="274"/>
      <c r="AB154" s="274"/>
      <c r="AC154" s="274"/>
      <c r="AD154" s="274"/>
      <c r="AE154" s="274"/>
      <c r="AF154" s="274"/>
      <c r="AG154" s="274"/>
      <c r="AH154" s="274"/>
      <c r="AI154" s="274"/>
      <c r="AJ154" s="274"/>
      <c r="AK154" s="274"/>
      <c r="AL154" s="274"/>
      <c r="AM154" s="274"/>
      <c r="AN154" s="274"/>
      <c r="AO154" s="274"/>
      <c r="AP154" s="274"/>
      <c r="AQ154" s="274"/>
      <c r="AR154" s="274"/>
      <c r="AS154" s="274"/>
      <c r="AT154" s="274"/>
      <c r="AU154" s="274"/>
      <c r="AV154" s="274"/>
      <c r="AW154" s="274"/>
      <c r="AX154" s="274"/>
      <c r="AY154" s="274"/>
      <c r="AZ154" s="274"/>
      <c r="BA154" s="274"/>
      <c r="BB154" s="274"/>
      <c r="BC154" s="274"/>
      <c r="BD154" s="274"/>
      <c r="BE154" s="274"/>
      <c r="BF154" s="274"/>
      <c r="BG154" s="274"/>
      <c r="BH154" s="274"/>
      <c r="BI154" s="274"/>
      <c r="BJ154" s="274"/>
      <c r="BK154" s="274"/>
    </row>
    <row r="155" spans="1:63" x14ac:dyDescent="0.25">
      <c r="A155" s="67" t="s">
        <v>1819</v>
      </c>
      <c r="B155" s="67">
        <v>60</v>
      </c>
      <c r="C155" s="67" t="s">
        <v>1822</v>
      </c>
      <c r="D155" s="53">
        <v>0.85</v>
      </c>
      <c r="E155" s="53">
        <v>0.85</v>
      </c>
      <c r="F155" s="53">
        <v>0.86</v>
      </c>
      <c r="G155" s="53">
        <v>0.87</v>
      </c>
      <c r="H155" s="53">
        <v>0.89</v>
      </c>
      <c r="I155" s="53">
        <v>0.91</v>
      </c>
      <c r="J155" s="53">
        <v>0.93</v>
      </c>
      <c r="K155" s="53">
        <v>0.95</v>
      </c>
      <c r="L155" s="53">
        <v>0.97</v>
      </c>
      <c r="M155" s="53">
        <v>0.99</v>
      </c>
      <c r="N155" s="53">
        <v>1.01</v>
      </c>
      <c r="O155" s="53">
        <v>1.03</v>
      </c>
      <c r="P155" s="53">
        <v>1.05</v>
      </c>
      <c r="Q155" s="53">
        <v>1.07</v>
      </c>
      <c r="R155" s="53">
        <v>1.0900000000000001</v>
      </c>
      <c r="S155" s="53">
        <v>1.1100000000000001</v>
      </c>
      <c r="T155" s="53">
        <v>1.1299999999999999</v>
      </c>
      <c r="U155" s="53">
        <v>1.1499999999999999</v>
      </c>
      <c r="V155" s="53">
        <v>1.17</v>
      </c>
      <c r="W155" s="53">
        <v>1.19</v>
      </c>
      <c r="X155" s="75">
        <v>1.21</v>
      </c>
      <c r="Y155" s="75">
        <v>1.23</v>
      </c>
      <c r="Z155" s="75">
        <v>1.25</v>
      </c>
      <c r="AA155" s="75">
        <v>1.27</v>
      </c>
      <c r="AB155" s="75">
        <v>1.29</v>
      </c>
      <c r="AC155" s="75">
        <v>1.31</v>
      </c>
      <c r="AD155" s="75">
        <v>1.33</v>
      </c>
      <c r="AE155" s="75">
        <v>1.35</v>
      </c>
      <c r="AF155" s="75">
        <v>1.37</v>
      </c>
      <c r="AG155" s="75">
        <v>1.39</v>
      </c>
      <c r="AH155" s="75">
        <v>1.41</v>
      </c>
      <c r="AI155" s="75">
        <v>1.43</v>
      </c>
      <c r="AJ155" s="75">
        <v>1.45</v>
      </c>
      <c r="AK155" s="75">
        <v>1.47</v>
      </c>
      <c r="AL155" s="75">
        <v>1.49</v>
      </c>
      <c r="AM155" s="75">
        <v>1.51</v>
      </c>
      <c r="AN155" s="75">
        <v>1.53</v>
      </c>
      <c r="AO155" s="75">
        <v>1.55</v>
      </c>
      <c r="AP155" s="75">
        <v>1.57</v>
      </c>
      <c r="AQ155" s="75">
        <v>1.59</v>
      </c>
      <c r="AR155" s="75">
        <v>1.61</v>
      </c>
      <c r="AS155" s="75">
        <v>1.63</v>
      </c>
      <c r="AT155" s="75">
        <v>1.65</v>
      </c>
      <c r="AU155" s="75">
        <v>1.67</v>
      </c>
      <c r="AV155" s="75">
        <v>1.69</v>
      </c>
      <c r="AW155" s="75">
        <v>1.71</v>
      </c>
      <c r="AX155" s="75">
        <v>1.73</v>
      </c>
      <c r="AY155" s="75">
        <v>1.75</v>
      </c>
      <c r="AZ155" s="75">
        <v>1.77</v>
      </c>
      <c r="BA155" s="75">
        <v>1.79</v>
      </c>
      <c r="BB155" s="75">
        <v>1.81</v>
      </c>
      <c r="BC155" s="75">
        <v>1.83</v>
      </c>
      <c r="BD155" s="75">
        <v>1.85</v>
      </c>
      <c r="BE155" s="75">
        <v>1.87</v>
      </c>
      <c r="BF155" s="75">
        <v>1.89</v>
      </c>
      <c r="BG155" s="75">
        <v>1.91</v>
      </c>
      <c r="BH155" s="75">
        <v>1.93</v>
      </c>
      <c r="BI155" s="75">
        <v>1.95</v>
      </c>
      <c r="BJ155" s="75">
        <v>1.97</v>
      </c>
      <c r="BK155" s="75">
        <v>2</v>
      </c>
    </row>
    <row r="156" spans="1:63" x14ac:dyDescent="0.25">
      <c r="A156" s="67" t="s">
        <v>1818</v>
      </c>
      <c r="B156" s="67">
        <v>60</v>
      </c>
      <c r="D156" s="54">
        <v>0</v>
      </c>
      <c r="E156" s="54">
        <v>0</v>
      </c>
      <c r="F156" s="54">
        <v>0</v>
      </c>
      <c r="G156" s="54">
        <v>0</v>
      </c>
      <c r="H156" s="54">
        <v>1</v>
      </c>
      <c r="I156" s="54">
        <v>1</v>
      </c>
      <c r="J156" s="54">
        <v>1</v>
      </c>
      <c r="K156" s="54">
        <v>1</v>
      </c>
      <c r="L156" s="54">
        <v>1</v>
      </c>
      <c r="M156" s="54">
        <v>2</v>
      </c>
      <c r="N156" s="54">
        <v>2</v>
      </c>
      <c r="O156" s="54">
        <v>2</v>
      </c>
      <c r="P156" s="54">
        <v>2</v>
      </c>
      <c r="Q156" s="54">
        <v>2</v>
      </c>
      <c r="R156" s="54">
        <v>2</v>
      </c>
      <c r="S156" s="54">
        <v>2</v>
      </c>
      <c r="T156" s="54">
        <v>2</v>
      </c>
      <c r="U156" s="54">
        <v>2</v>
      </c>
      <c r="V156" s="54">
        <v>2</v>
      </c>
      <c r="W156" s="54">
        <v>3</v>
      </c>
      <c r="X156" s="274">
        <v>3</v>
      </c>
      <c r="Y156" s="274">
        <v>3</v>
      </c>
      <c r="Z156" s="274">
        <v>3</v>
      </c>
      <c r="AA156" s="274">
        <v>3</v>
      </c>
      <c r="AB156" s="274">
        <v>3</v>
      </c>
      <c r="AC156" s="274">
        <v>3</v>
      </c>
      <c r="AD156" s="274">
        <v>3</v>
      </c>
      <c r="AE156" s="274">
        <v>3</v>
      </c>
      <c r="AF156" s="274">
        <v>3</v>
      </c>
      <c r="AG156" s="274">
        <v>4</v>
      </c>
      <c r="AH156" s="274">
        <v>4</v>
      </c>
      <c r="AI156" s="274">
        <v>4</v>
      </c>
      <c r="AJ156" s="274">
        <v>4</v>
      </c>
      <c r="AK156" s="274">
        <v>4</v>
      </c>
      <c r="AL156" s="274">
        <v>4</v>
      </c>
      <c r="AM156" s="274">
        <v>4</v>
      </c>
      <c r="AN156" s="274">
        <v>4</v>
      </c>
      <c r="AO156" s="274">
        <v>4</v>
      </c>
      <c r="AP156" s="274">
        <v>4</v>
      </c>
      <c r="AQ156" s="274">
        <v>5</v>
      </c>
      <c r="AR156" s="274">
        <v>5</v>
      </c>
      <c r="AS156" s="274">
        <v>5</v>
      </c>
      <c r="AT156" s="274">
        <v>5</v>
      </c>
      <c r="AU156" s="274">
        <v>5</v>
      </c>
      <c r="AV156" s="274">
        <v>6</v>
      </c>
      <c r="AW156" s="274">
        <v>6</v>
      </c>
      <c r="AX156" s="274">
        <v>6</v>
      </c>
      <c r="AY156" s="274">
        <v>6</v>
      </c>
      <c r="AZ156" s="274">
        <v>6</v>
      </c>
      <c r="BA156" s="274">
        <v>6</v>
      </c>
      <c r="BB156" s="274">
        <v>6</v>
      </c>
      <c r="BC156" s="274">
        <v>6</v>
      </c>
      <c r="BD156" s="274">
        <v>6</v>
      </c>
      <c r="BE156" s="274">
        <v>6</v>
      </c>
      <c r="BF156" s="274">
        <v>7</v>
      </c>
      <c r="BG156" s="274">
        <v>7</v>
      </c>
      <c r="BH156" s="274">
        <v>7</v>
      </c>
      <c r="BI156" s="274">
        <v>7</v>
      </c>
      <c r="BJ156" s="274">
        <v>7</v>
      </c>
      <c r="BK156" s="274">
        <v>7</v>
      </c>
    </row>
    <row r="157" spans="1:63" x14ac:dyDescent="0.25">
      <c r="A157" s="67" t="s">
        <v>1820</v>
      </c>
      <c r="D157" s="45">
        <v>2200</v>
      </c>
      <c r="E157" s="53">
        <v>0.65</v>
      </c>
      <c r="F157" s="45">
        <v>4400</v>
      </c>
      <c r="G157" s="53">
        <v>1.3</v>
      </c>
      <c r="H157" s="45">
        <v>7150</v>
      </c>
      <c r="I157" s="53">
        <v>1.95</v>
      </c>
      <c r="J157" s="45">
        <v>9900</v>
      </c>
      <c r="K157" s="53">
        <v>2.6</v>
      </c>
      <c r="L157" s="45">
        <v>13200</v>
      </c>
      <c r="M157" s="53">
        <v>3.25</v>
      </c>
      <c r="N157" s="45">
        <v>17600</v>
      </c>
      <c r="O157" s="53">
        <v>3.9</v>
      </c>
      <c r="P157" s="45">
        <v>24200</v>
      </c>
      <c r="Q157" s="53">
        <v>4.55</v>
      </c>
      <c r="R157" s="45">
        <v>33000</v>
      </c>
      <c r="S157" s="53">
        <v>5.2</v>
      </c>
      <c r="T157" s="45">
        <v>44000</v>
      </c>
      <c r="U157" s="53">
        <v>5.85</v>
      </c>
      <c r="V157" s="45">
        <v>66000</v>
      </c>
      <c r="W157" s="53">
        <v>6.5</v>
      </c>
      <c r="X157" s="274"/>
      <c r="Y157" s="274"/>
      <c r="Z157" s="274"/>
      <c r="AA157" s="274"/>
      <c r="AB157" s="274"/>
      <c r="AC157" s="274"/>
      <c r="AD157" s="274"/>
      <c r="AE157" s="274"/>
      <c r="AF157" s="274"/>
      <c r="AG157" s="274"/>
      <c r="AH157" s="274"/>
      <c r="AI157" s="274"/>
      <c r="AJ157" s="274"/>
      <c r="AK157" s="274"/>
      <c r="AL157" s="274"/>
      <c r="AM157" s="274"/>
      <c r="AN157" s="274"/>
      <c r="AO157" s="274"/>
      <c r="AP157" s="274"/>
      <c r="AQ157" s="274"/>
      <c r="AR157" s="274"/>
      <c r="AS157" s="274"/>
      <c r="AT157" s="274"/>
      <c r="AU157" s="274"/>
      <c r="AV157" s="274"/>
      <c r="AW157" s="274"/>
      <c r="AX157" s="274"/>
      <c r="AY157" s="274"/>
      <c r="AZ157" s="274"/>
      <c r="BA157" s="274"/>
      <c r="BB157" s="274"/>
      <c r="BC157" s="274"/>
      <c r="BD157" s="274"/>
      <c r="BE157" s="274"/>
      <c r="BF157" s="274"/>
      <c r="BG157" s="274"/>
      <c r="BH157" s="274"/>
      <c r="BI157" s="274"/>
      <c r="BJ157" s="274"/>
      <c r="BK157" s="274"/>
    </row>
    <row r="158" spans="1:63" x14ac:dyDescent="0.25">
      <c r="A158" s="67" t="s">
        <v>1056</v>
      </c>
      <c r="B158" s="67">
        <v>45</v>
      </c>
      <c r="C158" s="67" t="s">
        <v>1101</v>
      </c>
      <c r="D158" s="75">
        <v>48</v>
      </c>
      <c r="E158" s="75">
        <v>48.6</v>
      </c>
      <c r="F158" s="75">
        <v>49</v>
      </c>
      <c r="G158" s="75">
        <v>49.6</v>
      </c>
      <c r="H158" s="75">
        <v>50</v>
      </c>
      <c r="I158" s="75">
        <v>50.6</v>
      </c>
      <c r="J158" s="75">
        <v>51</v>
      </c>
      <c r="K158" s="75">
        <v>52</v>
      </c>
      <c r="L158" s="75">
        <v>53</v>
      </c>
      <c r="M158" s="75">
        <v>54</v>
      </c>
      <c r="N158" s="75">
        <v>55</v>
      </c>
      <c r="O158" s="75">
        <v>56</v>
      </c>
      <c r="P158" s="75">
        <v>57</v>
      </c>
      <c r="Q158" s="75">
        <v>58</v>
      </c>
      <c r="R158" s="75">
        <v>60</v>
      </c>
      <c r="S158" s="75">
        <v>64</v>
      </c>
      <c r="T158" s="75">
        <v>68</v>
      </c>
      <c r="U158" s="75">
        <v>72</v>
      </c>
      <c r="V158" s="75">
        <v>76</v>
      </c>
      <c r="W158" s="75">
        <v>82</v>
      </c>
      <c r="X158" s="75">
        <v>88</v>
      </c>
      <c r="Y158" s="75">
        <v>92</v>
      </c>
      <c r="Z158" s="75">
        <v>96</v>
      </c>
      <c r="AA158" s="75">
        <v>100</v>
      </c>
      <c r="AB158" s="75">
        <v>104</v>
      </c>
      <c r="AC158" s="75">
        <v>108</v>
      </c>
      <c r="AD158" s="75">
        <v>112</v>
      </c>
      <c r="AE158" s="75">
        <v>116</v>
      </c>
      <c r="AF158" s="75">
        <v>120</v>
      </c>
      <c r="AG158" s="75">
        <v>126</v>
      </c>
      <c r="AH158" s="75">
        <v>176.5</v>
      </c>
      <c r="AI158" s="75">
        <v>184.5</v>
      </c>
      <c r="AJ158" s="75">
        <v>192.5</v>
      </c>
      <c r="AK158" s="75">
        <v>200.5</v>
      </c>
      <c r="AL158" s="75">
        <v>208.5</v>
      </c>
      <c r="AM158" s="75">
        <v>250</v>
      </c>
      <c r="AN158" s="75">
        <v>260</v>
      </c>
      <c r="AO158" s="75">
        <v>270</v>
      </c>
      <c r="AP158" s="75">
        <v>280</v>
      </c>
      <c r="AQ158" s="75">
        <v>290</v>
      </c>
      <c r="AR158" s="75">
        <v>520</v>
      </c>
      <c r="AS158" s="75">
        <v>540</v>
      </c>
      <c r="AT158" s="75">
        <v>560</v>
      </c>
      <c r="AU158" s="75">
        <v>580</v>
      </c>
      <c r="AV158" s="75">
        <v>600</v>
      </c>
      <c r="AW158" s="75"/>
      <c r="AX158" s="75"/>
      <c r="AY158" s="75"/>
      <c r="AZ158" s="75"/>
      <c r="BA158" s="75"/>
      <c r="BB158" s="75"/>
      <c r="BC158" s="75"/>
      <c r="BD158" s="75"/>
      <c r="BE158" s="75"/>
      <c r="BF158" s="75"/>
      <c r="BG158" s="75"/>
      <c r="BH158" s="75"/>
      <c r="BI158" s="75"/>
      <c r="BJ158" s="75"/>
      <c r="BK158" s="75"/>
    </row>
    <row r="159" spans="1:63" x14ac:dyDescent="0.25">
      <c r="A159" s="67" t="s">
        <v>1002</v>
      </c>
      <c r="B159" s="67">
        <v>45</v>
      </c>
      <c r="D159" s="274">
        <v>0</v>
      </c>
      <c r="E159" s="274">
        <v>0</v>
      </c>
      <c r="F159" s="274">
        <v>0</v>
      </c>
      <c r="G159" s="274">
        <v>0</v>
      </c>
      <c r="H159" s="274">
        <v>1</v>
      </c>
      <c r="I159" s="274">
        <v>1</v>
      </c>
      <c r="J159" s="274">
        <v>1</v>
      </c>
      <c r="K159" s="274">
        <v>1</v>
      </c>
      <c r="L159" s="274">
        <v>1</v>
      </c>
      <c r="M159" s="274">
        <v>2</v>
      </c>
      <c r="N159" s="274">
        <v>2</v>
      </c>
      <c r="O159" s="274">
        <v>2</v>
      </c>
      <c r="P159" s="274">
        <v>2</v>
      </c>
      <c r="Q159" s="274">
        <v>2</v>
      </c>
      <c r="R159" s="274">
        <v>3</v>
      </c>
      <c r="S159" s="274">
        <v>3</v>
      </c>
      <c r="T159" s="274">
        <v>3</v>
      </c>
      <c r="U159" s="274">
        <v>3</v>
      </c>
      <c r="V159" s="274">
        <v>3</v>
      </c>
      <c r="W159" s="274">
        <v>3</v>
      </c>
      <c r="X159" s="274">
        <v>3</v>
      </c>
      <c r="Y159" s="274">
        <v>3</v>
      </c>
      <c r="Z159" s="274">
        <v>3</v>
      </c>
      <c r="AA159" s="274">
        <v>3</v>
      </c>
      <c r="AB159" s="274">
        <v>3</v>
      </c>
      <c r="AC159" s="274">
        <v>3</v>
      </c>
      <c r="AD159" s="274">
        <v>3</v>
      </c>
      <c r="AE159" s="274">
        <v>3</v>
      </c>
      <c r="AF159" s="274">
        <v>3</v>
      </c>
      <c r="AG159" s="274">
        <v>4</v>
      </c>
      <c r="AH159" s="274">
        <v>4</v>
      </c>
      <c r="AI159" s="274">
        <v>4</v>
      </c>
      <c r="AJ159" s="274">
        <v>4</v>
      </c>
      <c r="AK159" s="274">
        <v>4</v>
      </c>
      <c r="AL159" s="274">
        <v>4</v>
      </c>
      <c r="AM159" s="274">
        <v>4</v>
      </c>
      <c r="AN159" s="274">
        <v>4</v>
      </c>
      <c r="AO159" s="274">
        <v>4</v>
      </c>
      <c r="AP159" s="274">
        <v>4</v>
      </c>
      <c r="AQ159" s="274">
        <v>4</v>
      </c>
      <c r="AR159" s="274">
        <v>4</v>
      </c>
      <c r="AS159" s="274">
        <v>4</v>
      </c>
      <c r="AT159" s="274">
        <v>4</v>
      </c>
      <c r="AU159" s="274">
        <v>4</v>
      </c>
      <c r="AV159" s="274">
        <v>5</v>
      </c>
      <c r="AW159" s="75"/>
      <c r="AX159" s="75"/>
      <c r="AY159" s="75"/>
      <c r="AZ159" s="75"/>
      <c r="BA159" s="75"/>
      <c r="BB159" s="75"/>
      <c r="BC159" s="75"/>
      <c r="BD159" s="75"/>
      <c r="BE159" s="75"/>
      <c r="BF159" s="75"/>
      <c r="BG159" s="75"/>
      <c r="BH159" s="75"/>
      <c r="BI159" s="75"/>
      <c r="BJ159" s="75"/>
      <c r="BK159" s="75"/>
    </row>
    <row r="160" spans="1:63" x14ac:dyDescent="0.25">
      <c r="A160" s="67" t="s">
        <v>1328</v>
      </c>
      <c r="D160" s="45">
        <v>100</v>
      </c>
      <c r="E160" s="53">
        <v>0.1</v>
      </c>
      <c r="F160" s="45">
        <v>200</v>
      </c>
      <c r="G160" s="53">
        <v>0.2</v>
      </c>
      <c r="H160" s="45">
        <v>325</v>
      </c>
      <c r="I160" s="53">
        <v>0.3</v>
      </c>
      <c r="J160" s="45">
        <v>450</v>
      </c>
      <c r="K160" s="53">
        <v>0.4</v>
      </c>
      <c r="L160" s="45">
        <v>600</v>
      </c>
      <c r="M160" s="53">
        <v>0.5</v>
      </c>
      <c r="N160" s="45">
        <v>800</v>
      </c>
      <c r="O160" s="53">
        <v>0.6</v>
      </c>
      <c r="P160" s="45">
        <v>1100</v>
      </c>
      <c r="Q160" s="53">
        <v>0.7</v>
      </c>
      <c r="R160" s="45">
        <v>1500</v>
      </c>
      <c r="S160" s="53">
        <v>0.8</v>
      </c>
      <c r="T160" s="45">
        <v>2000</v>
      </c>
      <c r="U160" s="53">
        <v>0.9</v>
      </c>
      <c r="V160" s="45">
        <v>3000</v>
      </c>
      <c r="W160" s="53">
        <v>1</v>
      </c>
      <c r="X160" s="274"/>
      <c r="Y160" s="274"/>
      <c r="Z160" s="274"/>
      <c r="AA160" s="274"/>
      <c r="AB160" s="274"/>
      <c r="AC160" s="274"/>
      <c r="AD160" s="274"/>
      <c r="AE160" s="274"/>
      <c r="AF160" s="274"/>
      <c r="AG160" s="274"/>
      <c r="AH160" s="274"/>
      <c r="AI160" s="274"/>
      <c r="AJ160" s="274"/>
      <c r="AK160" s="274"/>
      <c r="AL160" s="274"/>
      <c r="AM160" s="274"/>
      <c r="AN160" s="274"/>
      <c r="AO160" s="274"/>
      <c r="AP160" s="274"/>
      <c r="AQ160" s="274"/>
      <c r="AR160" s="274"/>
      <c r="AS160" s="274"/>
      <c r="AT160" s="274"/>
      <c r="AU160" s="274"/>
      <c r="AV160" s="274"/>
      <c r="AW160" s="75"/>
      <c r="AX160" s="75"/>
      <c r="AY160" s="75"/>
      <c r="AZ160" s="75"/>
      <c r="BA160" s="75"/>
      <c r="BB160" s="75"/>
      <c r="BC160" s="75"/>
      <c r="BD160" s="75"/>
      <c r="BE160" s="75"/>
      <c r="BF160" s="75"/>
      <c r="BG160" s="75"/>
      <c r="BH160" s="75"/>
      <c r="BI160" s="75"/>
      <c r="BJ160" s="75"/>
      <c r="BK160" s="75"/>
    </row>
    <row r="161" spans="1:63" x14ac:dyDescent="0.25">
      <c r="A161" s="67" t="s">
        <v>1057</v>
      </c>
      <c r="B161" s="67">
        <v>60</v>
      </c>
      <c r="C161" s="67" t="s">
        <v>1287</v>
      </c>
      <c r="D161" s="75">
        <v>35</v>
      </c>
      <c r="E161" s="75">
        <v>36</v>
      </c>
      <c r="F161" s="75">
        <v>37</v>
      </c>
      <c r="G161" s="75">
        <v>38.5</v>
      </c>
      <c r="H161" s="75">
        <v>40</v>
      </c>
      <c r="I161" s="75">
        <v>45</v>
      </c>
      <c r="J161" s="75">
        <v>50</v>
      </c>
      <c r="K161" s="75">
        <v>60</v>
      </c>
      <c r="L161" s="75">
        <v>70</v>
      </c>
      <c r="M161" s="75">
        <v>80</v>
      </c>
      <c r="N161" s="75">
        <v>85</v>
      </c>
      <c r="O161" s="75">
        <v>90</v>
      </c>
      <c r="P161" s="75">
        <v>100</v>
      </c>
      <c r="Q161" s="75">
        <v>110</v>
      </c>
      <c r="R161" s="75">
        <v>120</v>
      </c>
      <c r="S161" s="75">
        <v>125</v>
      </c>
      <c r="T161" s="75">
        <v>130</v>
      </c>
      <c r="U161" s="75">
        <v>140</v>
      </c>
      <c r="V161" s="75">
        <v>150</v>
      </c>
      <c r="W161" s="75">
        <v>160</v>
      </c>
      <c r="X161" s="75">
        <v>170</v>
      </c>
      <c r="Y161" s="75">
        <v>180</v>
      </c>
      <c r="Z161" s="75">
        <v>190</v>
      </c>
      <c r="AA161" s="75">
        <v>205</v>
      </c>
      <c r="AB161" s="75">
        <v>220</v>
      </c>
      <c r="AC161" s="75">
        <v>230</v>
      </c>
      <c r="AD161" s="75">
        <v>240</v>
      </c>
      <c r="AE161" s="75">
        <v>250</v>
      </c>
      <c r="AF161" s="75">
        <v>265</v>
      </c>
      <c r="AG161" s="75">
        <v>280</v>
      </c>
      <c r="AH161" s="75">
        <v>290</v>
      </c>
      <c r="AI161" s="75">
        <v>300</v>
      </c>
      <c r="AJ161" s="75">
        <v>310</v>
      </c>
      <c r="AK161" s="75">
        <v>330</v>
      </c>
      <c r="AL161" s="75">
        <v>350</v>
      </c>
      <c r="AM161" s="75">
        <v>370</v>
      </c>
      <c r="AN161" s="75">
        <v>390</v>
      </c>
      <c r="AO161" s="75">
        <v>410</v>
      </c>
      <c r="AP161" s="75">
        <v>430</v>
      </c>
      <c r="AQ161" s="75">
        <v>450</v>
      </c>
      <c r="AR161" s="75">
        <v>500</v>
      </c>
      <c r="AS161" s="75">
        <v>550</v>
      </c>
      <c r="AT161" s="75">
        <v>600</v>
      </c>
      <c r="AU161" s="75">
        <v>700</v>
      </c>
      <c r="AV161" s="75">
        <v>800</v>
      </c>
      <c r="AW161" s="75">
        <v>900</v>
      </c>
      <c r="AX161" s="75">
        <v>1000</v>
      </c>
      <c r="AY161" s="75">
        <v>1100</v>
      </c>
      <c r="AZ161" s="75">
        <v>1300</v>
      </c>
      <c r="BA161" s="75">
        <v>1500</v>
      </c>
      <c r="BB161" s="75">
        <v>1700</v>
      </c>
      <c r="BC161" s="75">
        <v>1900</v>
      </c>
      <c r="BD161" s="75">
        <v>2100</v>
      </c>
      <c r="BE161" s="75">
        <v>2300</v>
      </c>
      <c r="BF161" s="75">
        <v>2500</v>
      </c>
      <c r="BG161" s="75">
        <v>3000</v>
      </c>
      <c r="BH161" s="75">
        <v>3500</v>
      </c>
      <c r="BI161" s="75">
        <v>4000</v>
      </c>
      <c r="BJ161" s="75">
        <v>4500</v>
      </c>
      <c r="BK161" s="75">
        <v>5000</v>
      </c>
    </row>
    <row r="162" spans="1:63" x14ac:dyDescent="0.25">
      <c r="A162" s="67" t="s">
        <v>1003</v>
      </c>
      <c r="B162" s="67">
        <v>60</v>
      </c>
      <c r="D162" s="274">
        <v>0</v>
      </c>
      <c r="E162" s="274">
        <v>0</v>
      </c>
      <c r="F162" s="274">
        <v>0</v>
      </c>
      <c r="G162" s="274">
        <v>0</v>
      </c>
      <c r="H162" s="274">
        <v>1</v>
      </c>
      <c r="I162" s="274">
        <v>1</v>
      </c>
      <c r="J162" s="274">
        <v>1</v>
      </c>
      <c r="K162" s="274">
        <v>1</v>
      </c>
      <c r="L162" s="274">
        <v>1</v>
      </c>
      <c r="M162" s="274">
        <v>2</v>
      </c>
      <c r="N162" s="274">
        <v>2</v>
      </c>
      <c r="O162" s="274">
        <v>2</v>
      </c>
      <c r="P162" s="274">
        <v>2</v>
      </c>
      <c r="Q162" s="274">
        <v>2</v>
      </c>
      <c r="R162" s="274">
        <v>3</v>
      </c>
      <c r="S162" s="274">
        <v>3</v>
      </c>
      <c r="T162" s="274">
        <v>3</v>
      </c>
      <c r="U162" s="274">
        <v>3</v>
      </c>
      <c r="V162" s="274">
        <v>3</v>
      </c>
      <c r="W162" s="274">
        <v>3</v>
      </c>
      <c r="X162" s="274">
        <v>3</v>
      </c>
      <c r="Y162" s="274">
        <v>3</v>
      </c>
      <c r="Z162" s="274">
        <v>3</v>
      </c>
      <c r="AA162" s="274">
        <v>3</v>
      </c>
      <c r="AB162" s="274">
        <v>3</v>
      </c>
      <c r="AC162" s="274">
        <v>3</v>
      </c>
      <c r="AD162" s="274">
        <v>3</v>
      </c>
      <c r="AE162" s="274">
        <v>3</v>
      </c>
      <c r="AF162" s="274">
        <v>3</v>
      </c>
      <c r="AG162" s="274">
        <v>4</v>
      </c>
      <c r="AH162" s="274">
        <v>4</v>
      </c>
      <c r="AI162" s="274">
        <v>4</v>
      </c>
      <c r="AJ162" s="274">
        <v>4</v>
      </c>
      <c r="AK162" s="274">
        <v>4</v>
      </c>
      <c r="AL162" s="274">
        <v>4</v>
      </c>
      <c r="AM162" s="274">
        <v>4</v>
      </c>
      <c r="AN162" s="274">
        <v>4</v>
      </c>
      <c r="AO162" s="274">
        <v>4</v>
      </c>
      <c r="AP162" s="274">
        <v>4</v>
      </c>
      <c r="AQ162" s="274">
        <v>4</v>
      </c>
      <c r="AR162" s="274">
        <v>4</v>
      </c>
      <c r="AS162" s="274">
        <v>4</v>
      </c>
      <c r="AT162" s="274">
        <v>4</v>
      </c>
      <c r="AU162" s="274">
        <v>4</v>
      </c>
      <c r="AV162" s="274">
        <v>5</v>
      </c>
      <c r="AW162" s="274">
        <v>5</v>
      </c>
      <c r="AX162" s="274">
        <v>5</v>
      </c>
      <c r="AY162" s="274">
        <v>5</v>
      </c>
      <c r="AZ162" s="274">
        <v>5</v>
      </c>
      <c r="BA162" s="274">
        <v>5</v>
      </c>
      <c r="BB162" s="274">
        <v>5</v>
      </c>
      <c r="BC162" s="274">
        <v>5</v>
      </c>
      <c r="BD162" s="274">
        <v>5</v>
      </c>
      <c r="BE162" s="274">
        <v>5</v>
      </c>
      <c r="BF162" s="274">
        <v>5</v>
      </c>
      <c r="BG162" s="274">
        <v>5</v>
      </c>
      <c r="BH162" s="274">
        <v>5</v>
      </c>
      <c r="BI162" s="274">
        <v>5</v>
      </c>
      <c r="BJ162" s="274">
        <v>5</v>
      </c>
      <c r="BK162" s="274">
        <v>5</v>
      </c>
    </row>
    <row r="163" spans="1:63" x14ac:dyDescent="0.25">
      <c r="A163" s="67" t="s">
        <v>1329</v>
      </c>
      <c r="D163" s="45">
        <v>500</v>
      </c>
      <c r="E163" s="53">
        <v>0.35</v>
      </c>
      <c r="F163" s="45">
        <v>1000</v>
      </c>
      <c r="G163" s="53">
        <v>0.7</v>
      </c>
      <c r="H163" s="45">
        <v>1625</v>
      </c>
      <c r="I163" s="53">
        <v>1.05</v>
      </c>
      <c r="J163" s="45">
        <v>2250</v>
      </c>
      <c r="K163" s="53">
        <v>1.4</v>
      </c>
      <c r="L163" s="45">
        <v>3000</v>
      </c>
      <c r="M163" s="53">
        <v>1.75</v>
      </c>
      <c r="N163" s="45">
        <v>4000</v>
      </c>
      <c r="O163" s="53">
        <v>2.1</v>
      </c>
      <c r="P163" s="45">
        <v>5500</v>
      </c>
      <c r="Q163" s="53">
        <v>2.4500000000000002</v>
      </c>
      <c r="R163" s="45">
        <v>7500</v>
      </c>
      <c r="S163" s="53">
        <v>2.8</v>
      </c>
      <c r="T163" s="45">
        <v>10000</v>
      </c>
      <c r="U163" s="53">
        <v>3.15</v>
      </c>
      <c r="V163" s="45">
        <v>15000</v>
      </c>
      <c r="W163" s="53">
        <v>3.5</v>
      </c>
      <c r="X163" s="274"/>
      <c r="Y163" s="274"/>
      <c r="Z163" s="274"/>
      <c r="AA163" s="274"/>
      <c r="AB163" s="274"/>
      <c r="AC163" s="274"/>
      <c r="AD163" s="274"/>
      <c r="AE163" s="274"/>
      <c r="AF163" s="274"/>
      <c r="AG163" s="274"/>
      <c r="AH163" s="274"/>
      <c r="AI163" s="274"/>
      <c r="AJ163" s="274"/>
      <c r="AK163" s="274"/>
      <c r="AL163" s="274"/>
      <c r="AM163" s="274"/>
      <c r="AN163" s="274"/>
      <c r="AO163" s="274"/>
      <c r="AP163" s="274"/>
      <c r="AQ163" s="274"/>
      <c r="AR163" s="274"/>
      <c r="AS163" s="274"/>
      <c r="AT163" s="274"/>
      <c r="AU163" s="274"/>
      <c r="AV163" s="274"/>
      <c r="AW163" s="274"/>
      <c r="AX163" s="274"/>
      <c r="AY163" s="274"/>
      <c r="AZ163" s="274"/>
      <c r="BA163" s="274"/>
      <c r="BB163" s="274"/>
      <c r="BC163" s="274"/>
      <c r="BD163" s="274"/>
      <c r="BE163" s="274"/>
      <c r="BF163" s="274"/>
      <c r="BG163" s="274"/>
      <c r="BH163" s="274"/>
      <c r="BI163" s="274"/>
      <c r="BJ163" s="274"/>
      <c r="BK163" s="274"/>
    </row>
    <row r="164" spans="1:63" x14ac:dyDescent="0.25">
      <c r="A164" s="67" t="s">
        <v>1058</v>
      </c>
      <c r="B164" s="67">
        <v>60</v>
      </c>
      <c r="C164" s="67" t="s">
        <v>1224</v>
      </c>
      <c r="D164" s="75">
        <v>1.2</v>
      </c>
      <c r="E164" s="75">
        <v>1.26</v>
      </c>
      <c r="F164" s="75">
        <v>1.29</v>
      </c>
      <c r="G164" s="75">
        <v>1.32</v>
      </c>
      <c r="H164" s="75">
        <v>1.35</v>
      </c>
      <c r="I164" s="75">
        <v>1.38</v>
      </c>
      <c r="J164" s="75">
        <v>1.41</v>
      </c>
      <c r="K164" s="75">
        <v>1.44</v>
      </c>
      <c r="L164" s="75">
        <v>1.47</v>
      </c>
      <c r="M164" s="75">
        <v>1.5</v>
      </c>
      <c r="N164" s="75">
        <v>1.54</v>
      </c>
      <c r="O164" s="75">
        <v>1.58</v>
      </c>
      <c r="P164" s="75">
        <v>1.62</v>
      </c>
      <c r="Q164" s="75">
        <v>1.66</v>
      </c>
      <c r="R164" s="75">
        <v>1.7</v>
      </c>
      <c r="S164" s="75">
        <v>1.74</v>
      </c>
      <c r="T164" s="75">
        <v>1.78</v>
      </c>
      <c r="U164" s="75">
        <v>1.82</v>
      </c>
      <c r="V164" s="75">
        <v>1.86</v>
      </c>
      <c r="W164" s="75">
        <v>1.9</v>
      </c>
      <c r="X164" s="75">
        <v>1.95</v>
      </c>
      <c r="Y164" s="75">
        <v>2</v>
      </c>
      <c r="Z164" s="75">
        <v>2.0499999999999998</v>
      </c>
      <c r="AA164" s="75">
        <v>2.1</v>
      </c>
      <c r="AB164" s="75">
        <v>2.15</v>
      </c>
      <c r="AC164" s="75">
        <v>2.2000000000000002</v>
      </c>
      <c r="AD164" s="75">
        <v>2.25</v>
      </c>
      <c r="AE164" s="75">
        <v>2.2999999999999998</v>
      </c>
      <c r="AF164" s="75">
        <v>2.35</v>
      </c>
      <c r="AG164" s="75">
        <v>2.4</v>
      </c>
      <c r="AH164" s="75">
        <v>2.46</v>
      </c>
      <c r="AI164" s="75">
        <v>2.52</v>
      </c>
      <c r="AJ164" s="75">
        <v>2.58</v>
      </c>
      <c r="AK164" s="75">
        <v>2.64</v>
      </c>
      <c r="AL164" s="75">
        <v>2.7</v>
      </c>
      <c r="AM164" s="75">
        <v>2.76</v>
      </c>
      <c r="AN164" s="75">
        <v>2.82</v>
      </c>
      <c r="AO164" s="75">
        <v>2.88</v>
      </c>
      <c r="AP164" s="75">
        <v>2.94</v>
      </c>
      <c r="AQ164" s="75">
        <v>3</v>
      </c>
      <c r="AR164" s="75">
        <v>3.08</v>
      </c>
      <c r="AS164" s="75">
        <v>3.15</v>
      </c>
      <c r="AT164" s="75">
        <v>3.23</v>
      </c>
      <c r="AU164" s="75">
        <v>3.3</v>
      </c>
      <c r="AV164" s="75">
        <v>3.38</v>
      </c>
      <c r="AW164" s="75">
        <v>3.45</v>
      </c>
      <c r="AX164" s="75">
        <v>3.53</v>
      </c>
      <c r="AY164" s="75">
        <v>3.6</v>
      </c>
      <c r="AZ164" s="75">
        <v>3.68</v>
      </c>
      <c r="BA164" s="75">
        <v>3.75</v>
      </c>
      <c r="BB164" s="75">
        <v>3.85</v>
      </c>
      <c r="BC164" s="75">
        <v>3.95</v>
      </c>
      <c r="BD164" s="75">
        <v>4.05</v>
      </c>
      <c r="BE164" s="75">
        <v>4.1500000000000004</v>
      </c>
      <c r="BF164" s="75">
        <v>4.25</v>
      </c>
      <c r="BG164" s="75">
        <v>4.3499999999999996</v>
      </c>
      <c r="BH164" s="75">
        <v>4.5</v>
      </c>
      <c r="BI164" s="75">
        <v>4.6500000000000004</v>
      </c>
      <c r="BJ164" s="75">
        <v>4.8</v>
      </c>
      <c r="BK164" s="75">
        <v>5</v>
      </c>
    </row>
    <row r="165" spans="1:63" x14ac:dyDescent="0.25">
      <c r="A165" s="67" t="s">
        <v>1004</v>
      </c>
      <c r="B165" s="67">
        <v>60</v>
      </c>
      <c r="D165" s="274">
        <v>0</v>
      </c>
      <c r="E165" s="274">
        <v>0</v>
      </c>
      <c r="F165" s="274">
        <v>0</v>
      </c>
      <c r="G165" s="274">
        <v>0</v>
      </c>
      <c r="H165" s="274">
        <v>1</v>
      </c>
      <c r="I165" s="274">
        <v>1</v>
      </c>
      <c r="J165" s="274">
        <v>1</v>
      </c>
      <c r="K165" s="274">
        <v>1</v>
      </c>
      <c r="L165" s="274">
        <v>1</v>
      </c>
      <c r="M165" s="274">
        <v>2</v>
      </c>
      <c r="N165" s="274">
        <v>2</v>
      </c>
      <c r="O165" s="274">
        <v>2</v>
      </c>
      <c r="P165" s="274">
        <v>2</v>
      </c>
      <c r="Q165" s="274">
        <v>2</v>
      </c>
      <c r="R165" s="274">
        <v>2</v>
      </c>
      <c r="S165" s="274">
        <v>2</v>
      </c>
      <c r="T165" s="274">
        <v>2</v>
      </c>
      <c r="U165" s="274">
        <v>2</v>
      </c>
      <c r="V165" s="274">
        <v>2</v>
      </c>
      <c r="W165" s="274">
        <v>3</v>
      </c>
      <c r="X165" s="274">
        <v>3</v>
      </c>
      <c r="Y165" s="274">
        <v>3</v>
      </c>
      <c r="Z165" s="274">
        <v>3</v>
      </c>
      <c r="AA165" s="274">
        <v>3</v>
      </c>
      <c r="AB165" s="274">
        <v>3</v>
      </c>
      <c r="AC165" s="274">
        <v>3</v>
      </c>
      <c r="AD165" s="274">
        <v>3</v>
      </c>
      <c r="AE165" s="274">
        <v>3</v>
      </c>
      <c r="AF165" s="274">
        <v>3</v>
      </c>
      <c r="AG165" s="274">
        <v>3</v>
      </c>
      <c r="AH165" s="274">
        <v>3</v>
      </c>
      <c r="AI165" s="274">
        <v>3</v>
      </c>
      <c r="AJ165" s="274">
        <v>3</v>
      </c>
      <c r="AK165" s="274">
        <v>3</v>
      </c>
      <c r="AL165" s="274">
        <v>4</v>
      </c>
      <c r="AM165" s="274">
        <v>4</v>
      </c>
      <c r="AN165" s="274">
        <v>4</v>
      </c>
      <c r="AO165" s="274">
        <v>4</v>
      </c>
      <c r="AP165" s="274">
        <v>4</v>
      </c>
      <c r="AQ165" s="274">
        <v>4</v>
      </c>
      <c r="AR165" s="274">
        <v>4</v>
      </c>
      <c r="AS165" s="274">
        <v>4</v>
      </c>
      <c r="AT165" s="274">
        <v>4</v>
      </c>
      <c r="AU165" s="274">
        <v>4</v>
      </c>
      <c r="AV165" s="274">
        <v>4</v>
      </c>
      <c r="AW165" s="274">
        <v>4</v>
      </c>
      <c r="AX165" s="274">
        <v>4</v>
      </c>
      <c r="AY165" s="274">
        <v>4</v>
      </c>
      <c r="AZ165" s="274">
        <v>4</v>
      </c>
      <c r="BA165" s="274">
        <v>4</v>
      </c>
      <c r="BB165" s="274">
        <v>4</v>
      </c>
      <c r="BC165" s="274">
        <v>4</v>
      </c>
      <c r="BD165" s="274">
        <v>4</v>
      </c>
      <c r="BE165" s="274">
        <v>4</v>
      </c>
      <c r="BF165" s="274">
        <v>5</v>
      </c>
      <c r="BG165" s="274">
        <v>5</v>
      </c>
      <c r="BH165" s="274">
        <v>5</v>
      </c>
      <c r="BI165" s="274">
        <v>5</v>
      </c>
      <c r="BJ165" s="274">
        <v>5</v>
      </c>
      <c r="BK165" s="274">
        <v>5</v>
      </c>
    </row>
    <row r="166" spans="1:63" x14ac:dyDescent="0.25">
      <c r="A166" s="67" t="s">
        <v>1330</v>
      </c>
      <c r="D166" s="45">
        <v>600</v>
      </c>
      <c r="E166" s="53">
        <v>0.35</v>
      </c>
      <c r="F166" s="45">
        <v>1200</v>
      </c>
      <c r="G166" s="53">
        <v>0.7</v>
      </c>
      <c r="H166" s="45">
        <v>1950</v>
      </c>
      <c r="I166" s="53">
        <v>1.05</v>
      </c>
      <c r="J166" s="45">
        <v>2700</v>
      </c>
      <c r="K166" s="53">
        <v>1.4</v>
      </c>
      <c r="L166" s="45">
        <v>3600</v>
      </c>
      <c r="M166" s="53">
        <v>1.75</v>
      </c>
      <c r="N166" s="45">
        <v>4800</v>
      </c>
      <c r="O166" s="53">
        <v>2.1</v>
      </c>
      <c r="P166" s="45">
        <v>6600</v>
      </c>
      <c r="Q166" s="53">
        <v>2.4500000000000002</v>
      </c>
      <c r="R166" s="45">
        <v>9000</v>
      </c>
      <c r="S166" s="53">
        <v>2.8</v>
      </c>
      <c r="T166" s="45">
        <v>12000</v>
      </c>
      <c r="U166" s="53">
        <v>3.15</v>
      </c>
      <c r="V166" s="45">
        <v>18000</v>
      </c>
      <c r="W166" s="53">
        <v>3.5</v>
      </c>
      <c r="X166" s="274"/>
      <c r="Y166" s="274"/>
      <c r="Z166" s="274"/>
      <c r="AA166" s="274"/>
      <c r="AB166" s="274"/>
      <c r="AC166" s="274"/>
      <c r="AD166" s="274"/>
      <c r="AE166" s="274"/>
      <c r="AF166" s="274"/>
      <c r="AG166" s="274"/>
      <c r="AH166" s="274"/>
      <c r="AI166" s="274"/>
      <c r="AJ166" s="274"/>
      <c r="AK166" s="274"/>
      <c r="AL166" s="274"/>
      <c r="AM166" s="274"/>
      <c r="AN166" s="274"/>
      <c r="AO166" s="274"/>
      <c r="AP166" s="274"/>
      <c r="AQ166" s="274"/>
      <c r="AR166" s="274"/>
      <c r="AS166" s="274"/>
      <c r="AT166" s="274"/>
      <c r="AU166" s="274"/>
      <c r="AV166" s="274"/>
      <c r="AW166" s="274"/>
      <c r="AX166" s="274"/>
      <c r="AY166" s="274"/>
      <c r="AZ166" s="274"/>
      <c r="BA166" s="274"/>
      <c r="BB166" s="274"/>
      <c r="BC166" s="274"/>
      <c r="BD166" s="274"/>
      <c r="BE166" s="274"/>
      <c r="BF166" s="274"/>
      <c r="BG166" s="274"/>
      <c r="BH166" s="274"/>
      <c r="BI166" s="274"/>
      <c r="BJ166" s="274"/>
      <c r="BK166" s="274"/>
    </row>
    <row r="167" spans="1:63" x14ac:dyDescent="0.25">
      <c r="A167" s="67" t="s">
        <v>1059</v>
      </c>
      <c r="B167" s="67">
        <v>45</v>
      </c>
      <c r="C167" s="67" t="s">
        <v>1158</v>
      </c>
      <c r="D167" s="75">
        <v>0.4</v>
      </c>
      <c r="E167" s="75">
        <v>0.42</v>
      </c>
      <c r="F167" s="75">
        <v>0.44</v>
      </c>
      <c r="G167" s="75">
        <v>0.46</v>
      </c>
      <c r="H167" s="75">
        <v>0.48</v>
      </c>
      <c r="I167" s="75">
        <v>0.5</v>
      </c>
      <c r="J167" s="75">
        <v>0.52</v>
      </c>
      <c r="K167" s="75">
        <v>0.54</v>
      </c>
      <c r="L167" s="75">
        <v>0.56000000000000005</v>
      </c>
      <c r="M167" s="75">
        <v>0.57999999999999996</v>
      </c>
      <c r="N167" s="75">
        <v>0.6</v>
      </c>
      <c r="O167" s="75">
        <v>0.62</v>
      </c>
      <c r="P167" s="75">
        <v>0.64</v>
      </c>
      <c r="Q167" s="75">
        <v>0.66</v>
      </c>
      <c r="R167" s="75">
        <v>0.68</v>
      </c>
      <c r="S167" s="75">
        <v>0.7</v>
      </c>
      <c r="T167" s="75">
        <v>0.72</v>
      </c>
      <c r="U167" s="75">
        <v>0.74</v>
      </c>
      <c r="V167" s="75">
        <v>0.76</v>
      </c>
      <c r="W167" s="75">
        <v>0.78</v>
      </c>
      <c r="X167" s="75">
        <v>0.8</v>
      </c>
      <c r="Y167" s="75">
        <v>0.82</v>
      </c>
      <c r="Z167" s="75">
        <v>0.84</v>
      </c>
      <c r="AA167" s="75">
        <v>0.86</v>
      </c>
      <c r="AB167" s="75">
        <v>0.88</v>
      </c>
      <c r="AC167" s="75">
        <v>0.9</v>
      </c>
      <c r="AD167" s="75">
        <v>0.92</v>
      </c>
      <c r="AE167" s="75">
        <v>0.94</v>
      </c>
      <c r="AF167" s="75">
        <v>0.96</v>
      </c>
      <c r="AG167" s="75">
        <v>0.98</v>
      </c>
      <c r="AH167" s="75">
        <v>1</v>
      </c>
      <c r="AI167" s="75">
        <v>1.02</v>
      </c>
      <c r="AJ167" s="75">
        <v>1.04</v>
      </c>
      <c r="AK167" s="75">
        <v>1.06</v>
      </c>
      <c r="AL167" s="75">
        <v>1.08</v>
      </c>
      <c r="AM167" s="75">
        <v>1.1000000000000001</v>
      </c>
      <c r="AN167" s="75">
        <v>1.1200000000000001</v>
      </c>
      <c r="AO167" s="75">
        <v>1.1399999999999999</v>
      </c>
      <c r="AP167" s="75">
        <v>1.1599999999999999</v>
      </c>
      <c r="AQ167" s="75">
        <v>1.18</v>
      </c>
      <c r="AR167" s="75">
        <v>1.2</v>
      </c>
      <c r="AS167" s="75">
        <v>1.22</v>
      </c>
      <c r="AT167" s="75">
        <v>1.24</v>
      </c>
      <c r="AU167" s="75">
        <v>1.26</v>
      </c>
      <c r="AV167" s="75">
        <v>1.3</v>
      </c>
      <c r="AW167" s="75"/>
      <c r="AX167" s="75"/>
      <c r="AY167" s="75"/>
      <c r="AZ167" s="75"/>
      <c r="BA167" s="75"/>
      <c r="BB167" s="75"/>
      <c r="BC167" s="75"/>
      <c r="BD167" s="75"/>
      <c r="BE167" s="75"/>
      <c r="BF167" s="75"/>
      <c r="BG167" s="75"/>
      <c r="BH167" s="75"/>
      <c r="BI167" s="75"/>
      <c r="BJ167" s="75"/>
      <c r="BK167" s="75"/>
    </row>
    <row r="168" spans="1:63" x14ac:dyDescent="0.25">
      <c r="A168" s="67" t="s">
        <v>1005</v>
      </c>
      <c r="B168" s="67">
        <v>45</v>
      </c>
      <c r="D168" s="274">
        <v>0</v>
      </c>
      <c r="E168" s="274">
        <v>0</v>
      </c>
      <c r="F168" s="274">
        <v>0</v>
      </c>
      <c r="G168" s="274">
        <v>0</v>
      </c>
      <c r="H168" s="274">
        <v>1</v>
      </c>
      <c r="I168" s="274">
        <v>1</v>
      </c>
      <c r="J168" s="274">
        <v>1</v>
      </c>
      <c r="K168" s="274">
        <v>1</v>
      </c>
      <c r="L168" s="274">
        <v>1</v>
      </c>
      <c r="M168" s="274">
        <v>2</v>
      </c>
      <c r="N168" s="274">
        <v>2</v>
      </c>
      <c r="O168" s="274">
        <v>2</v>
      </c>
      <c r="P168" s="274">
        <v>2</v>
      </c>
      <c r="Q168" s="274">
        <v>2</v>
      </c>
      <c r="R168" s="274">
        <v>2</v>
      </c>
      <c r="S168" s="274">
        <v>2</v>
      </c>
      <c r="T168" s="274">
        <v>2</v>
      </c>
      <c r="U168" s="274">
        <v>2</v>
      </c>
      <c r="V168" s="274">
        <v>2</v>
      </c>
      <c r="W168" s="274">
        <v>3</v>
      </c>
      <c r="X168" s="274">
        <v>3</v>
      </c>
      <c r="Y168" s="274">
        <v>3</v>
      </c>
      <c r="Z168" s="274">
        <v>3</v>
      </c>
      <c r="AA168" s="274">
        <v>3</v>
      </c>
      <c r="AB168" s="274">
        <v>3</v>
      </c>
      <c r="AC168" s="274">
        <v>3</v>
      </c>
      <c r="AD168" s="274">
        <v>3</v>
      </c>
      <c r="AE168" s="274">
        <v>3</v>
      </c>
      <c r="AF168" s="274">
        <v>3</v>
      </c>
      <c r="AG168" s="274">
        <v>4</v>
      </c>
      <c r="AH168" s="274">
        <v>4</v>
      </c>
      <c r="AI168" s="274">
        <v>4</v>
      </c>
      <c r="AJ168" s="274">
        <v>4</v>
      </c>
      <c r="AK168" s="274">
        <v>4</v>
      </c>
      <c r="AL168" s="274">
        <v>5</v>
      </c>
      <c r="AM168" s="274">
        <v>5</v>
      </c>
      <c r="AN168" s="274">
        <v>5</v>
      </c>
      <c r="AO168" s="274">
        <v>5</v>
      </c>
      <c r="AP168" s="274">
        <v>5</v>
      </c>
      <c r="AQ168" s="274">
        <v>6</v>
      </c>
      <c r="AR168" s="274">
        <v>6</v>
      </c>
      <c r="AS168" s="274">
        <v>6</v>
      </c>
      <c r="AT168" s="274">
        <v>6</v>
      </c>
      <c r="AU168" s="274">
        <v>6</v>
      </c>
      <c r="AV168" s="274">
        <v>7</v>
      </c>
      <c r="AW168" s="75"/>
      <c r="AX168" s="75"/>
      <c r="AY168" s="75"/>
      <c r="AZ168" s="75"/>
      <c r="BA168" s="75"/>
      <c r="BB168" s="75"/>
      <c r="BC168" s="75"/>
      <c r="BD168" s="75"/>
      <c r="BE168" s="75"/>
      <c r="BF168" s="75"/>
      <c r="BG168" s="75"/>
      <c r="BH168" s="75"/>
      <c r="BI168" s="75"/>
      <c r="BJ168" s="75"/>
      <c r="BK168" s="75"/>
    </row>
    <row r="169" spans="1:63" x14ac:dyDescent="0.25">
      <c r="A169" s="67" t="s">
        <v>1331</v>
      </c>
      <c r="D169" s="45">
        <v>200</v>
      </c>
      <c r="E169" s="53">
        <v>0.3</v>
      </c>
      <c r="F169" s="45">
        <v>400</v>
      </c>
      <c r="G169" s="53">
        <v>0.6</v>
      </c>
      <c r="H169" s="45">
        <v>650</v>
      </c>
      <c r="I169" s="53">
        <v>0.9</v>
      </c>
      <c r="J169" s="45">
        <v>900</v>
      </c>
      <c r="K169" s="53">
        <v>1.2</v>
      </c>
      <c r="L169" s="45">
        <v>1200</v>
      </c>
      <c r="M169" s="53">
        <v>1.5</v>
      </c>
      <c r="N169" s="45">
        <v>1600</v>
      </c>
      <c r="O169" s="53">
        <v>1.8</v>
      </c>
      <c r="P169" s="45">
        <v>2200</v>
      </c>
      <c r="Q169" s="53">
        <v>2.1</v>
      </c>
      <c r="R169" s="45">
        <v>3000</v>
      </c>
      <c r="S169" s="53">
        <v>2.4</v>
      </c>
      <c r="T169" s="45">
        <v>4000</v>
      </c>
      <c r="U169" s="53">
        <v>2.7</v>
      </c>
      <c r="V169" s="45">
        <v>6000</v>
      </c>
      <c r="W169" s="53">
        <v>3</v>
      </c>
      <c r="X169" s="274"/>
      <c r="Y169" s="274"/>
      <c r="Z169" s="274"/>
      <c r="AA169" s="274"/>
      <c r="AB169" s="274"/>
      <c r="AC169" s="274"/>
      <c r="AD169" s="274"/>
      <c r="AE169" s="274"/>
      <c r="AF169" s="274"/>
      <c r="AG169" s="274"/>
      <c r="AH169" s="274"/>
      <c r="AI169" s="274"/>
      <c r="AJ169" s="274"/>
      <c r="AK169" s="274"/>
      <c r="AL169" s="274"/>
      <c r="AM169" s="274"/>
      <c r="AN169" s="274"/>
      <c r="AO169" s="274"/>
      <c r="AP169" s="274"/>
      <c r="AQ169" s="274"/>
      <c r="AR169" s="274"/>
      <c r="AS169" s="274"/>
      <c r="AT169" s="274"/>
      <c r="AU169" s="274"/>
      <c r="AV169" s="274"/>
      <c r="AW169" s="75"/>
      <c r="AX169" s="75"/>
      <c r="AY169" s="75"/>
      <c r="AZ169" s="75"/>
      <c r="BA169" s="75"/>
      <c r="BB169" s="75"/>
      <c r="BC169" s="75"/>
      <c r="BD169" s="75"/>
      <c r="BE169" s="75"/>
      <c r="BF169" s="75"/>
      <c r="BG169" s="75"/>
      <c r="BH169" s="75"/>
      <c r="BI169" s="75"/>
      <c r="BJ169" s="75"/>
      <c r="BK169" s="75"/>
    </row>
    <row r="170" spans="1:63" x14ac:dyDescent="0.25">
      <c r="A170" s="67" t="s">
        <v>1060</v>
      </c>
      <c r="B170" s="67">
        <v>60</v>
      </c>
      <c r="C170" s="67" t="s">
        <v>1245</v>
      </c>
      <c r="D170" s="75">
        <v>0.3</v>
      </c>
      <c r="E170" s="75">
        <v>0.6</v>
      </c>
      <c r="F170" s="75">
        <v>0.61</v>
      </c>
      <c r="G170" s="75">
        <v>0.61</v>
      </c>
      <c r="H170" s="75">
        <v>0.62</v>
      </c>
      <c r="I170" s="75">
        <v>0.62</v>
      </c>
      <c r="J170" s="75">
        <v>0.63</v>
      </c>
      <c r="K170" s="75">
        <v>0.63</v>
      </c>
      <c r="L170" s="75">
        <v>0.64</v>
      </c>
      <c r="M170" s="75">
        <v>0.65</v>
      </c>
      <c r="N170" s="75">
        <v>0.65</v>
      </c>
      <c r="O170" s="75">
        <v>0.66</v>
      </c>
      <c r="P170" s="75">
        <v>0.66</v>
      </c>
      <c r="Q170" s="75">
        <v>0.67</v>
      </c>
      <c r="R170" s="75">
        <v>0.68</v>
      </c>
      <c r="S170" s="75">
        <v>0.68</v>
      </c>
      <c r="T170" s="75">
        <v>0.69</v>
      </c>
      <c r="U170" s="75">
        <v>0.7</v>
      </c>
      <c r="V170" s="75">
        <v>0.71</v>
      </c>
      <c r="W170" s="75">
        <v>0.72</v>
      </c>
      <c r="X170" s="75">
        <v>0.72</v>
      </c>
      <c r="Y170" s="75">
        <v>0.73</v>
      </c>
      <c r="Z170" s="75">
        <v>0.73</v>
      </c>
      <c r="AA170" s="75">
        <v>0.74</v>
      </c>
      <c r="AB170" s="75">
        <v>0.75</v>
      </c>
      <c r="AC170" s="75">
        <v>0.75</v>
      </c>
      <c r="AD170" s="75">
        <v>0.76</v>
      </c>
      <c r="AE170" s="75">
        <v>0.77</v>
      </c>
      <c r="AF170" s="75">
        <v>0.78</v>
      </c>
      <c r="AG170" s="75">
        <v>0.79</v>
      </c>
      <c r="AH170" s="75">
        <v>0.79</v>
      </c>
      <c r="AI170" s="75">
        <v>0.8</v>
      </c>
      <c r="AJ170" s="75">
        <v>0.8</v>
      </c>
      <c r="AK170" s="75">
        <v>0.81</v>
      </c>
      <c r="AL170" s="75">
        <v>0.82</v>
      </c>
      <c r="AM170" s="75">
        <v>0.82</v>
      </c>
      <c r="AN170" s="75">
        <v>0.83</v>
      </c>
      <c r="AO170" s="75">
        <v>0.84</v>
      </c>
      <c r="AP170" s="75">
        <v>0.85</v>
      </c>
      <c r="AQ170" s="75">
        <v>0.86</v>
      </c>
      <c r="AR170" s="75">
        <v>0.86</v>
      </c>
      <c r="AS170" s="75">
        <v>0.87</v>
      </c>
      <c r="AT170" s="75">
        <v>0.87</v>
      </c>
      <c r="AU170" s="75">
        <v>0.88</v>
      </c>
      <c r="AV170" s="75">
        <v>0.89</v>
      </c>
      <c r="AW170" s="75">
        <v>0.89</v>
      </c>
      <c r="AX170" s="75">
        <v>0.9</v>
      </c>
      <c r="AY170" s="75">
        <v>0.91</v>
      </c>
      <c r="AZ170" s="75">
        <v>0.92</v>
      </c>
      <c r="BA170" s="75">
        <v>0.93</v>
      </c>
      <c r="BB170" s="75">
        <v>0.93</v>
      </c>
      <c r="BC170" s="75">
        <v>0.94</v>
      </c>
      <c r="BD170" s="75">
        <v>0.94</v>
      </c>
      <c r="BE170" s="75">
        <v>0.95</v>
      </c>
      <c r="BF170" s="75">
        <v>0.96</v>
      </c>
      <c r="BG170" s="75">
        <v>0.96</v>
      </c>
      <c r="BH170" s="75">
        <v>0.97</v>
      </c>
      <c r="BI170" s="75">
        <v>0.98</v>
      </c>
      <c r="BJ170" s="75">
        <v>0.99</v>
      </c>
      <c r="BK170" s="75">
        <v>1</v>
      </c>
    </row>
    <row r="171" spans="1:63" x14ac:dyDescent="0.25">
      <c r="A171" s="67" t="s">
        <v>1006</v>
      </c>
      <c r="B171" s="67">
        <v>60</v>
      </c>
      <c r="D171" s="274">
        <v>0</v>
      </c>
      <c r="E171" s="274">
        <v>0</v>
      </c>
      <c r="F171" s="274">
        <v>0</v>
      </c>
      <c r="G171" s="274">
        <v>0</v>
      </c>
      <c r="H171" s="274">
        <v>1</v>
      </c>
      <c r="I171" s="274">
        <v>1</v>
      </c>
      <c r="J171" s="274">
        <v>1</v>
      </c>
      <c r="K171" s="274">
        <v>1</v>
      </c>
      <c r="L171" s="274">
        <v>1</v>
      </c>
      <c r="M171" s="274">
        <v>2</v>
      </c>
      <c r="N171" s="274">
        <v>2</v>
      </c>
      <c r="O171" s="274">
        <v>2</v>
      </c>
      <c r="P171" s="274">
        <v>2</v>
      </c>
      <c r="Q171" s="274">
        <v>2</v>
      </c>
      <c r="R171" s="274">
        <v>2</v>
      </c>
      <c r="S171" s="274">
        <v>2</v>
      </c>
      <c r="T171" s="274">
        <v>2</v>
      </c>
      <c r="U171" s="274">
        <v>2</v>
      </c>
      <c r="V171" s="274">
        <v>2</v>
      </c>
      <c r="W171" s="274">
        <v>3</v>
      </c>
      <c r="X171" s="274">
        <v>3</v>
      </c>
      <c r="Y171" s="274">
        <v>3</v>
      </c>
      <c r="Z171" s="274">
        <v>3</v>
      </c>
      <c r="AA171" s="274">
        <v>3</v>
      </c>
      <c r="AB171" s="274">
        <v>3</v>
      </c>
      <c r="AC171" s="274">
        <v>3</v>
      </c>
      <c r="AD171" s="274">
        <v>3</v>
      </c>
      <c r="AE171" s="274">
        <v>3</v>
      </c>
      <c r="AF171" s="274">
        <v>3</v>
      </c>
      <c r="AG171" s="274">
        <v>3</v>
      </c>
      <c r="AH171" s="274">
        <v>3</v>
      </c>
      <c r="AI171" s="274">
        <v>3</v>
      </c>
      <c r="AJ171" s="274">
        <v>3</v>
      </c>
      <c r="AK171" s="274">
        <v>3</v>
      </c>
      <c r="AL171" s="274">
        <v>4</v>
      </c>
      <c r="AM171" s="274">
        <v>4</v>
      </c>
      <c r="AN171" s="274">
        <v>4</v>
      </c>
      <c r="AO171" s="274">
        <v>4</v>
      </c>
      <c r="AP171" s="274">
        <v>4</v>
      </c>
      <c r="AQ171" s="274">
        <v>4</v>
      </c>
      <c r="AR171" s="274">
        <v>4</v>
      </c>
      <c r="AS171" s="274">
        <v>4</v>
      </c>
      <c r="AT171" s="274">
        <v>4</v>
      </c>
      <c r="AU171" s="274">
        <v>4</v>
      </c>
      <c r="AV171" s="274">
        <v>4</v>
      </c>
      <c r="AW171" s="274">
        <v>4</v>
      </c>
      <c r="AX171" s="274">
        <v>4</v>
      </c>
      <c r="AY171" s="274">
        <v>4</v>
      </c>
      <c r="AZ171" s="274">
        <v>4</v>
      </c>
      <c r="BA171" s="274">
        <v>4</v>
      </c>
      <c r="BB171" s="274">
        <v>4</v>
      </c>
      <c r="BC171" s="274">
        <v>4</v>
      </c>
      <c r="BD171" s="274">
        <v>4</v>
      </c>
      <c r="BE171" s="274">
        <v>4</v>
      </c>
      <c r="BF171" s="274">
        <v>5</v>
      </c>
      <c r="BG171" s="274">
        <v>5</v>
      </c>
      <c r="BH171" s="274">
        <v>5</v>
      </c>
      <c r="BI171" s="274">
        <v>5</v>
      </c>
      <c r="BJ171" s="274">
        <v>5</v>
      </c>
      <c r="BK171" s="274">
        <v>5</v>
      </c>
    </row>
    <row r="172" spans="1:63" x14ac:dyDescent="0.25">
      <c r="A172" s="67" t="s">
        <v>1332</v>
      </c>
      <c r="D172" s="45">
        <v>700</v>
      </c>
      <c r="E172" s="53">
        <v>0.4</v>
      </c>
      <c r="F172" s="45">
        <v>1400</v>
      </c>
      <c r="G172" s="53">
        <v>0.8</v>
      </c>
      <c r="H172" s="45">
        <v>2275</v>
      </c>
      <c r="I172" s="53">
        <v>1.2</v>
      </c>
      <c r="J172" s="45">
        <v>3150</v>
      </c>
      <c r="K172" s="53">
        <v>1.6</v>
      </c>
      <c r="L172" s="45">
        <v>4200</v>
      </c>
      <c r="M172" s="53">
        <v>2</v>
      </c>
      <c r="N172" s="45">
        <v>5600</v>
      </c>
      <c r="O172" s="53">
        <v>2.4</v>
      </c>
      <c r="P172" s="45">
        <v>7700</v>
      </c>
      <c r="Q172" s="53">
        <v>2.8</v>
      </c>
      <c r="R172" s="45">
        <v>10500</v>
      </c>
      <c r="S172" s="53">
        <v>3.2</v>
      </c>
      <c r="T172" s="45">
        <v>14000</v>
      </c>
      <c r="U172" s="53">
        <v>3.6</v>
      </c>
      <c r="V172" s="45">
        <v>21000</v>
      </c>
      <c r="W172" s="53">
        <v>4</v>
      </c>
      <c r="X172" s="274"/>
      <c r="Y172" s="274"/>
      <c r="Z172" s="274"/>
      <c r="AA172" s="274"/>
      <c r="AB172" s="274"/>
      <c r="AC172" s="274"/>
      <c r="AD172" s="274"/>
      <c r="AE172" s="274"/>
      <c r="AF172" s="274"/>
      <c r="AG172" s="274"/>
      <c r="AH172" s="274"/>
      <c r="AI172" s="274"/>
      <c r="AJ172" s="274"/>
      <c r="AK172" s="274"/>
      <c r="AL172" s="274"/>
      <c r="AM172" s="274"/>
      <c r="AN172" s="274"/>
      <c r="AO172" s="274"/>
      <c r="AP172" s="274"/>
      <c r="AQ172" s="274"/>
      <c r="AR172" s="274"/>
      <c r="AS172" s="274"/>
      <c r="AT172" s="274"/>
      <c r="AU172" s="274"/>
      <c r="AV172" s="274"/>
      <c r="AW172" s="274"/>
      <c r="AX172" s="274"/>
      <c r="AY172" s="274"/>
      <c r="AZ172" s="274"/>
      <c r="BA172" s="274"/>
      <c r="BB172" s="274"/>
      <c r="BC172" s="274"/>
      <c r="BD172" s="274"/>
      <c r="BE172" s="274"/>
      <c r="BF172" s="274"/>
      <c r="BG172" s="274"/>
      <c r="BH172" s="274"/>
      <c r="BI172" s="274"/>
      <c r="BJ172" s="274"/>
      <c r="BK172" s="274"/>
    </row>
    <row r="173" spans="1:63" x14ac:dyDescent="0.25">
      <c r="A173" s="67" t="s">
        <v>1061</v>
      </c>
      <c r="B173" s="67">
        <v>45</v>
      </c>
      <c r="C173" s="67" t="s">
        <v>1149</v>
      </c>
      <c r="D173" s="75">
        <v>0.3</v>
      </c>
      <c r="E173" s="75">
        <v>0.32</v>
      </c>
      <c r="F173" s="75">
        <v>0.34</v>
      </c>
      <c r="G173" s="75">
        <v>0.36</v>
      </c>
      <c r="H173" s="75">
        <v>0.38</v>
      </c>
      <c r="I173" s="75">
        <v>0.4</v>
      </c>
      <c r="J173" s="75">
        <v>0.42</v>
      </c>
      <c r="K173" s="75">
        <v>0.44</v>
      </c>
      <c r="L173" s="75">
        <v>0.46</v>
      </c>
      <c r="M173" s="75">
        <v>0.48</v>
      </c>
      <c r="N173" s="75">
        <v>0.5</v>
      </c>
      <c r="O173" s="75">
        <v>0.52</v>
      </c>
      <c r="P173" s="75">
        <v>0.54</v>
      </c>
      <c r="Q173" s="75">
        <v>0.56000000000000005</v>
      </c>
      <c r="R173" s="75">
        <v>0.57999999999999996</v>
      </c>
      <c r="S173" s="75">
        <v>0.6</v>
      </c>
      <c r="T173" s="75">
        <v>0.62</v>
      </c>
      <c r="U173" s="75">
        <v>0.64</v>
      </c>
      <c r="V173" s="75">
        <v>0.66</v>
      </c>
      <c r="W173" s="75">
        <v>0.68</v>
      </c>
      <c r="X173" s="75">
        <v>0.7</v>
      </c>
      <c r="Y173" s="75">
        <v>0.72</v>
      </c>
      <c r="Z173" s="75">
        <v>0.74</v>
      </c>
      <c r="AA173" s="75">
        <v>0.76</v>
      </c>
      <c r="AB173" s="75">
        <v>0.78</v>
      </c>
      <c r="AC173" s="75">
        <v>0.8</v>
      </c>
      <c r="AD173" s="75">
        <v>0.82</v>
      </c>
      <c r="AE173" s="75">
        <v>0.84</v>
      </c>
      <c r="AF173" s="75">
        <v>0.86</v>
      </c>
      <c r="AG173" s="75">
        <v>0.88</v>
      </c>
      <c r="AH173" s="75">
        <v>0.9</v>
      </c>
      <c r="AI173" s="75">
        <v>0.92</v>
      </c>
      <c r="AJ173" s="75">
        <v>0.94</v>
      </c>
      <c r="AK173" s="75">
        <v>0.96</v>
      </c>
      <c r="AL173" s="75">
        <v>0.98</v>
      </c>
      <c r="AM173" s="75">
        <v>1</v>
      </c>
      <c r="AN173" s="75">
        <v>1.02</v>
      </c>
      <c r="AO173" s="75">
        <v>1.04</v>
      </c>
      <c r="AP173" s="75">
        <v>1.06</v>
      </c>
      <c r="AQ173" s="75">
        <v>1.08</v>
      </c>
      <c r="AR173" s="75">
        <v>1.1000000000000001</v>
      </c>
      <c r="AS173" s="75">
        <v>1.1200000000000001</v>
      </c>
      <c r="AT173" s="75">
        <v>1.1399999999999999</v>
      </c>
      <c r="AU173" s="75">
        <v>1.1599999999999999</v>
      </c>
      <c r="AV173" s="75">
        <v>1.2</v>
      </c>
      <c r="AW173" s="75"/>
      <c r="AX173" s="75"/>
      <c r="AY173" s="75"/>
      <c r="AZ173" s="75"/>
      <c r="BA173" s="75"/>
      <c r="BB173" s="75"/>
      <c r="BC173" s="75"/>
      <c r="BD173" s="75"/>
      <c r="BE173" s="75"/>
      <c r="BF173" s="75"/>
      <c r="BG173" s="75"/>
      <c r="BH173" s="75"/>
      <c r="BI173" s="75"/>
      <c r="BJ173" s="75"/>
      <c r="BK173" s="75"/>
    </row>
    <row r="174" spans="1:63" x14ac:dyDescent="0.25">
      <c r="A174" s="67" t="s">
        <v>1007</v>
      </c>
      <c r="B174" s="67">
        <v>45</v>
      </c>
      <c r="D174" s="274">
        <v>0</v>
      </c>
      <c r="E174" s="274">
        <v>0</v>
      </c>
      <c r="F174" s="274">
        <v>0</v>
      </c>
      <c r="G174" s="274">
        <v>0</v>
      </c>
      <c r="H174" s="274">
        <v>1</v>
      </c>
      <c r="I174" s="274">
        <v>1</v>
      </c>
      <c r="J174" s="274">
        <v>1</v>
      </c>
      <c r="K174" s="274">
        <v>1</v>
      </c>
      <c r="L174" s="274">
        <v>1</v>
      </c>
      <c r="M174" s="274">
        <v>2</v>
      </c>
      <c r="N174" s="274">
        <v>2</v>
      </c>
      <c r="O174" s="274">
        <v>2</v>
      </c>
      <c r="P174" s="274">
        <v>2</v>
      </c>
      <c r="Q174" s="274">
        <v>2</v>
      </c>
      <c r="R174" s="274">
        <v>2</v>
      </c>
      <c r="S174" s="274">
        <v>2</v>
      </c>
      <c r="T174" s="274">
        <v>2</v>
      </c>
      <c r="U174" s="274">
        <v>2</v>
      </c>
      <c r="V174" s="274">
        <v>2</v>
      </c>
      <c r="W174" s="274">
        <v>3</v>
      </c>
      <c r="X174" s="274">
        <v>3</v>
      </c>
      <c r="Y174" s="274">
        <v>3</v>
      </c>
      <c r="Z174" s="274">
        <v>3</v>
      </c>
      <c r="AA174" s="274">
        <v>3</v>
      </c>
      <c r="AB174" s="274">
        <v>3</v>
      </c>
      <c r="AC174" s="274">
        <v>3</v>
      </c>
      <c r="AD174" s="274">
        <v>3</v>
      </c>
      <c r="AE174" s="274">
        <v>3</v>
      </c>
      <c r="AF174" s="274">
        <v>3</v>
      </c>
      <c r="AG174" s="274">
        <v>4</v>
      </c>
      <c r="AH174" s="274">
        <v>4</v>
      </c>
      <c r="AI174" s="274">
        <v>4</v>
      </c>
      <c r="AJ174" s="274">
        <v>4</v>
      </c>
      <c r="AK174" s="274">
        <v>4</v>
      </c>
      <c r="AL174" s="274">
        <v>4</v>
      </c>
      <c r="AM174" s="274">
        <v>4</v>
      </c>
      <c r="AN174" s="274">
        <v>4</v>
      </c>
      <c r="AO174" s="274">
        <v>4</v>
      </c>
      <c r="AP174" s="274">
        <v>4</v>
      </c>
      <c r="AQ174" s="274">
        <v>5</v>
      </c>
      <c r="AR174" s="274">
        <v>5</v>
      </c>
      <c r="AS174" s="274">
        <v>5</v>
      </c>
      <c r="AT174" s="274">
        <v>5</v>
      </c>
      <c r="AU174" s="274">
        <v>5</v>
      </c>
      <c r="AV174" s="274">
        <v>5</v>
      </c>
      <c r="AW174" s="75"/>
      <c r="AX174" s="75"/>
      <c r="AY174" s="75"/>
      <c r="AZ174" s="75"/>
      <c r="BA174" s="75"/>
      <c r="BB174" s="75"/>
      <c r="BC174" s="75"/>
      <c r="BD174" s="75"/>
      <c r="BE174" s="75"/>
      <c r="BF174" s="75"/>
      <c r="BG174" s="75"/>
      <c r="BH174" s="75"/>
      <c r="BI174" s="75"/>
      <c r="BJ174" s="75"/>
      <c r="BK174" s="75"/>
    </row>
    <row r="175" spans="1:63" x14ac:dyDescent="0.25">
      <c r="A175" s="67" t="s">
        <v>1333</v>
      </c>
      <c r="D175" s="45">
        <v>120</v>
      </c>
      <c r="E175" s="53">
        <v>0.3</v>
      </c>
      <c r="F175" s="45">
        <v>240</v>
      </c>
      <c r="G175" s="53">
        <v>0.6</v>
      </c>
      <c r="H175" s="45">
        <v>390</v>
      </c>
      <c r="I175" s="53">
        <v>0.9</v>
      </c>
      <c r="J175" s="45">
        <v>540</v>
      </c>
      <c r="K175" s="53">
        <v>1.2</v>
      </c>
      <c r="L175" s="45">
        <v>720</v>
      </c>
      <c r="M175" s="53">
        <v>1.5</v>
      </c>
      <c r="N175" s="45">
        <v>960</v>
      </c>
      <c r="O175" s="53">
        <v>1.8</v>
      </c>
      <c r="P175" s="45">
        <v>1320</v>
      </c>
      <c r="Q175" s="53">
        <v>2.1</v>
      </c>
      <c r="R175" s="45">
        <v>1800</v>
      </c>
      <c r="S175" s="53">
        <v>2.4</v>
      </c>
      <c r="T175" s="45">
        <v>2400</v>
      </c>
      <c r="U175" s="53">
        <v>2.7</v>
      </c>
      <c r="V175" s="45">
        <v>3600</v>
      </c>
      <c r="W175" s="53">
        <v>3</v>
      </c>
      <c r="X175" s="274"/>
      <c r="Y175" s="274"/>
      <c r="Z175" s="274"/>
      <c r="AA175" s="274"/>
      <c r="AB175" s="274"/>
      <c r="AC175" s="274"/>
      <c r="AD175" s="274"/>
      <c r="AE175" s="274"/>
      <c r="AF175" s="274"/>
      <c r="AG175" s="274"/>
      <c r="AH175" s="274"/>
      <c r="AI175" s="274"/>
      <c r="AJ175" s="274"/>
      <c r="AK175" s="274"/>
      <c r="AL175" s="274"/>
      <c r="AM175" s="274"/>
      <c r="AN175" s="274"/>
      <c r="AO175" s="274"/>
      <c r="AP175" s="274"/>
      <c r="AQ175" s="274"/>
      <c r="AR175" s="274"/>
      <c r="AS175" s="274"/>
      <c r="AT175" s="274"/>
      <c r="AU175" s="274"/>
      <c r="AV175" s="274"/>
      <c r="AW175" s="75"/>
      <c r="AX175" s="75"/>
      <c r="AY175" s="75"/>
      <c r="AZ175" s="75"/>
      <c r="BA175" s="75"/>
      <c r="BB175" s="75"/>
      <c r="BC175" s="75"/>
      <c r="BD175" s="75"/>
      <c r="BE175" s="75"/>
      <c r="BF175" s="75"/>
      <c r="BG175" s="75"/>
      <c r="BH175" s="75"/>
      <c r="BI175" s="75"/>
      <c r="BJ175" s="75"/>
      <c r="BK175" s="75"/>
    </row>
    <row r="176" spans="1:63" x14ac:dyDescent="0.25">
      <c r="A176" s="67" t="s">
        <v>1062</v>
      </c>
      <c r="B176" s="67">
        <v>60</v>
      </c>
      <c r="C176" s="67" t="s">
        <v>1250</v>
      </c>
      <c r="D176" s="75">
        <v>0.1</v>
      </c>
      <c r="E176" s="75">
        <v>0.11</v>
      </c>
      <c r="F176" s="75">
        <v>0.12</v>
      </c>
      <c r="G176" s="75">
        <v>0.13</v>
      </c>
      <c r="H176" s="75">
        <v>0.14000000000000001</v>
      </c>
      <c r="I176" s="75">
        <v>0.15</v>
      </c>
      <c r="J176" s="75">
        <v>0.16</v>
      </c>
      <c r="K176" s="75">
        <v>0.17</v>
      </c>
      <c r="L176" s="75">
        <v>0.18</v>
      </c>
      <c r="M176" s="75">
        <v>0.2</v>
      </c>
      <c r="N176" s="75">
        <v>0.22</v>
      </c>
      <c r="O176" s="75">
        <v>0.23</v>
      </c>
      <c r="P176" s="75">
        <v>0.25</v>
      </c>
      <c r="Q176" s="75">
        <v>0.26</v>
      </c>
      <c r="R176" s="75">
        <v>0.28000000000000003</v>
      </c>
      <c r="S176" s="75">
        <v>0.28999999999999998</v>
      </c>
      <c r="T176" s="75">
        <v>0.31</v>
      </c>
      <c r="U176" s="75">
        <v>0.32</v>
      </c>
      <c r="V176" s="75">
        <v>0.34</v>
      </c>
      <c r="W176" s="75">
        <v>0.35</v>
      </c>
      <c r="X176" s="75">
        <v>0.37</v>
      </c>
      <c r="Y176" s="75">
        <v>0.38</v>
      </c>
      <c r="Z176" s="75">
        <v>0.4</v>
      </c>
      <c r="AA176" s="75">
        <v>0.41</v>
      </c>
      <c r="AB176" s="75">
        <v>0.43</v>
      </c>
      <c r="AC176" s="75">
        <v>0.44</v>
      </c>
      <c r="AD176" s="75">
        <v>0.46</v>
      </c>
      <c r="AE176" s="75">
        <v>0.47</v>
      </c>
      <c r="AF176" s="75">
        <v>0.49</v>
      </c>
      <c r="AG176" s="75">
        <v>0.5</v>
      </c>
      <c r="AH176" s="75">
        <v>0.52</v>
      </c>
      <c r="AI176" s="75">
        <v>0.54</v>
      </c>
      <c r="AJ176" s="75">
        <v>0.56000000000000005</v>
      </c>
      <c r="AK176" s="75">
        <v>0.57999999999999996</v>
      </c>
      <c r="AL176" s="75">
        <v>0.6</v>
      </c>
      <c r="AM176" s="75">
        <v>0.62</v>
      </c>
      <c r="AN176" s="75">
        <v>0.64</v>
      </c>
      <c r="AO176" s="75">
        <v>0.66</v>
      </c>
      <c r="AP176" s="75">
        <v>0.68</v>
      </c>
      <c r="AQ176" s="75">
        <v>0.7</v>
      </c>
      <c r="AR176" s="75">
        <v>0.72</v>
      </c>
      <c r="AS176" s="75">
        <v>0.74</v>
      </c>
      <c r="AT176" s="75">
        <v>0.76</v>
      </c>
      <c r="AU176" s="75">
        <v>0.78</v>
      </c>
      <c r="AV176" s="75">
        <v>0.8</v>
      </c>
      <c r="AW176" s="75">
        <v>0.82</v>
      </c>
      <c r="AX176" s="75">
        <v>0.84</v>
      </c>
      <c r="AY176" s="75">
        <v>0.86</v>
      </c>
      <c r="AZ176" s="75">
        <v>0.88</v>
      </c>
      <c r="BA176" s="75">
        <v>0.9</v>
      </c>
      <c r="BB176" s="75">
        <v>0.93</v>
      </c>
      <c r="BC176" s="75">
        <v>0.96</v>
      </c>
      <c r="BD176" s="75">
        <v>0.99</v>
      </c>
      <c r="BE176" s="75">
        <v>1.02</v>
      </c>
      <c r="BF176" s="75">
        <v>1.05</v>
      </c>
      <c r="BG176" s="75">
        <v>1.08</v>
      </c>
      <c r="BH176" s="75">
        <v>1.1100000000000001</v>
      </c>
      <c r="BI176" s="75">
        <v>1.1399999999999999</v>
      </c>
      <c r="BJ176" s="75">
        <v>1.17</v>
      </c>
      <c r="BK176" s="75">
        <v>1.2</v>
      </c>
    </row>
    <row r="177" spans="1:63" x14ac:dyDescent="0.25">
      <c r="A177" s="67" t="s">
        <v>1008</v>
      </c>
      <c r="B177" s="67">
        <v>60</v>
      </c>
      <c r="D177" s="274">
        <v>0</v>
      </c>
      <c r="E177" s="274">
        <v>0</v>
      </c>
      <c r="F177" s="274">
        <v>0</v>
      </c>
      <c r="G177" s="274">
        <v>0</v>
      </c>
      <c r="H177" s="274">
        <v>1</v>
      </c>
      <c r="I177" s="274">
        <v>1</v>
      </c>
      <c r="J177" s="274">
        <v>1</v>
      </c>
      <c r="K177" s="274">
        <v>1</v>
      </c>
      <c r="L177" s="274">
        <v>1</v>
      </c>
      <c r="M177" s="274">
        <v>2</v>
      </c>
      <c r="N177" s="274">
        <v>2</v>
      </c>
      <c r="O177" s="274">
        <v>2</v>
      </c>
      <c r="P177" s="274">
        <v>2</v>
      </c>
      <c r="Q177" s="274">
        <v>2</v>
      </c>
      <c r="R177" s="274">
        <v>2</v>
      </c>
      <c r="S177" s="274">
        <v>2</v>
      </c>
      <c r="T177" s="274">
        <v>2</v>
      </c>
      <c r="U177" s="274">
        <v>2</v>
      </c>
      <c r="V177" s="274">
        <v>2</v>
      </c>
      <c r="W177" s="274">
        <v>3</v>
      </c>
      <c r="X177" s="274">
        <v>3</v>
      </c>
      <c r="Y177" s="274">
        <v>3</v>
      </c>
      <c r="Z177" s="274">
        <v>3</v>
      </c>
      <c r="AA177" s="274">
        <v>3</v>
      </c>
      <c r="AB177" s="274">
        <v>3</v>
      </c>
      <c r="AC177" s="274">
        <v>3</v>
      </c>
      <c r="AD177" s="274">
        <v>3</v>
      </c>
      <c r="AE177" s="274">
        <v>3</v>
      </c>
      <c r="AF177" s="274">
        <v>3</v>
      </c>
      <c r="AG177" s="274">
        <v>3</v>
      </c>
      <c r="AH177" s="274">
        <v>3</v>
      </c>
      <c r="AI177" s="274">
        <v>3</v>
      </c>
      <c r="AJ177" s="274">
        <v>3</v>
      </c>
      <c r="AK177" s="274">
        <v>3</v>
      </c>
      <c r="AL177" s="274">
        <v>4</v>
      </c>
      <c r="AM177" s="274">
        <v>4</v>
      </c>
      <c r="AN177" s="274">
        <v>4</v>
      </c>
      <c r="AO177" s="274">
        <v>4</v>
      </c>
      <c r="AP177" s="274">
        <v>4</v>
      </c>
      <c r="AQ177" s="274">
        <v>4</v>
      </c>
      <c r="AR177" s="274">
        <v>4</v>
      </c>
      <c r="AS177" s="274">
        <v>4</v>
      </c>
      <c r="AT177" s="274">
        <v>4</v>
      </c>
      <c r="AU177" s="274">
        <v>4</v>
      </c>
      <c r="AV177" s="274">
        <v>5</v>
      </c>
      <c r="AW177" s="274">
        <v>5</v>
      </c>
      <c r="AX177" s="274">
        <v>5</v>
      </c>
      <c r="AY177" s="274">
        <v>5</v>
      </c>
      <c r="AZ177" s="274">
        <v>5</v>
      </c>
      <c r="BA177" s="274">
        <v>5</v>
      </c>
      <c r="BB177" s="274">
        <v>5</v>
      </c>
      <c r="BC177" s="274">
        <v>5</v>
      </c>
      <c r="BD177" s="274">
        <v>5</v>
      </c>
      <c r="BE177" s="274">
        <v>5</v>
      </c>
      <c r="BF177" s="274">
        <v>6</v>
      </c>
      <c r="BG177" s="274">
        <v>6</v>
      </c>
      <c r="BH177" s="274">
        <v>6</v>
      </c>
      <c r="BI177" s="274">
        <v>6</v>
      </c>
      <c r="BJ177" s="274">
        <v>6</v>
      </c>
      <c r="BK177" s="274">
        <v>6</v>
      </c>
    </row>
    <row r="178" spans="1:63" x14ac:dyDescent="0.25">
      <c r="A178" s="67" t="s">
        <v>1334</v>
      </c>
      <c r="D178" s="45">
        <v>1000</v>
      </c>
      <c r="E178" s="53">
        <v>0.45</v>
      </c>
      <c r="F178" s="45">
        <v>2000</v>
      </c>
      <c r="G178" s="53">
        <v>0.9</v>
      </c>
      <c r="H178" s="45">
        <v>3250</v>
      </c>
      <c r="I178" s="53">
        <v>1.35</v>
      </c>
      <c r="J178" s="45">
        <v>4500</v>
      </c>
      <c r="K178" s="53">
        <v>1.8</v>
      </c>
      <c r="L178" s="45">
        <v>6000</v>
      </c>
      <c r="M178" s="53">
        <v>2.25</v>
      </c>
      <c r="N178" s="45">
        <v>8000</v>
      </c>
      <c r="O178" s="53">
        <v>2.7</v>
      </c>
      <c r="P178" s="45">
        <v>11000</v>
      </c>
      <c r="Q178" s="53">
        <v>3.15</v>
      </c>
      <c r="R178" s="45">
        <v>15000</v>
      </c>
      <c r="S178" s="53">
        <v>3.6</v>
      </c>
      <c r="T178" s="45">
        <v>20000</v>
      </c>
      <c r="U178" s="53">
        <v>4.05</v>
      </c>
      <c r="V178" s="45">
        <v>30000</v>
      </c>
      <c r="W178" s="53">
        <v>4.5</v>
      </c>
      <c r="X178" s="274"/>
      <c r="Y178" s="274"/>
      <c r="Z178" s="274"/>
      <c r="AA178" s="274"/>
      <c r="AB178" s="274"/>
      <c r="AC178" s="274"/>
      <c r="AD178" s="274"/>
      <c r="AE178" s="274"/>
      <c r="AF178" s="274"/>
      <c r="AG178" s="274"/>
      <c r="AH178" s="274"/>
      <c r="AI178" s="274"/>
      <c r="AJ178" s="274"/>
      <c r="AK178" s="274"/>
      <c r="AL178" s="274"/>
      <c r="AM178" s="274"/>
      <c r="AN178" s="274"/>
      <c r="AO178" s="274"/>
      <c r="AP178" s="274"/>
      <c r="AQ178" s="274"/>
      <c r="AR178" s="274"/>
      <c r="AS178" s="274"/>
      <c r="AT178" s="274"/>
      <c r="AU178" s="274"/>
      <c r="AV178" s="274"/>
      <c r="AW178" s="274"/>
      <c r="AX178" s="274"/>
      <c r="AY178" s="274"/>
      <c r="AZ178" s="274"/>
      <c r="BA178" s="274"/>
      <c r="BB178" s="274"/>
      <c r="BC178" s="274"/>
      <c r="BD178" s="274"/>
      <c r="BE178" s="274"/>
      <c r="BF178" s="274"/>
      <c r="BG178" s="274"/>
      <c r="BH178" s="274"/>
      <c r="BI178" s="274"/>
      <c r="BJ178" s="274"/>
      <c r="BK178" s="274"/>
    </row>
    <row r="179" spans="1:63" x14ac:dyDescent="0.25">
      <c r="A179" s="67" t="s">
        <v>1831</v>
      </c>
      <c r="B179" s="67">
        <v>60</v>
      </c>
      <c r="C179" s="67" t="s">
        <v>1834</v>
      </c>
      <c r="D179" s="53">
        <v>0.02</v>
      </c>
      <c r="E179" s="53">
        <v>0.02</v>
      </c>
      <c r="F179" s="53">
        <v>0.02</v>
      </c>
      <c r="G179" s="53">
        <v>0.02</v>
      </c>
      <c r="H179" s="53">
        <v>0.02</v>
      </c>
      <c r="I179" s="53">
        <v>0.02</v>
      </c>
      <c r="J179" s="53">
        <v>0.03</v>
      </c>
      <c r="K179" s="53">
        <v>0.03</v>
      </c>
      <c r="L179" s="53">
        <v>0.03</v>
      </c>
      <c r="M179" s="53">
        <v>0.03</v>
      </c>
      <c r="N179" s="53">
        <v>0.03</v>
      </c>
      <c r="O179" s="53">
        <v>0.03</v>
      </c>
      <c r="P179" s="53">
        <v>0.04</v>
      </c>
      <c r="Q179" s="53">
        <v>0.04</v>
      </c>
      <c r="R179" s="53">
        <v>0.04</v>
      </c>
      <c r="S179" s="53">
        <v>0.04</v>
      </c>
      <c r="T179" s="53">
        <v>0.04</v>
      </c>
      <c r="U179" s="53">
        <v>0.04</v>
      </c>
      <c r="V179" s="53">
        <v>0.05</v>
      </c>
      <c r="W179" s="53">
        <v>0.05</v>
      </c>
      <c r="X179" s="75">
        <v>0.05</v>
      </c>
      <c r="Y179" s="75">
        <v>0.05</v>
      </c>
      <c r="Z179" s="75">
        <v>0.05</v>
      </c>
      <c r="AA179" s="75">
        <v>0.05</v>
      </c>
      <c r="AB179" s="75">
        <v>0.06</v>
      </c>
      <c r="AC179" s="75">
        <v>0.06</v>
      </c>
      <c r="AD179" s="75">
        <v>0.06</v>
      </c>
      <c r="AE179" s="75">
        <v>0.06</v>
      </c>
      <c r="AF179" s="75">
        <v>0.06</v>
      </c>
      <c r="AG179" s="75">
        <v>0.06</v>
      </c>
      <c r="AH179" s="75">
        <v>7.0000000000000007E-2</v>
      </c>
      <c r="AI179" s="75">
        <v>7.0000000000000007E-2</v>
      </c>
      <c r="AJ179" s="75">
        <v>7.0000000000000007E-2</v>
      </c>
      <c r="AK179" s="75">
        <v>7.0000000000000007E-2</v>
      </c>
      <c r="AL179" s="75">
        <v>7.0000000000000007E-2</v>
      </c>
      <c r="AM179" s="75">
        <v>7.0000000000000007E-2</v>
      </c>
      <c r="AN179" s="75">
        <v>0.08</v>
      </c>
      <c r="AO179" s="75">
        <v>0.08</v>
      </c>
      <c r="AP179" s="75">
        <v>0.08</v>
      </c>
      <c r="AQ179" s="75">
        <v>0.08</v>
      </c>
      <c r="AR179" s="75">
        <v>0.08</v>
      </c>
      <c r="AS179" s="75">
        <v>0.08</v>
      </c>
      <c r="AT179" s="75">
        <v>0.09</v>
      </c>
      <c r="AU179" s="75">
        <v>0.09</v>
      </c>
      <c r="AV179" s="75">
        <v>0.09</v>
      </c>
      <c r="AW179" s="75">
        <v>0.09</v>
      </c>
      <c r="AX179" s="75">
        <v>0.09</v>
      </c>
      <c r="AY179" s="75">
        <v>0.09</v>
      </c>
      <c r="AZ179" s="75">
        <v>0.1</v>
      </c>
      <c r="BA179" s="75">
        <v>0.1</v>
      </c>
      <c r="BB179" s="75">
        <v>0.1</v>
      </c>
      <c r="BC179" s="75">
        <v>0.1</v>
      </c>
      <c r="BD179" s="75">
        <v>0.1</v>
      </c>
      <c r="BE179" s="75">
        <v>0.1</v>
      </c>
      <c r="BF179" s="75">
        <v>0.1</v>
      </c>
      <c r="BG179" s="75">
        <v>0.1</v>
      </c>
      <c r="BH179" s="75">
        <v>0.1</v>
      </c>
      <c r="BI179" s="75">
        <v>0.1</v>
      </c>
      <c r="BJ179" s="75">
        <v>0.1</v>
      </c>
      <c r="BK179" s="75">
        <v>0.1</v>
      </c>
    </row>
    <row r="180" spans="1:63" x14ac:dyDescent="0.25">
      <c r="A180" s="67" t="s">
        <v>1832</v>
      </c>
      <c r="B180" s="67">
        <v>60</v>
      </c>
      <c r="D180" s="54">
        <v>0</v>
      </c>
      <c r="E180" s="54">
        <v>0</v>
      </c>
      <c r="F180" s="54">
        <v>0</v>
      </c>
      <c r="G180" s="54">
        <v>0</v>
      </c>
      <c r="H180" s="54">
        <v>1</v>
      </c>
      <c r="I180" s="54">
        <v>1</v>
      </c>
      <c r="J180" s="54">
        <v>1</v>
      </c>
      <c r="K180" s="54">
        <v>1</v>
      </c>
      <c r="L180" s="54">
        <v>1</v>
      </c>
      <c r="M180" s="54">
        <v>2</v>
      </c>
      <c r="N180" s="54">
        <v>2</v>
      </c>
      <c r="O180" s="54">
        <v>2</v>
      </c>
      <c r="P180" s="54">
        <v>2</v>
      </c>
      <c r="Q180" s="54">
        <v>2</v>
      </c>
      <c r="R180" s="54">
        <v>2</v>
      </c>
      <c r="S180" s="54">
        <v>2</v>
      </c>
      <c r="T180" s="54">
        <v>2</v>
      </c>
      <c r="U180" s="54">
        <v>2</v>
      </c>
      <c r="V180" s="54">
        <v>2</v>
      </c>
      <c r="W180" s="54">
        <v>3</v>
      </c>
      <c r="X180" s="274">
        <v>3</v>
      </c>
      <c r="Y180" s="274">
        <v>3</v>
      </c>
      <c r="Z180" s="274">
        <v>3</v>
      </c>
      <c r="AA180" s="274">
        <v>3</v>
      </c>
      <c r="AB180" s="274">
        <v>3</v>
      </c>
      <c r="AC180" s="274">
        <v>3</v>
      </c>
      <c r="AD180" s="274">
        <v>3</v>
      </c>
      <c r="AE180" s="274">
        <v>3</v>
      </c>
      <c r="AF180" s="274">
        <v>3</v>
      </c>
      <c r="AG180" s="274">
        <v>3</v>
      </c>
      <c r="AH180" s="274">
        <v>3</v>
      </c>
      <c r="AI180" s="274">
        <v>3</v>
      </c>
      <c r="AJ180" s="274">
        <v>3</v>
      </c>
      <c r="AK180" s="274">
        <v>3</v>
      </c>
      <c r="AL180" s="274">
        <v>4</v>
      </c>
      <c r="AM180" s="274">
        <v>4</v>
      </c>
      <c r="AN180" s="274">
        <v>4</v>
      </c>
      <c r="AO180" s="274">
        <v>4</v>
      </c>
      <c r="AP180" s="274">
        <v>4</v>
      </c>
      <c r="AQ180" s="274">
        <v>4</v>
      </c>
      <c r="AR180" s="274">
        <v>4</v>
      </c>
      <c r="AS180" s="274">
        <v>4</v>
      </c>
      <c r="AT180" s="274">
        <v>4</v>
      </c>
      <c r="AU180" s="274">
        <v>4</v>
      </c>
      <c r="AV180" s="274">
        <v>4</v>
      </c>
      <c r="AW180" s="274">
        <v>4</v>
      </c>
      <c r="AX180" s="274">
        <v>4</v>
      </c>
      <c r="AY180" s="274">
        <v>4</v>
      </c>
      <c r="AZ180" s="274">
        <v>4</v>
      </c>
      <c r="BA180" s="274">
        <v>4</v>
      </c>
      <c r="BB180" s="274">
        <v>4</v>
      </c>
      <c r="BC180" s="274">
        <v>4</v>
      </c>
      <c r="BD180" s="274">
        <v>4</v>
      </c>
      <c r="BE180" s="274">
        <v>4</v>
      </c>
      <c r="BF180" s="274">
        <v>5</v>
      </c>
      <c r="BG180" s="274">
        <v>5</v>
      </c>
      <c r="BH180" s="274">
        <v>5</v>
      </c>
      <c r="BI180" s="274">
        <v>5</v>
      </c>
      <c r="BJ180" s="274">
        <v>5</v>
      </c>
      <c r="BK180" s="274">
        <v>5</v>
      </c>
    </row>
    <row r="181" spans="1:63" x14ac:dyDescent="0.25">
      <c r="A181" s="67" t="s">
        <v>1833</v>
      </c>
      <c r="D181" s="45">
        <v>1600</v>
      </c>
      <c r="E181" s="53">
        <v>0.55000000000000004</v>
      </c>
      <c r="F181" s="45">
        <v>3200</v>
      </c>
      <c r="G181" s="53">
        <v>1.1000000000000001</v>
      </c>
      <c r="H181" s="45">
        <v>5200</v>
      </c>
      <c r="I181" s="53">
        <v>1.65</v>
      </c>
      <c r="J181" s="45">
        <v>7200</v>
      </c>
      <c r="K181" s="53">
        <v>2.2000000000000002</v>
      </c>
      <c r="L181" s="45">
        <v>9600</v>
      </c>
      <c r="M181" s="53">
        <v>2.75</v>
      </c>
      <c r="N181" s="45">
        <v>12800</v>
      </c>
      <c r="O181" s="53">
        <v>3.3</v>
      </c>
      <c r="P181" s="45">
        <v>17600</v>
      </c>
      <c r="Q181" s="53">
        <v>3.85</v>
      </c>
      <c r="R181" s="45">
        <v>24000</v>
      </c>
      <c r="S181" s="53">
        <v>4.4000000000000004</v>
      </c>
      <c r="T181" s="45">
        <v>32000</v>
      </c>
      <c r="U181" s="53">
        <v>4.95</v>
      </c>
      <c r="V181" s="45">
        <v>48000</v>
      </c>
      <c r="W181" s="53">
        <v>5.5</v>
      </c>
      <c r="X181" s="274"/>
      <c r="Y181" s="274"/>
      <c r="Z181" s="274"/>
      <c r="AA181" s="274"/>
      <c r="AB181" s="274"/>
      <c r="AC181" s="274"/>
      <c r="AD181" s="274"/>
      <c r="AE181" s="274"/>
      <c r="AF181" s="274"/>
      <c r="AG181" s="274"/>
      <c r="AH181" s="274"/>
      <c r="AI181" s="274"/>
      <c r="AJ181" s="274"/>
      <c r="AK181" s="274"/>
      <c r="AL181" s="274"/>
      <c r="AM181" s="274"/>
      <c r="AN181" s="274"/>
      <c r="AO181" s="274"/>
      <c r="AP181" s="274"/>
      <c r="AQ181" s="274"/>
      <c r="AR181" s="274"/>
      <c r="AS181" s="274"/>
      <c r="AT181" s="274"/>
      <c r="AU181" s="274"/>
      <c r="AV181" s="274"/>
      <c r="AW181" s="274"/>
      <c r="AX181" s="274"/>
      <c r="AY181" s="274"/>
      <c r="AZ181" s="274"/>
      <c r="BA181" s="274"/>
      <c r="BB181" s="274"/>
      <c r="BC181" s="274"/>
      <c r="BD181" s="274"/>
      <c r="BE181" s="274"/>
      <c r="BF181" s="274"/>
      <c r="BG181" s="274"/>
      <c r="BH181" s="274"/>
      <c r="BI181" s="274"/>
      <c r="BJ181" s="274"/>
      <c r="BK181" s="274"/>
    </row>
    <row r="182" spans="1:63" x14ac:dyDescent="0.25">
      <c r="A182" s="67" t="s">
        <v>1063</v>
      </c>
      <c r="B182" s="67">
        <v>45</v>
      </c>
      <c r="C182" s="67" t="s">
        <v>1154</v>
      </c>
      <c r="D182" s="75">
        <v>0.15</v>
      </c>
      <c r="E182" s="75">
        <v>0.16</v>
      </c>
      <c r="F182" s="75">
        <v>0.17</v>
      </c>
      <c r="G182" s="75">
        <v>0.18</v>
      </c>
      <c r="H182" s="75">
        <v>0.18</v>
      </c>
      <c r="I182" s="75">
        <v>0.19</v>
      </c>
      <c r="J182" s="75">
        <v>0.19</v>
      </c>
      <c r="K182" s="75">
        <v>0.2</v>
      </c>
      <c r="L182" s="75">
        <v>0.2</v>
      </c>
      <c r="M182" s="75">
        <v>0.21</v>
      </c>
      <c r="N182" s="75">
        <v>0.21</v>
      </c>
      <c r="O182" s="75">
        <v>0.22</v>
      </c>
      <c r="P182" s="75">
        <v>0.22</v>
      </c>
      <c r="Q182" s="75">
        <v>0.23</v>
      </c>
      <c r="R182" s="75">
        <v>0.23</v>
      </c>
      <c r="S182" s="75">
        <v>0.24</v>
      </c>
      <c r="T182" s="75">
        <v>0.24</v>
      </c>
      <c r="U182" s="75">
        <v>0.25</v>
      </c>
      <c r="V182" s="75">
        <v>0.25</v>
      </c>
      <c r="W182" s="75">
        <v>0.26</v>
      </c>
      <c r="X182" s="75">
        <v>0.26</v>
      </c>
      <c r="Y182" s="75">
        <v>0.27</v>
      </c>
      <c r="Z182" s="75">
        <v>0.27</v>
      </c>
      <c r="AA182" s="75">
        <v>0.28000000000000003</v>
      </c>
      <c r="AB182" s="75">
        <v>0.28000000000000003</v>
      </c>
      <c r="AC182" s="75">
        <v>0.28999999999999998</v>
      </c>
      <c r="AD182" s="75">
        <v>0.28999999999999998</v>
      </c>
      <c r="AE182" s="75">
        <v>0.3</v>
      </c>
      <c r="AF182" s="75">
        <v>0.3</v>
      </c>
      <c r="AG182" s="75">
        <v>0.31</v>
      </c>
      <c r="AH182" s="75">
        <v>0.31</v>
      </c>
      <c r="AI182" s="75">
        <v>0.32</v>
      </c>
      <c r="AJ182" s="75">
        <v>0.32</v>
      </c>
      <c r="AK182" s="75">
        <v>0.33</v>
      </c>
      <c r="AL182" s="75">
        <v>0.33</v>
      </c>
      <c r="AM182" s="75">
        <v>0.34</v>
      </c>
      <c r="AN182" s="75">
        <v>0.34</v>
      </c>
      <c r="AO182" s="75">
        <v>0.35</v>
      </c>
      <c r="AP182" s="75">
        <v>0.35</v>
      </c>
      <c r="AQ182" s="75">
        <v>0.36</v>
      </c>
      <c r="AR182" s="75">
        <v>0.36</v>
      </c>
      <c r="AS182" s="75">
        <v>0.37</v>
      </c>
      <c r="AT182" s="75">
        <v>0.37</v>
      </c>
      <c r="AU182" s="75">
        <v>0.38</v>
      </c>
      <c r="AV182" s="75">
        <v>0.4</v>
      </c>
      <c r="AW182" s="75"/>
      <c r="AX182" s="75"/>
      <c r="AY182" s="75"/>
      <c r="AZ182" s="75"/>
      <c r="BA182" s="75"/>
      <c r="BB182" s="75"/>
      <c r="BC182" s="75"/>
      <c r="BD182" s="75"/>
      <c r="BE182" s="75"/>
      <c r="BF182" s="75"/>
      <c r="BG182" s="75"/>
      <c r="BH182" s="75"/>
      <c r="BI182" s="75"/>
      <c r="BJ182" s="75"/>
      <c r="BK182" s="75"/>
    </row>
    <row r="183" spans="1:63" x14ac:dyDescent="0.25">
      <c r="A183" s="67" t="s">
        <v>1009</v>
      </c>
      <c r="B183" s="67">
        <v>45</v>
      </c>
      <c r="D183" s="274">
        <v>0</v>
      </c>
      <c r="E183" s="274">
        <v>0</v>
      </c>
      <c r="F183" s="274">
        <v>0</v>
      </c>
      <c r="G183" s="274">
        <v>0</v>
      </c>
      <c r="H183" s="274">
        <v>1</v>
      </c>
      <c r="I183" s="274">
        <v>1</v>
      </c>
      <c r="J183" s="274">
        <v>1</v>
      </c>
      <c r="K183" s="274">
        <v>1</v>
      </c>
      <c r="L183" s="274">
        <v>1</v>
      </c>
      <c r="M183" s="274">
        <v>2</v>
      </c>
      <c r="N183" s="274">
        <v>2</v>
      </c>
      <c r="O183" s="274">
        <v>2</v>
      </c>
      <c r="P183" s="274">
        <v>2</v>
      </c>
      <c r="Q183" s="274">
        <v>2</v>
      </c>
      <c r="R183" s="274">
        <v>2</v>
      </c>
      <c r="S183" s="274">
        <v>2</v>
      </c>
      <c r="T183" s="274">
        <v>2</v>
      </c>
      <c r="U183" s="274">
        <v>2</v>
      </c>
      <c r="V183" s="274">
        <v>2</v>
      </c>
      <c r="W183" s="274">
        <v>3</v>
      </c>
      <c r="X183" s="274">
        <v>3</v>
      </c>
      <c r="Y183" s="274">
        <v>3</v>
      </c>
      <c r="Z183" s="274">
        <v>3</v>
      </c>
      <c r="AA183" s="274">
        <v>3</v>
      </c>
      <c r="AB183" s="274">
        <v>3</v>
      </c>
      <c r="AC183" s="274">
        <v>3</v>
      </c>
      <c r="AD183" s="274">
        <v>3</v>
      </c>
      <c r="AE183" s="274">
        <v>3</v>
      </c>
      <c r="AF183" s="274">
        <v>3</v>
      </c>
      <c r="AG183" s="274">
        <v>4</v>
      </c>
      <c r="AH183" s="274">
        <v>4</v>
      </c>
      <c r="AI183" s="274">
        <v>4</v>
      </c>
      <c r="AJ183" s="274">
        <v>4</v>
      </c>
      <c r="AK183" s="274">
        <v>4</v>
      </c>
      <c r="AL183" s="274">
        <v>5</v>
      </c>
      <c r="AM183" s="274">
        <v>5</v>
      </c>
      <c r="AN183" s="274">
        <v>5</v>
      </c>
      <c r="AO183" s="274">
        <v>5</v>
      </c>
      <c r="AP183" s="274">
        <v>5</v>
      </c>
      <c r="AQ183" s="274">
        <v>6</v>
      </c>
      <c r="AR183" s="274">
        <v>6</v>
      </c>
      <c r="AS183" s="274">
        <v>6</v>
      </c>
      <c r="AT183" s="274">
        <v>6</v>
      </c>
      <c r="AU183" s="274">
        <v>6</v>
      </c>
      <c r="AV183" s="274">
        <v>7</v>
      </c>
      <c r="AW183" s="75"/>
      <c r="AX183" s="75"/>
      <c r="AY183" s="75"/>
      <c r="AZ183" s="75"/>
      <c r="BA183" s="75"/>
      <c r="BB183" s="75"/>
      <c r="BC183" s="75"/>
      <c r="BD183" s="75"/>
      <c r="BE183" s="75"/>
      <c r="BF183" s="75"/>
      <c r="BG183" s="75"/>
      <c r="BH183" s="75"/>
      <c r="BI183" s="75"/>
      <c r="BJ183" s="75"/>
      <c r="BK183" s="75"/>
    </row>
    <row r="184" spans="1:63" x14ac:dyDescent="0.25">
      <c r="A184" s="67" t="s">
        <v>1335</v>
      </c>
      <c r="D184" s="45">
        <v>140</v>
      </c>
      <c r="E184" s="53">
        <v>0.3</v>
      </c>
      <c r="F184" s="45">
        <v>280</v>
      </c>
      <c r="G184" s="53">
        <v>0.6</v>
      </c>
      <c r="H184" s="45">
        <v>455</v>
      </c>
      <c r="I184" s="53">
        <v>0.9</v>
      </c>
      <c r="J184" s="45">
        <v>630</v>
      </c>
      <c r="K184" s="53">
        <v>1.2</v>
      </c>
      <c r="L184" s="45">
        <v>840</v>
      </c>
      <c r="M184" s="53">
        <v>1.5</v>
      </c>
      <c r="N184" s="45">
        <v>1120</v>
      </c>
      <c r="O184" s="53">
        <v>1.8</v>
      </c>
      <c r="P184" s="45">
        <v>1540</v>
      </c>
      <c r="Q184" s="53">
        <v>2.1</v>
      </c>
      <c r="R184" s="45">
        <v>2100</v>
      </c>
      <c r="S184" s="53">
        <v>2.4</v>
      </c>
      <c r="T184" s="45">
        <v>2800</v>
      </c>
      <c r="U184" s="53">
        <v>2.7</v>
      </c>
      <c r="V184" s="45">
        <v>4200</v>
      </c>
      <c r="W184" s="53">
        <v>3</v>
      </c>
      <c r="X184" s="274"/>
      <c r="Y184" s="274"/>
      <c r="Z184" s="274"/>
      <c r="AA184" s="274"/>
      <c r="AB184" s="274"/>
      <c r="AC184" s="274"/>
      <c r="AD184" s="274"/>
      <c r="AE184" s="274"/>
      <c r="AF184" s="274"/>
      <c r="AG184" s="274"/>
      <c r="AH184" s="274"/>
      <c r="AI184" s="274"/>
      <c r="AJ184" s="274"/>
      <c r="AK184" s="274"/>
      <c r="AL184" s="274"/>
      <c r="AM184" s="274"/>
      <c r="AN184" s="274"/>
      <c r="AO184" s="274"/>
      <c r="AP184" s="274"/>
      <c r="AQ184" s="274"/>
      <c r="AR184" s="274"/>
      <c r="AS184" s="274"/>
      <c r="AT184" s="274"/>
      <c r="AU184" s="274"/>
      <c r="AV184" s="274"/>
      <c r="AW184" s="75"/>
      <c r="AX184" s="75"/>
      <c r="AY184" s="75"/>
      <c r="AZ184" s="75"/>
      <c r="BA184" s="75"/>
      <c r="BB184" s="75"/>
      <c r="BC184" s="75"/>
      <c r="BD184" s="75"/>
      <c r="BE184" s="75"/>
      <c r="BF184" s="75"/>
      <c r="BG184" s="75"/>
      <c r="BH184" s="75"/>
      <c r="BI184" s="75"/>
      <c r="BJ184" s="75"/>
      <c r="BK184" s="75"/>
    </row>
    <row r="185" spans="1:63" x14ac:dyDescent="0.25">
      <c r="A185" s="67" t="s">
        <v>1064</v>
      </c>
      <c r="B185" s="67">
        <v>45</v>
      </c>
      <c r="C185" s="67" t="s">
        <v>1114</v>
      </c>
      <c r="D185" s="75">
        <v>0.1</v>
      </c>
      <c r="E185" s="75">
        <v>0.11</v>
      </c>
      <c r="F185" s="75">
        <v>0.12</v>
      </c>
      <c r="G185" s="75">
        <v>0.13</v>
      </c>
      <c r="H185" s="75">
        <v>0.14000000000000001</v>
      </c>
      <c r="I185" s="75">
        <v>0.15</v>
      </c>
      <c r="J185" s="75">
        <v>0.16</v>
      </c>
      <c r="K185" s="75">
        <v>0.17</v>
      </c>
      <c r="L185" s="75">
        <v>0.18</v>
      </c>
      <c r="M185" s="75">
        <v>0.19</v>
      </c>
      <c r="N185" s="75">
        <v>0.2</v>
      </c>
      <c r="O185" s="75">
        <v>0.21</v>
      </c>
      <c r="P185" s="75">
        <v>0.22</v>
      </c>
      <c r="Q185" s="75">
        <v>0.23</v>
      </c>
      <c r="R185" s="75">
        <v>0.24</v>
      </c>
      <c r="S185" s="75">
        <v>0.25</v>
      </c>
      <c r="T185" s="75">
        <v>0.26</v>
      </c>
      <c r="U185" s="75">
        <v>0.27</v>
      </c>
      <c r="V185" s="75">
        <v>0.28000000000000003</v>
      </c>
      <c r="W185" s="75">
        <v>0.28999999999999998</v>
      </c>
      <c r="X185" s="75">
        <v>0.3</v>
      </c>
      <c r="Y185" s="75">
        <v>0.31</v>
      </c>
      <c r="Z185" s="75">
        <v>0.32</v>
      </c>
      <c r="AA185" s="75">
        <v>0.33</v>
      </c>
      <c r="AB185" s="75">
        <v>0.34</v>
      </c>
      <c r="AC185" s="75">
        <v>0.35</v>
      </c>
      <c r="AD185" s="75">
        <v>0.36</v>
      </c>
      <c r="AE185" s="75">
        <v>0.37</v>
      </c>
      <c r="AF185" s="75">
        <v>0.38</v>
      </c>
      <c r="AG185" s="75">
        <v>0.4</v>
      </c>
      <c r="AH185" s="75">
        <v>0.41</v>
      </c>
      <c r="AI185" s="75">
        <v>0.42</v>
      </c>
      <c r="AJ185" s="75">
        <v>0.43</v>
      </c>
      <c r="AK185" s="75">
        <v>0.44</v>
      </c>
      <c r="AL185" s="75">
        <v>0.45</v>
      </c>
      <c r="AM185" s="75">
        <v>0.46</v>
      </c>
      <c r="AN185" s="75">
        <v>0.48</v>
      </c>
      <c r="AO185" s="75">
        <v>0.49</v>
      </c>
      <c r="AP185" s="75">
        <v>0.5</v>
      </c>
      <c r="AQ185" s="75">
        <v>0.51</v>
      </c>
      <c r="AR185" s="75">
        <v>0.52</v>
      </c>
      <c r="AS185" s="75">
        <v>0.53</v>
      </c>
      <c r="AT185" s="75">
        <v>0.54</v>
      </c>
      <c r="AU185" s="75">
        <v>0.56999999999999995</v>
      </c>
      <c r="AV185" s="75">
        <v>0.6</v>
      </c>
      <c r="AW185" s="75"/>
      <c r="AX185" s="75"/>
      <c r="AY185" s="75"/>
      <c r="AZ185" s="75"/>
      <c r="BA185" s="75"/>
      <c r="BB185" s="75"/>
      <c r="BC185" s="75"/>
      <c r="BD185" s="75"/>
      <c r="BE185" s="75"/>
      <c r="BF185" s="75"/>
      <c r="BG185" s="75"/>
      <c r="BH185" s="75"/>
      <c r="BI185" s="75"/>
      <c r="BJ185" s="75"/>
      <c r="BK185" s="75"/>
    </row>
    <row r="186" spans="1:63" x14ac:dyDescent="0.25">
      <c r="A186" s="67" t="s">
        <v>1010</v>
      </c>
      <c r="B186" s="67">
        <v>45</v>
      </c>
      <c r="D186" s="274">
        <v>0</v>
      </c>
      <c r="E186" s="274">
        <v>0</v>
      </c>
      <c r="F186" s="274">
        <v>0</v>
      </c>
      <c r="G186" s="274">
        <v>0</v>
      </c>
      <c r="H186" s="274">
        <v>1</v>
      </c>
      <c r="I186" s="274">
        <v>1</v>
      </c>
      <c r="J186" s="274">
        <v>1</v>
      </c>
      <c r="K186" s="274">
        <v>1</v>
      </c>
      <c r="L186" s="274">
        <v>1</v>
      </c>
      <c r="M186" s="274">
        <v>2</v>
      </c>
      <c r="N186" s="274">
        <v>2</v>
      </c>
      <c r="O186" s="274">
        <v>2</v>
      </c>
      <c r="P186" s="274">
        <v>2</v>
      </c>
      <c r="Q186" s="274">
        <v>2</v>
      </c>
      <c r="R186" s="274">
        <v>2</v>
      </c>
      <c r="S186" s="274">
        <v>2</v>
      </c>
      <c r="T186" s="274">
        <v>2</v>
      </c>
      <c r="U186" s="274">
        <v>2</v>
      </c>
      <c r="V186" s="274">
        <v>2</v>
      </c>
      <c r="W186" s="274">
        <v>3</v>
      </c>
      <c r="X186" s="274">
        <v>3</v>
      </c>
      <c r="Y186" s="274">
        <v>3</v>
      </c>
      <c r="Z186" s="274">
        <v>3</v>
      </c>
      <c r="AA186" s="274">
        <v>3</v>
      </c>
      <c r="AB186" s="274">
        <v>3</v>
      </c>
      <c r="AC186" s="274">
        <v>3</v>
      </c>
      <c r="AD186" s="274">
        <v>3</v>
      </c>
      <c r="AE186" s="274">
        <v>3</v>
      </c>
      <c r="AF186" s="274">
        <v>3</v>
      </c>
      <c r="AG186" s="274">
        <v>4</v>
      </c>
      <c r="AH186" s="274">
        <v>4</v>
      </c>
      <c r="AI186" s="274">
        <v>4</v>
      </c>
      <c r="AJ186" s="274">
        <v>4</v>
      </c>
      <c r="AK186" s="274">
        <v>4</v>
      </c>
      <c r="AL186" s="274">
        <v>4</v>
      </c>
      <c r="AM186" s="274">
        <v>4</v>
      </c>
      <c r="AN186" s="274">
        <v>4</v>
      </c>
      <c r="AO186" s="274">
        <v>4</v>
      </c>
      <c r="AP186" s="274">
        <v>4</v>
      </c>
      <c r="AQ186" s="274">
        <v>4</v>
      </c>
      <c r="AR186" s="274">
        <v>4</v>
      </c>
      <c r="AS186" s="274">
        <v>4</v>
      </c>
      <c r="AT186" s="274">
        <v>4</v>
      </c>
      <c r="AU186" s="274">
        <v>4</v>
      </c>
      <c r="AV186" s="274">
        <v>5</v>
      </c>
      <c r="AW186" s="75"/>
      <c r="AX186" s="75"/>
      <c r="AY186" s="75"/>
      <c r="AZ186" s="75"/>
      <c r="BA186" s="75"/>
      <c r="BB186" s="75"/>
      <c r="BC186" s="75"/>
      <c r="BD186" s="75"/>
      <c r="BE186" s="75"/>
      <c r="BF186" s="75"/>
      <c r="BG186" s="75"/>
      <c r="BH186" s="75"/>
      <c r="BI186" s="75"/>
      <c r="BJ186" s="75"/>
      <c r="BK186" s="75"/>
    </row>
    <row r="187" spans="1:63" x14ac:dyDescent="0.25">
      <c r="A187" s="67" t="s">
        <v>1336</v>
      </c>
      <c r="D187" s="45">
        <v>100</v>
      </c>
      <c r="E187" s="53">
        <v>0.3</v>
      </c>
      <c r="F187" s="45">
        <v>200</v>
      </c>
      <c r="G187" s="53">
        <v>0.6</v>
      </c>
      <c r="H187" s="45">
        <v>325</v>
      </c>
      <c r="I187" s="53">
        <v>0.9</v>
      </c>
      <c r="J187" s="45">
        <v>450</v>
      </c>
      <c r="K187" s="53">
        <v>1.2</v>
      </c>
      <c r="L187" s="45">
        <v>600</v>
      </c>
      <c r="M187" s="53">
        <v>1.5</v>
      </c>
      <c r="N187" s="45">
        <v>800</v>
      </c>
      <c r="O187" s="53">
        <v>1.8</v>
      </c>
      <c r="P187" s="45">
        <v>1100</v>
      </c>
      <c r="Q187" s="53">
        <v>2.1</v>
      </c>
      <c r="R187" s="45">
        <v>1500</v>
      </c>
      <c r="S187" s="53">
        <v>2.4</v>
      </c>
      <c r="T187" s="45">
        <v>2000</v>
      </c>
      <c r="U187" s="53">
        <v>2.7</v>
      </c>
      <c r="V187" s="45">
        <v>3000</v>
      </c>
      <c r="W187" s="53">
        <v>3</v>
      </c>
      <c r="X187" s="274"/>
      <c r="Y187" s="274"/>
      <c r="Z187" s="274"/>
      <c r="AA187" s="274"/>
      <c r="AB187" s="274"/>
      <c r="AC187" s="274"/>
      <c r="AD187" s="274"/>
      <c r="AE187" s="274"/>
      <c r="AF187" s="274"/>
      <c r="AG187" s="274"/>
      <c r="AH187" s="274"/>
      <c r="AI187" s="274"/>
      <c r="AJ187" s="274"/>
      <c r="AK187" s="274"/>
      <c r="AL187" s="274"/>
      <c r="AM187" s="274"/>
      <c r="AN187" s="274"/>
      <c r="AO187" s="274"/>
      <c r="AP187" s="274"/>
      <c r="AQ187" s="274"/>
      <c r="AR187" s="274"/>
      <c r="AS187" s="274"/>
      <c r="AT187" s="274"/>
      <c r="AU187" s="274"/>
      <c r="AV187" s="274"/>
      <c r="AW187" s="75"/>
      <c r="AX187" s="75"/>
      <c r="AY187" s="75"/>
      <c r="AZ187" s="75"/>
      <c r="BA187" s="75"/>
      <c r="BB187" s="75"/>
      <c r="BC187" s="75"/>
      <c r="BD187" s="75"/>
      <c r="BE187" s="75"/>
      <c r="BF187" s="75"/>
      <c r="BG187" s="75"/>
      <c r="BH187" s="75"/>
      <c r="BI187" s="75"/>
      <c r="BJ187" s="75"/>
      <c r="BK187" s="75"/>
    </row>
    <row r="188" spans="1:63" x14ac:dyDescent="0.25">
      <c r="A188" s="67" t="s">
        <v>1065</v>
      </c>
      <c r="B188" s="67">
        <v>60</v>
      </c>
      <c r="C188" s="67" t="s">
        <v>1262</v>
      </c>
      <c r="D188" s="75">
        <v>0.3</v>
      </c>
      <c r="E188" s="75">
        <v>0.7</v>
      </c>
      <c r="F188" s="75">
        <v>0.72</v>
      </c>
      <c r="G188" s="75">
        <v>0.72</v>
      </c>
      <c r="H188" s="75">
        <v>0.74</v>
      </c>
      <c r="I188" s="75">
        <v>0.74</v>
      </c>
      <c r="J188" s="75">
        <v>0.76</v>
      </c>
      <c r="K188" s="75">
        <v>0.76</v>
      </c>
      <c r="L188" s="75">
        <v>0.78</v>
      </c>
      <c r="M188" s="75">
        <v>0.8</v>
      </c>
      <c r="N188" s="75">
        <v>0.8</v>
      </c>
      <c r="O188" s="75">
        <v>0.82</v>
      </c>
      <c r="P188" s="75">
        <v>0.82</v>
      </c>
      <c r="Q188" s="75">
        <v>0.84</v>
      </c>
      <c r="R188" s="75">
        <v>0.86</v>
      </c>
      <c r="S188" s="75">
        <v>0.86</v>
      </c>
      <c r="T188" s="75">
        <v>0.88</v>
      </c>
      <c r="U188" s="75">
        <v>0.9</v>
      </c>
      <c r="V188" s="75">
        <v>0.92</v>
      </c>
      <c r="W188" s="75">
        <v>0.94</v>
      </c>
      <c r="X188" s="75">
        <v>0.94</v>
      </c>
      <c r="Y188" s="75">
        <v>0.96</v>
      </c>
      <c r="Z188" s="75">
        <v>0.96</v>
      </c>
      <c r="AA188" s="75">
        <v>0.98</v>
      </c>
      <c r="AB188" s="75">
        <v>1</v>
      </c>
      <c r="AC188" s="75">
        <v>1</v>
      </c>
      <c r="AD188" s="75">
        <v>1.02</v>
      </c>
      <c r="AE188" s="75">
        <v>1.04</v>
      </c>
      <c r="AF188" s="75">
        <v>1.06</v>
      </c>
      <c r="AG188" s="75">
        <v>1.08</v>
      </c>
      <c r="AH188" s="75">
        <v>1.08</v>
      </c>
      <c r="AI188" s="75">
        <v>1.1000000000000001</v>
      </c>
      <c r="AJ188" s="75">
        <v>1.1000000000000001</v>
      </c>
      <c r="AK188" s="75">
        <v>1.1200000000000001</v>
      </c>
      <c r="AL188" s="75">
        <v>1.1399999999999999</v>
      </c>
      <c r="AM188" s="75">
        <v>1.1399999999999999</v>
      </c>
      <c r="AN188" s="75">
        <v>1.1599999999999999</v>
      </c>
      <c r="AO188" s="75">
        <v>1.18</v>
      </c>
      <c r="AP188" s="75">
        <v>1.2</v>
      </c>
      <c r="AQ188" s="75">
        <v>1.22</v>
      </c>
      <c r="AR188" s="75">
        <v>1.22</v>
      </c>
      <c r="AS188" s="75">
        <v>1.24</v>
      </c>
      <c r="AT188" s="75">
        <v>1.24</v>
      </c>
      <c r="AU188" s="75">
        <v>1.26</v>
      </c>
      <c r="AV188" s="75">
        <v>1.28</v>
      </c>
      <c r="AW188" s="75">
        <v>1.28</v>
      </c>
      <c r="AX188" s="75">
        <v>1.3</v>
      </c>
      <c r="AY188" s="75">
        <v>1.32</v>
      </c>
      <c r="AZ188" s="75">
        <v>1.34</v>
      </c>
      <c r="BA188" s="75">
        <v>1.36</v>
      </c>
      <c r="BB188" s="75">
        <v>1.36</v>
      </c>
      <c r="BC188" s="75">
        <v>1.38</v>
      </c>
      <c r="BD188" s="75">
        <v>1.38</v>
      </c>
      <c r="BE188" s="75">
        <v>1.4</v>
      </c>
      <c r="BF188" s="75">
        <v>1.42</v>
      </c>
      <c r="BG188" s="75">
        <v>1.42</v>
      </c>
      <c r="BH188" s="75">
        <v>1.44</v>
      </c>
      <c r="BI188" s="75">
        <v>1.46</v>
      </c>
      <c r="BJ188" s="75">
        <v>1.48</v>
      </c>
      <c r="BK188" s="75">
        <v>1.5</v>
      </c>
    </row>
    <row r="189" spans="1:63" x14ac:dyDescent="0.25">
      <c r="A189" s="67" t="s">
        <v>1011</v>
      </c>
      <c r="B189" s="67">
        <v>60</v>
      </c>
      <c r="D189" s="274">
        <v>0</v>
      </c>
      <c r="E189" s="274">
        <v>0</v>
      </c>
      <c r="F189" s="274">
        <v>0</v>
      </c>
      <c r="G189" s="274">
        <v>0</v>
      </c>
      <c r="H189" s="274">
        <v>1</v>
      </c>
      <c r="I189" s="274">
        <v>1</v>
      </c>
      <c r="J189" s="274">
        <v>1</v>
      </c>
      <c r="K189" s="274">
        <v>1</v>
      </c>
      <c r="L189" s="274">
        <v>1</v>
      </c>
      <c r="M189" s="274">
        <v>2</v>
      </c>
      <c r="N189" s="274">
        <v>2</v>
      </c>
      <c r="O189" s="274">
        <v>2</v>
      </c>
      <c r="P189" s="274">
        <v>2</v>
      </c>
      <c r="Q189" s="274">
        <v>2</v>
      </c>
      <c r="R189" s="274">
        <v>2</v>
      </c>
      <c r="S189" s="274">
        <v>2</v>
      </c>
      <c r="T189" s="274">
        <v>2</v>
      </c>
      <c r="U189" s="274">
        <v>2</v>
      </c>
      <c r="V189" s="274">
        <v>2</v>
      </c>
      <c r="W189" s="274">
        <v>3</v>
      </c>
      <c r="X189" s="274">
        <v>3</v>
      </c>
      <c r="Y189" s="274">
        <v>3</v>
      </c>
      <c r="Z189" s="274">
        <v>3</v>
      </c>
      <c r="AA189" s="274">
        <v>3</v>
      </c>
      <c r="AB189" s="274">
        <v>3</v>
      </c>
      <c r="AC189" s="274">
        <v>3</v>
      </c>
      <c r="AD189" s="274">
        <v>3</v>
      </c>
      <c r="AE189" s="274">
        <v>3</v>
      </c>
      <c r="AF189" s="274">
        <v>3</v>
      </c>
      <c r="AG189" s="274">
        <v>3</v>
      </c>
      <c r="AH189" s="274">
        <v>3</v>
      </c>
      <c r="AI189" s="274">
        <v>3</v>
      </c>
      <c r="AJ189" s="274">
        <v>3</v>
      </c>
      <c r="AK189" s="274">
        <v>3</v>
      </c>
      <c r="AL189" s="274">
        <v>4</v>
      </c>
      <c r="AM189" s="274">
        <v>4</v>
      </c>
      <c r="AN189" s="274">
        <v>4</v>
      </c>
      <c r="AO189" s="274">
        <v>4</v>
      </c>
      <c r="AP189" s="274">
        <v>4</v>
      </c>
      <c r="AQ189" s="274">
        <v>4</v>
      </c>
      <c r="AR189" s="274">
        <v>4</v>
      </c>
      <c r="AS189" s="274">
        <v>4</v>
      </c>
      <c r="AT189" s="274">
        <v>4</v>
      </c>
      <c r="AU189" s="274">
        <v>4</v>
      </c>
      <c r="AV189" s="274">
        <v>4</v>
      </c>
      <c r="AW189" s="274">
        <v>4</v>
      </c>
      <c r="AX189" s="274">
        <v>4</v>
      </c>
      <c r="AY189" s="274">
        <v>4</v>
      </c>
      <c r="AZ189" s="274">
        <v>4</v>
      </c>
      <c r="BA189" s="274">
        <v>4</v>
      </c>
      <c r="BB189" s="274">
        <v>4</v>
      </c>
      <c r="BC189" s="274">
        <v>4</v>
      </c>
      <c r="BD189" s="274">
        <v>4</v>
      </c>
      <c r="BE189" s="274">
        <v>4</v>
      </c>
      <c r="BF189" s="274">
        <v>5</v>
      </c>
      <c r="BG189" s="274">
        <v>5</v>
      </c>
      <c r="BH189" s="274">
        <v>5</v>
      </c>
      <c r="BI189" s="274">
        <v>5</v>
      </c>
      <c r="BJ189" s="274">
        <v>5</v>
      </c>
      <c r="BK189" s="274">
        <v>5</v>
      </c>
    </row>
    <row r="190" spans="1:63" x14ac:dyDescent="0.25">
      <c r="A190" s="67" t="s">
        <v>1337</v>
      </c>
      <c r="D190" s="45">
        <v>700</v>
      </c>
      <c r="E190" s="53">
        <v>0.4</v>
      </c>
      <c r="F190" s="45">
        <v>1400</v>
      </c>
      <c r="G190" s="53">
        <v>0.8</v>
      </c>
      <c r="H190" s="45">
        <v>2275</v>
      </c>
      <c r="I190" s="53">
        <v>1.2</v>
      </c>
      <c r="J190" s="45">
        <v>3150</v>
      </c>
      <c r="K190" s="53">
        <v>1.6</v>
      </c>
      <c r="L190" s="45">
        <v>4200</v>
      </c>
      <c r="M190" s="53">
        <v>2</v>
      </c>
      <c r="N190" s="45">
        <v>5600</v>
      </c>
      <c r="O190" s="53">
        <v>2.4</v>
      </c>
      <c r="P190" s="45">
        <v>7700</v>
      </c>
      <c r="Q190" s="53">
        <v>2.8</v>
      </c>
      <c r="R190" s="45">
        <v>10500</v>
      </c>
      <c r="S190" s="53">
        <v>3.2</v>
      </c>
      <c r="T190" s="45">
        <v>14000</v>
      </c>
      <c r="U190" s="53">
        <v>3.6</v>
      </c>
      <c r="V190" s="45">
        <v>21000</v>
      </c>
      <c r="W190" s="53">
        <v>4</v>
      </c>
      <c r="X190" s="274"/>
      <c r="Y190" s="274"/>
      <c r="Z190" s="274"/>
      <c r="AA190" s="274"/>
      <c r="AB190" s="274"/>
      <c r="AC190" s="274"/>
      <c r="AD190" s="274"/>
      <c r="AE190" s="274"/>
      <c r="AF190" s="274"/>
      <c r="AG190" s="274"/>
      <c r="AH190" s="274"/>
      <c r="AI190" s="274"/>
      <c r="AJ190" s="274"/>
      <c r="AK190" s="274"/>
      <c r="AL190" s="274"/>
      <c r="AM190" s="274"/>
      <c r="AN190" s="274"/>
      <c r="AO190" s="274"/>
      <c r="AP190" s="274"/>
      <c r="AQ190" s="274"/>
      <c r="AR190" s="274"/>
      <c r="AS190" s="274"/>
      <c r="AT190" s="274"/>
      <c r="AU190" s="274"/>
      <c r="AV190" s="274"/>
      <c r="AW190" s="274"/>
      <c r="AX190" s="274"/>
      <c r="AY190" s="274"/>
      <c r="AZ190" s="274"/>
      <c r="BA190" s="274"/>
      <c r="BB190" s="274"/>
      <c r="BC190" s="274"/>
      <c r="BD190" s="274"/>
      <c r="BE190" s="274"/>
      <c r="BF190" s="274"/>
      <c r="BG190" s="274"/>
      <c r="BH190" s="274"/>
      <c r="BI190" s="274"/>
      <c r="BJ190" s="274"/>
      <c r="BK190" s="274"/>
    </row>
    <row r="191" spans="1:63" x14ac:dyDescent="0.25">
      <c r="A191" s="67" t="s">
        <v>1066</v>
      </c>
      <c r="B191" s="67">
        <v>45</v>
      </c>
      <c r="C191" s="67" t="s">
        <v>1193</v>
      </c>
      <c r="D191" s="75">
        <v>0.7</v>
      </c>
      <c r="E191" s="284">
        <v>0.73899999999999999</v>
      </c>
      <c r="F191" s="284">
        <v>0.77800000000000002</v>
      </c>
      <c r="G191" s="284">
        <v>0.81699999999999995</v>
      </c>
      <c r="H191" s="284">
        <v>0.85599999999999998</v>
      </c>
      <c r="I191" s="284">
        <v>0.89500000000000002</v>
      </c>
      <c r="J191" s="284">
        <v>0.93400000000000005</v>
      </c>
      <c r="K191" s="284">
        <v>0.97299999999999998</v>
      </c>
      <c r="L191" s="284">
        <v>1.012</v>
      </c>
      <c r="M191" s="284">
        <v>1.0509999999999999</v>
      </c>
      <c r="N191" s="75">
        <v>1.0900000000000001</v>
      </c>
      <c r="O191" s="284">
        <v>1.129</v>
      </c>
      <c r="P191" s="284">
        <v>1.1679999999999999</v>
      </c>
      <c r="Q191" s="284">
        <v>1.2070000000000001</v>
      </c>
      <c r="R191" s="284">
        <v>1.246</v>
      </c>
      <c r="S191" s="284">
        <v>1.2849999999999999</v>
      </c>
      <c r="T191" s="284">
        <v>1.3240000000000001</v>
      </c>
      <c r="U191" s="284">
        <v>1.363</v>
      </c>
      <c r="V191" s="284">
        <v>1.4019999999999999</v>
      </c>
      <c r="W191" s="284">
        <v>1.4410000000000001</v>
      </c>
      <c r="X191" s="75">
        <v>1.48</v>
      </c>
      <c r="Y191" s="284">
        <v>1.5189999999999999</v>
      </c>
      <c r="Z191" s="284">
        <v>1.5580000000000001</v>
      </c>
      <c r="AA191" s="284">
        <v>1.597</v>
      </c>
      <c r="AB191" s="284">
        <v>1.6359999999999999</v>
      </c>
      <c r="AC191" s="284">
        <v>1.675</v>
      </c>
      <c r="AD191" s="284">
        <v>1.714</v>
      </c>
      <c r="AE191" s="284">
        <v>1.7529999999999999</v>
      </c>
      <c r="AF191" s="284">
        <v>1.792</v>
      </c>
      <c r="AG191" s="284">
        <v>1.831</v>
      </c>
      <c r="AH191" s="75">
        <v>1.87</v>
      </c>
      <c r="AI191" s="284">
        <v>1.909</v>
      </c>
      <c r="AJ191" s="284">
        <v>1.948</v>
      </c>
      <c r="AK191" s="284">
        <v>1.986</v>
      </c>
      <c r="AL191" s="284">
        <v>2.0249999999999999</v>
      </c>
      <c r="AM191" s="284">
        <v>2.0640000000000001</v>
      </c>
      <c r="AN191" s="284">
        <v>2.1030000000000002</v>
      </c>
      <c r="AO191" s="284">
        <v>2.1419999999999999</v>
      </c>
      <c r="AP191" s="284">
        <v>2.181</v>
      </c>
      <c r="AQ191" s="75">
        <v>2.2200000000000002</v>
      </c>
      <c r="AR191" s="284">
        <v>2.2589999999999999</v>
      </c>
      <c r="AS191" s="284">
        <v>2.298</v>
      </c>
      <c r="AT191" s="284">
        <v>2.3370000000000002</v>
      </c>
      <c r="AU191" s="284">
        <v>2.3759999999999999</v>
      </c>
      <c r="AV191" s="75">
        <v>2.5</v>
      </c>
      <c r="AW191" s="75"/>
      <c r="AX191" s="75"/>
      <c r="AY191" s="75"/>
      <c r="AZ191" s="75"/>
      <c r="BA191" s="75"/>
      <c r="BB191" s="75"/>
      <c r="BC191" s="75"/>
      <c r="BD191" s="75"/>
      <c r="BE191" s="75"/>
      <c r="BF191" s="75"/>
      <c r="BG191" s="75"/>
      <c r="BH191" s="75"/>
      <c r="BI191" s="75"/>
      <c r="BJ191" s="75"/>
      <c r="BK191" s="75"/>
    </row>
    <row r="192" spans="1:63" x14ac:dyDescent="0.25">
      <c r="A192" s="67" t="s">
        <v>1012</v>
      </c>
      <c r="B192" s="67">
        <v>45</v>
      </c>
      <c r="D192" s="274">
        <v>0</v>
      </c>
      <c r="E192" s="274">
        <v>0</v>
      </c>
      <c r="F192" s="274">
        <v>0</v>
      </c>
      <c r="G192" s="274">
        <v>0</v>
      </c>
      <c r="H192" s="274">
        <v>1</v>
      </c>
      <c r="I192" s="274">
        <v>1</v>
      </c>
      <c r="J192" s="274">
        <v>1</v>
      </c>
      <c r="K192" s="274">
        <v>1</v>
      </c>
      <c r="L192" s="274">
        <v>1</v>
      </c>
      <c r="M192" s="274">
        <v>2</v>
      </c>
      <c r="N192" s="274">
        <v>2</v>
      </c>
      <c r="O192" s="274">
        <v>2</v>
      </c>
      <c r="P192" s="274">
        <v>2</v>
      </c>
      <c r="Q192" s="274">
        <v>2</v>
      </c>
      <c r="R192" s="274">
        <v>2</v>
      </c>
      <c r="S192" s="274">
        <v>2</v>
      </c>
      <c r="T192" s="274">
        <v>2</v>
      </c>
      <c r="U192" s="274">
        <v>2</v>
      </c>
      <c r="V192" s="274">
        <v>2</v>
      </c>
      <c r="W192" s="274">
        <v>3</v>
      </c>
      <c r="X192" s="274">
        <v>3</v>
      </c>
      <c r="Y192" s="274">
        <v>3</v>
      </c>
      <c r="Z192" s="274">
        <v>3</v>
      </c>
      <c r="AA192" s="274">
        <v>3</v>
      </c>
      <c r="AB192" s="274">
        <v>3</v>
      </c>
      <c r="AC192" s="274">
        <v>3</v>
      </c>
      <c r="AD192" s="274">
        <v>3</v>
      </c>
      <c r="AE192" s="274">
        <v>3</v>
      </c>
      <c r="AF192" s="274">
        <v>3</v>
      </c>
      <c r="AG192" s="274">
        <v>4</v>
      </c>
      <c r="AH192" s="274">
        <v>4</v>
      </c>
      <c r="AI192" s="274">
        <v>4</v>
      </c>
      <c r="AJ192" s="274">
        <v>4</v>
      </c>
      <c r="AK192" s="274">
        <v>4</v>
      </c>
      <c r="AL192" s="274">
        <v>5</v>
      </c>
      <c r="AM192" s="274">
        <v>5</v>
      </c>
      <c r="AN192" s="274">
        <v>5</v>
      </c>
      <c r="AO192" s="274">
        <v>5</v>
      </c>
      <c r="AP192" s="274">
        <v>5</v>
      </c>
      <c r="AQ192" s="274">
        <v>6</v>
      </c>
      <c r="AR192" s="274">
        <v>6</v>
      </c>
      <c r="AS192" s="274">
        <v>6</v>
      </c>
      <c r="AT192" s="274">
        <v>6</v>
      </c>
      <c r="AU192" s="274">
        <v>6</v>
      </c>
      <c r="AV192" s="274">
        <v>7</v>
      </c>
      <c r="AW192" s="75"/>
      <c r="AX192" s="75"/>
      <c r="AY192" s="75"/>
      <c r="AZ192" s="75"/>
      <c r="BA192" s="75"/>
      <c r="BB192" s="75"/>
      <c r="BC192" s="75"/>
      <c r="BD192" s="75"/>
      <c r="BE192" s="75"/>
      <c r="BF192" s="75"/>
      <c r="BG192" s="75"/>
      <c r="BH192" s="75"/>
      <c r="BI192" s="75"/>
      <c r="BJ192" s="75"/>
      <c r="BK192" s="75"/>
    </row>
    <row r="193" spans="1:63" x14ac:dyDescent="0.25">
      <c r="A193" s="67" t="s">
        <v>1338</v>
      </c>
      <c r="D193" s="45">
        <v>200</v>
      </c>
      <c r="E193" s="53">
        <v>0.3</v>
      </c>
      <c r="F193" s="45">
        <v>400</v>
      </c>
      <c r="G193" s="53">
        <v>0.6</v>
      </c>
      <c r="H193" s="45">
        <v>650</v>
      </c>
      <c r="I193" s="53">
        <v>0.9</v>
      </c>
      <c r="J193" s="45">
        <v>900</v>
      </c>
      <c r="K193" s="53">
        <v>1.2</v>
      </c>
      <c r="L193" s="45">
        <v>1200</v>
      </c>
      <c r="M193" s="53">
        <v>1.5</v>
      </c>
      <c r="N193" s="45">
        <v>1600</v>
      </c>
      <c r="O193" s="53">
        <v>1.8</v>
      </c>
      <c r="P193" s="45">
        <v>2200</v>
      </c>
      <c r="Q193" s="53">
        <v>2.1</v>
      </c>
      <c r="R193" s="45">
        <v>3000</v>
      </c>
      <c r="S193" s="53">
        <v>2.4</v>
      </c>
      <c r="T193" s="45">
        <v>4000</v>
      </c>
      <c r="U193" s="53">
        <v>2.7</v>
      </c>
      <c r="V193" s="45">
        <v>6000</v>
      </c>
      <c r="W193" s="53">
        <v>3</v>
      </c>
      <c r="X193" s="274"/>
      <c r="Y193" s="274"/>
      <c r="Z193" s="274"/>
      <c r="AA193" s="274"/>
      <c r="AB193" s="274"/>
      <c r="AC193" s="274"/>
      <c r="AD193" s="274"/>
      <c r="AE193" s="274"/>
      <c r="AF193" s="274"/>
      <c r="AG193" s="274"/>
      <c r="AH193" s="274"/>
      <c r="AI193" s="274"/>
      <c r="AJ193" s="274"/>
      <c r="AK193" s="274"/>
      <c r="AL193" s="274"/>
      <c r="AM193" s="274"/>
      <c r="AN193" s="274"/>
      <c r="AO193" s="274"/>
      <c r="AP193" s="274"/>
      <c r="AQ193" s="274"/>
      <c r="AR193" s="274"/>
      <c r="AS193" s="274"/>
      <c r="AT193" s="274"/>
      <c r="AU193" s="274"/>
      <c r="AV193" s="274"/>
      <c r="AW193" s="75"/>
      <c r="AX193" s="75"/>
      <c r="AY193" s="75"/>
      <c r="AZ193" s="75"/>
      <c r="BA193" s="75"/>
      <c r="BB193" s="75"/>
      <c r="BC193" s="75"/>
      <c r="BD193" s="75"/>
      <c r="BE193" s="75"/>
      <c r="BF193" s="75"/>
      <c r="BG193" s="75"/>
      <c r="BH193" s="75"/>
      <c r="BI193" s="75"/>
      <c r="BJ193" s="75"/>
      <c r="BK193" s="75"/>
    </row>
    <row r="194" spans="1:63" x14ac:dyDescent="0.25">
      <c r="A194" s="67" t="s">
        <v>1067</v>
      </c>
      <c r="B194" s="67">
        <v>45</v>
      </c>
      <c r="C194" s="67" t="s">
        <v>1195</v>
      </c>
      <c r="D194" s="75">
        <v>240</v>
      </c>
      <c r="E194" s="75">
        <v>242.5</v>
      </c>
      <c r="F194" s="75">
        <v>245</v>
      </c>
      <c r="G194" s="75">
        <v>247.5</v>
      </c>
      <c r="H194" s="75">
        <v>250</v>
      </c>
      <c r="I194" s="75">
        <v>252.5</v>
      </c>
      <c r="J194" s="75">
        <v>255</v>
      </c>
      <c r="K194" s="75">
        <v>257.5</v>
      </c>
      <c r="L194" s="75">
        <v>260</v>
      </c>
      <c r="M194" s="75">
        <v>262.5</v>
      </c>
      <c r="N194" s="75">
        <v>265</v>
      </c>
      <c r="O194" s="75">
        <v>267.5</v>
      </c>
      <c r="P194" s="75">
        <v>270</v>
      </c>
      <c r="Q194" s="75">
        <v>272.5</v>
      </c>
      <c r="R194" s="75">
        <v>275</v>
      </c>
      <c r="S194" s="75">
        <v>277.5</v>
      </c>
      <c r="T194" s="75">
        <v>280</v>
      </c>
      <c r="U194" s="75">
        <v>282.5</v>
      </c>
      <c r="V194" s="75">
        <v>285</v>
      </c>
      <c r="W194" s="75">
        <v>287.5</v>
      </c>
      <c r="X194" s="75">
        <v>290</v>
      </c>
      <c r="Y194" s="75">
        <v>292.5</v>
      </c>
      <c r="Z194" s="75">
        <v>295</v>
      </c>
      <c r="AA194" s="75">
        <v>297.5</v>
      </c>
      <c r="AB194" s="75">
        <v>300</v>
      </c>
      <c r="AC194" s="75">
        <v>302.5</v>
      </c>
      <c r="AD194" s="75">
        <v>305</v>
      </c>
      <c r="AE194" s="75">
        <v>307.5</v>
      </c>
      <c r="AF194" s="75">
        <v>310</v>
      </c>
      <c r="AG194" s="75">
        <v>312.5</v>
      </c>
      <c r="AH194" s="75">
        <v>315</v>
      </c>
      <c r="AI194" s="75">
        <v>317.5</v>
      </c>
      <c r="AJ194" s="75">
        <v>32</v>
      </c>
      <c r="AK194" s="75">
        <v>322.5</v>
      </c>
      <c r="AL194" s="75">
        <v>325</v>
      </c>
      <c r="AM194" s="75">
        <v>327.5</v>
      </c>
      <c r="AN194" s="75">
        <v>330</v>
      </c>
      <c r="AO194" s="75">
        <v>332.5</v>
      </c>
      <c r="AP194" s="75">
        <v>335</v>
      </c>
      <c r="AQ194" s="75">
        <v>337.5</v>
      </c>
      <c r="AR194" s="75">
        <v>340</v>
      </c>
      <c r="AS194" s="75">
        <v>342.5</v>
      </c>
      <c r="AT194" s="75">
        <v>345</v>
      </c>
      <c r="AU194" s="75">
        <v>347.5</v>
      </c>
      <c r="AV194" s="75">
        <v>350</v>
      </c>
      <c r="AW194" s="75"/>
      <c r="AX194" s="75"/>
      <c r="AY194" s="75"/>
      <c r="AZ194" s="75"/>
      <c r="BA194" s="75"/>
      <c r="BB194" s="75"/>
      <c r="BC194" s="75"/>
      <c r="BD194" s="75"/>
      <c r="BE194" s="75"/>
      <c r="BF194" s="75"/>
      <c r="BG194" s="75"/>
      <c r="BH194" s="75"/>
      <c r="BI194" s="75"/>
      <c r="BJ194" s="75"/>
      <c r="BK194" s="75"/>
    </row>
    <row r="195" spans="1:63" x14ac:dyDescent="0.25">
      <c r="A195" s="67" t="s">
        <v>1013</v>
      </c>
      <c r="B195" s="67">
        <v>45</v>
      </c>
      <c r="D195" s="274">
        <v>0</v>
      </c>
      <c r="E195" s="274">
        <v>0</v>
      </c>
      <c r="F195" s="274">
        <v>0</v>
      </c>
      <c r="G195" s="274">
        <v>0</v>
      </c>
      <c r="H195" s="274">
        <v>1</v>
      </c>
      <c r="I195" s="274">
        <v>1</v>
      </c>
      <c r="J195" s="274">
        <v>1</v>
      </c>
      <c r="K195" s="274">
        <v>1</v>
      </c>
      <c r="L195" s="274">
        <v>1</v>
      </c>
      <c r="M195" s="274">
        <v>2</v>
      </c>
      <c r="N195" s="274">
        <v>2</v>
      </c>
      <c r="O195" s="274">
        <v>2</v>
      </c>
      <c r="P195" s="274">
        <v>2</v>
      </c>
      <c r="Q195" s="274">
        <v>2</v>
      </c>
      <c r="R195" s="274">
        <v>2</v>
      </c>
      <c r="S195" s="274">
        <v>2</v>
      </c>
      <c r="T195" s="274">
        <v>2</v>
      </c>
      <c r="U195" s="274">
        <v>2</v>
      </c>
      <c r="V195" s="274">
        <v>2</v>
      </c>
      <c r="W195" s="274">
        <v>3</v>
      </c>
      <c r="X195" s="274">
        <v>3</v>
      </c>
      <c r="Y195" s="274">
        <v>3</v>
      </c>
      <c r="Z195" s="274">
        <v>3</v>
      </c>
      <c r="AA195" s="274">
        <v>3</v>
      </c>
      <c r="AB195" s="274">
        <v>3</v>
      </c>
      <c r="AC195" s="274">
        <v>3</v>
      </c>
      <c r="AD195" s="274">
        <v>3</v>
      </c>
      <c r="AE195" s="274">
        <v>3</v>
      </c>
      <c r="AF195" s="274">
        <v>3</v>
      </c>
      <c r="AG195" s="274">
        <v>4</v>
      </c>
      <c r="AH195" s="274">
        <v>4</v>
      </c>
      <c r="AI195" s="274">
        <v>4</v>
      </c>
      <c r="AJ195" s="274">
        <v>4</v>
      </c>
      <c r="AK195" s="274">
        <v>4</v>
      </c>
      <c r="AL195" s="274">
        <v>5</v>
      </c>
      <c r="AM195" s="274">
        <v>5</v>
      </c>
      <c r="AN195" s="274">
        <v>5</v>
      </c>
      <c r="AO195" s="274">
        <v>5</v>
      </c>
      <c r="AP195" s="274">
        <v>5</v>
      </c>
      <c r="AQ195" s="274">
        <v>6</v>
      </c>
      <c r="AR195" s="274">
        <v>6</v>
      </c>
      <c r="AS195" s="274">
        <v>6</v>
      </c>
      <c r="AT195" s="274">
        <v>6</v>
      </c>
      <c r="AU195" s="274">
        <v>6</v>
      </c>
      <c r="AV195" s="274">
        <v>7</v>
      </c>
      <c r="AW195" s="75"/>
      <c r="AX195" s="75"/>
      <c r="AY195" s="75"/>
      <c r="AZ195" s="75"/>
      <c r="BA195" s="75"/>
      <c r="BB195" s="75"/>
      <c r="BC195" s="75"/>
      <c r="BD195" s="75"/>
      <c r="BE195" s="75"/>
      <c r="BF195" s="75"/>
      <c r="BG195" s="75"/>
      <c r="BH195" s="75"/>
      <c r="BI195" s="75"/>
      <c r="BJ195" s="75"/>
      <c r="BK195" s="75"/>
    </row>
    <row r="196" spans="1:63" x14ac:dyDescent="0.25">
      <c r="A196" s="67" t="s">
        <v>1339</v>
      </c>
      <c r="D196" s="45">
        <v>400</v>
      </c>
      <c r="E196" s="53">
        <v>0.35</v>
      </c>
      <c r="F196" s="45">
        <v>800</v>
      </c>
      <c r="G196" s="53">
        <v>0.7</v>
      </c>
      <c r="H196" s="45">
        <v>1300</v>
      </c>
      <c r="I196" s="53">
        <v>1.05</v>
      </c>
      <c r="J196" s="45">
        <v>1800</v>
      </c>
      <c r="K196" s="53">
        <v>1.4</v>
      </c>
      <c r="L196" s="45">
        <v>2400</v>
      </c>
      <c r="M196" s="53">
        <v>1.75</v>
      </c>
      <c r="N196" s="45">
        <v>3200</v>
      </c>
      <c r="O196" s="53">
        <v>2.1</v>
      </c>
      <c r="P196" s="45">
        <v>4400</v>
      </c>
      <c r="Q196" s="53">
        <v>2.4500000000000002</v>
      </c>
      <c r="R196" s="45">
        <v>6000</v>
      </c>
      <c r="S196" s="53">
        <v>2.8</v>
      </c>
      <c r="T196" s="45">
        <v>8000</v>
      </c>
      <c r="U196" s="53">
        <v>3.15</v>
      </c>
      <c r="V196" s="45">
        <v>12000</v>
      </c>
      <c r="W196" s="53">
        <v>3.5</v>
      </c>
      <c r="X196" s="274"/>
      <c r="Y196" s="274"/>
      <c r="Z196" s="274"/>
      <c r="AA196" s="274"/>
      <c r="AB196" s="274"/>
      <c r="AC196" s="274"/>
      <c r="AD196" s="274"/>
      <c r="AE196" s="274"/>
      <c r="AF196" s="274"/>
      <c r="AG196" s="274"/>
      <c r="AH196" s="274"/>
      <c r="AI196" s="274"/>
      <c r="AJ196" s="274"/>
      <c r="AK196" s="274"/>
      <c r="AL196" s="274"/>
      <c r="AM196" s="274"/>
      <c r="AN196" s="274"/>
      <c r="AO196" s="274"/>
      <c r="AP196" s="274"/>
      <c r="AQ196" s="274"/>
      <c r="AR196" s="274"/>
      <c r="AS196" s="274"/>
      <c r="AT196" s="274"/>
      <c r="AU196" s="274"/>
      <c r="AV196" s="274"/>
      <c r="AW196" s="75"/>
      <c r="AX196" s="75"/>
      <c r="AY196" s="75"/>
      <c r="AZ196" s="75"/>
      <c r="BA196" s="75"/>
      <c r="BB196" s="75"/>
      <c r="BC196" s="75"/>
      <c r="BD196" s="75"/>
      <c r="BE196" s="75"/>
      <c r="BF196" s="75"/>
      <c r="BG196" s="75"/>
      <c r="BH196" s="75"/>
      <c r="BI196" s="75"/>
      <c r="BJ196" s="75"/>
      <c r="BK196" s="75"/>
    </row>
    <row r="197" spans="1:63" x14ac:dyDescent="0.25">
      <c r="A197" s="67" t="s">
        <v>1841</v>
      </c>
      <c r="B197" s="67">
        <v>60</v>
      </c>
      <c r="C197" s="67" t="s">
        <v>1844</v>
      </c>
      <c r="D197" s="75">
        <v>0.01</v>
      </c>
      <c r="E197" s="75">
        <v>0.01</v>
      </c>
      <c r="F197" s="75">
        <v>0.01</v>
      </c>
      <c r="G197" s="75">
        <v>0.01</v>
      </c>
      <c r="H197" s="75">
        <v>0.01</v>
      </c>
      <c r="I197" s="75">
        <v>0.02</v>
      </c>
      <c r="J197" s="75">
        <v>0.02</v>
      </c>
      <c r="K197" s="75">
        <v>0.02</v>
      </c>
      <c r="L197" s="75">
        <v>0.02</v>
      </c>
      <c r="M197" s="75">
        <v>0.02</v>
      </c>
      <c r="N197" s="75">
        <v>0.02</v>
      </c>
      <c r="O197" s="75">
        <v>0.02</v>
      </c>
      <c r="P197" s="75">
        <v>0.02</v>
      </c>
      <c r="Q197" s="75">
        <v>0.02</v>
      </c>
      <c r="R197" s="75">
        <v>0.02</v>
      </c>
      <c r="S197" s="75">
        <v>0.02</v>
      </c>
      <c r="T197" s="75">
        <v>0.02</v>
      </c>
      <c r="U197" s="75">
        <v>0.02</v>
      </c>
      <c r="V197" s="75">
        <v>0.02</v>
      </c>
      <c r="W197" s="75">
        <v>0.03</v>
      </c>
      <c r="X197" s="75">
        <v>0.03</v>
      </c>
      <c r="Y197" s="75">
        <v>0.03</v>
      </c>
      <c r="Z197" s="75">
        <v>0.03</v>
      </c>
      <c r="AA197" s="75">
        <v>0.03</v>
      </c>
      <c r="AB197" s="75">
        <v>0.03</v>
      </c>
      <c r="AC197" s="75">
        <v>0.03</v>
      </c>
      <c r="AD197" s="75">
        <v>0.03</v>
      </c>
      <c r="AE197" s="75">
        <v>0.03</v>
      </c>
      <c r="AF197" s="75">
        <v>0.03</v>
      </c>
      <c r="AG197" s="75">
        <v>0.03</v>
      </c>
      <c r="AH197" s="75">
        <v>0.03</v>
      </c>
      <c r="AI197" s="75">
        <v>0.03</v>
      </c>
      <c r="AJ197" s="75">
        <v>0.03</v>
      </c>
      <c r="AK197" s="75">
        <v>0.03</v>
      </c>
      <c r="AL197" s="75">
        <v>0.03</v>
      </c>
      <c r="AM197" s="75">
        <v>0.03</v>
      </c>
      <c r="AN197" s="75">
        <v>0.03</v>
      </c>
      <c r="AO197" s="75">
        <v>0.03</v>
      </c>
      <c r="AP197" s="75">
        <v>0.03</v>
      </c>
      <c r="AQ197" s="75">
        <v>0.03</v>
      </c>
      <c r="AR197" s="75">
        <v>0.03</v>
      </c>
      <c r="AS197" s="75">
        <v>0.03</v>
      </c>
      <c r="AT197" s="75">
        <v>0.03</v>
      </c>
      <c r="AU197" s="75">
        <v>0.03</v>
      </c>
      <c r="AV197" s="75">
        <v>0.03</v>
      </c>
      <c r="AW197" s="75">
        <v>0.03</v>
      </c>
      <c r="AX197" s="75">
        <v>0.03</v>
      </c>
      <c r="AY197" s="75">
        <v>0.03</v>
      </c>
      <c r="AZ197" s="75">
        <v>0.03</v>
      </c>
      <c r="BA197" s="75">
        <v>0.04</v>
      </c>
      <c r="BB197" s="75">
        <v>0.04</v>
      </c>
      <c r="BC197" s="75">
        <v>0.04</v>
      </c>
      <c r="BD197" s="75">
        <v>0.04</v>
      </c>
      <c r="BE197" s="75">
        <v>0.04</v>
      </c>
      <c r="BF197" s="75">
        <v>0.04</v>
      </c>
      <c r="BG197" s="75">
        <v>0.04</v>
      </c>
      <c r="BH197" s="75">
        <v>0.04</v>
      </c>
      <c r="BI197" s="75">
        <v>0.04</v>
      </c>
      <c r="BJ197" s="75">
        <v>0.04</v>
      </c>
      <c r="BK197" s="75">
        <v>0.04</v>
      </c>
    </row>
    <row r="198" spans="1:63" x14ac:dyDescent="0.25">
      <c r="A198" s="67" t="s">
        <v>1843</v>
      </c>
      <c r="B198" s="67">
        <v>60</v>
      </c>
      <c r="D198" s="54">
        <v>0</v>
      </c>
      <c r="E198" s="54">
        <v>0</v>
      </c>
      <c r="F198" s="54">
        <v>0</v>
      </c>
      <c r="G198" s="54">
        <v>0</v>
      </c>
      <c r="H198" s="54">
        <v>1</v>
      </c>
      <c r="I198" s="54">
        <v>1</v>
      </c>
      <c r="J198" s="54">
        <v>1</v>
      </c>
      <c r="K198" s="54">
        <v>1</v>
      </c>
      <c r="L198" s="54">
        <v>1</v>
      </c>
      <c r="M198" s="54">
        <v>2</v>
      </c>
      <c r="N198" s="54">
        <v>2</v>
      </c>
      <c r="O198" s="54">
        <v>2</v>
      </c>
      <c r="P198" s="54">
        <v>2</v>
      </c>
      <c r="Q198" s="54">
        <v>2</v>
      </c>
      <c r="R198" s="54">
        <v>2</v>
      </c>
      <c r="S198" s="54">
        <v>2</v>
      </c>
      <c r="T198" s="54">
        <v>2</v>
      </c>
      <c r="U198" s="54">
        <v>2</v>
      </c>
      <c r="V198" s="54">
        <v>2</v>
      </c>
      <c r="W198" s="54">
        <v>3</v>
      </c>
      <c r="X198" s="274">
        <v>3</v>
      </c>
      <c r="Y198" s="274">
        <v>3</v>
      </c>
      <c r="Z198" s="274">
        <v>3</v>
      </c>
      <c r="AA198" s="274">
        <v>3</v>
      </c>
      <c r="AB198" s="274">
        <v>3</v>
      </c>
      <c r="AC198" s="274">
        <v>3</v>
      </c>
      <c r="AD198" s="274">
        <v>3</v>
      </c>
      <c r="AE198" s="274">
        <v>3</v>
      </c>
      <c r="AF198" s="274">
        <v>3</v>
      </c>
      <c r="AG198" s="274">
        <v>3</v>
      </c>
      <c r="AH198" s="274">
        <v>3</v>
      </c>
      <c r="AI198" s="274">
        <v>3</v>
      </c>
      <c r="AJ198" s="274">
        <v>3</v>
      </c>
      <c r="AK198" s="274">
        <v>3</v>
      </c>
      <c r="AL198" s="274">
        <v>4</v>
      </c>
      <c r="AM198" s="274">
        <v>4</v>
      </c>
      <c r="AN198" s="274">
        <v>4</v>
      </c>
      <c r="AO198" s="274">
        <v>4</v>
      </c>
      <c r="AP198" s="274">
        <v>4</v>
      </c>
      <c r="AQ198" s="274">
        <v>4</v>
      </c>
      <c r="AR198" s="274">
        <v>4</v>
      </c>
      <c r="AS198" s="274">
        <v>4</v>
      </c>
      <c r="AT198" s="274">
        <v>4</v>
      </c>
      <c r="AU198" s="274">
        <v>4</v>
      </c>
      <c r="AV198" s="274">
        <v>4</v>
      </c>
      <c r="AW198" s="274">
        <v>4</v>
      </c>
      <c r="AX198" s="274">
        <v>4</v>
      </c>
      <c r="AY198" s="274">
        <v>4</v>
      </c>
      <c r="AZ198" s="274">
        <v>4</v>
      </c>
      <c r="BA198" s="274">
        <v>4</v>
      </c>
      <c r="BB198" s="274">
        <v>4</v>
      </c>
      <c r="BC198" s="274">
        <v>4</v>
      </c>
      <c r="BD198" s="274">
        <v>4</v>
      </c>
      <c r="BE198" s="274">
        <v>4</v>
      </c>
      <c r="BF198" s="274">
        <v>5</v>
      </c>
      <c r="BG198" s="274">
        <v>5</v>
      </c>
      <c r="BH198" s="274">
        <v>5</v>
      </c>
      <c r="BI198" s="274">
        <v>5</v>
      </c>
      <c r="BJ198" s="274">
        <v>5</v>
      </c>
      <c r="BK198" s="274">
        <v>5</v>
      </c>
    </row>
    <row r="199" spans="1:63" x14ac:dyDescent="0.25">
      <c r="A199" s="67" t="s">
        <v>1842</v>
      </c>
      <c r="D199" s="45">
        <v>1600</v>
      </c>
      <c r="E199" s="53">
        <v>0.55000000000000004</v>
      </c>
      <c r="F199" s="45">
        <v>3200</v>
      </c>
      <c r="G199" s="53">
        <v>1.1000000000000001</v>
      </c>
      <c r="H199" s="45">
        <v>5200</v>
      </c>
      <c r="I199" s="53">
        <v>1.65</v>
      </c>
      <c r="J199" s="45">
        <v>7200</v>
      </c>
      <c r="K199" s="53">
        <v>2.2000000000000002</v>
      </c>
      <c r="L199" s="45">
        <v>9600</v>
      </c>
      <c r="M199" s="53">
        <v>2.75</v>
      </c>
      <c r="N199" s="45">
        <v>12800</v>
      </c>
      <c r="O199" s="53">
        <v>3.3</v>
      </c>
      <c r="P199" s="45">
        <v>17600</v>
      </c>
      <c r="Q199" s="53">
        <v>3.85</v>
      </c>
      <c r="R199" s="45">
        <v>24000</v>
      </c>
      <c r="S199" s="53">
        <v>4.4000000000000004</v>
      </c>
      <c r="T199" s="45">
        <v>32000</v>
      </c>
      <c r="U199" s="53">
        <v>4.95</v>
      </c>
      <c r="V199" s="45">
        <v>48000</v>
      </c>
      <c r="W199" s="53">
        <v>5.5</v>
      </c>
      <c r="X199" s="274"/>
      <c r="Y199" s="274"/>
      <c r="Z199" s="274"/>
      <c r="AA199" s="274"/>
      <c r="AB199" s="274"/>
      <c r="AC199" s="274"/>
      <c r="AD199" s="274"/>
      <c r="AE199" s="274"/>
      <c r="AF199" s="274"/>
      <c r="AG199" s="274"/>
      <c r="AH199" s="274"/>
      <c r="AI199" s="274"/>
      <c r="AJ199" s="274"/>
      <c r="AK199" s="274"/>
      <c r="AL199" s="274"/>
      <c r="AM199" s="274"/>
      <c r="AN199" s="274"/>
      <c r="AO199" s="274"/>
      <c r="AP199" s="274"/>
      <c r="AQ199" s="274"/>
      <c r="AR199" s="274"/>
      <c r="AS199" s="274"/>
      <c r="AT199" s="274"/>
      <c r="AU199" s="274"/>
      <c r="AV199" s="274"/>
      <c r="AW199" s="75"/>
      <c r="AX199" s="75"/>
      <c r="AY199" s="75"/>
      <c r="AZ199" s="75"/>
      <c r="BA199" s="75"/>
      <c r="BB199" s="75"/>
      <c r="BC199" s="75"/>
      <c r="BD199" s="75"/>
      <c r="BE199" s="75"/>
      <c r="BF199" s="75"/>
      <c r="BG199" s="75"/>
      <c r="BH199" s="75"/>
      <c r="BI199" s="75"/>
      <c r="BJ199" s="75"/>
      <c r="BK199" s="75"/>
    </row>
    <row r="200" spans="1:63" x14ac:dyDescent="0.25">
      <c r="A200" s="67" t="s">
        <v>1068</v>
      </c>
      <c r="B200" s="67">
        <v>60</v>
      </c>
      <c r="C200" s="67" t="s">
        <v>1228</v>
      </c>
      <c r="D200" s="75">
        <v>1.2</v>
      </c>
      <c r="E200" s="75">
        <v>1.26</v>
      </c>
      <c r="F200" s="75">
        <v>1.29</v>
      </c>
      <c r="G200" s="75">
        <v>1.32</v>
      </c>
      <c r="H200" s="75">
        <v>1.35</v>
      </c>
      <c r="I200" s="75">
        <v>1.38</v>
      </c>
      <c r="J200" s="75">
        <v>1.41</v>
      </c>
      <c r="K200" s="75">
        <v>1.44</v>
      </c>
      <c r="L200" s="75">
        <v>1.47</v>
      </c>
      <c r="M200" s="75">
        <v>1.5</v>
      </c>
      <c r="N200" s="75">
        <v>1.54</v>
      </c>
      <c r="O200" s="75">
        <v>1.58</v>
      </c>
      <c r="P200" s="75">
        <v>1.62</v>
      </c>
      <c r="Q200" s="75">
        <v>1.66</v>
      </c>
      <c r="R200" s="75">
        <v>1.7</v>
      </c>
      <c r="S200" s="75">
        <v>1.74</v>
      </c>
      <c r="T200" s="75">
        <v>1.78</v>
      </c>
      <c r="U200" s="75">
        <v>1.82</v>
      </c>
      <c r="V200" s="75">
        <v>1.86</v>
      </c>
      <c r="W200" s="75">
        <v>1.9</v>
      </c>
      <c r="X200" s="75">
        <v>1.95</v>
      </c>
      <c r="Y200" s="75">
        <v>2</v>
      </c>
      <c r="Z200" s="75">
        <v>2.0499999999999998</v>
      </c>
      <c r="AA200" s="75">
        <v>2.1</v>
      </c>
      <c r="AB200" s="75">
        <v>2.15</v>
      </c>
      <c r="AC200" s="75">
        <v>2.2000000000000002</v>
      </c>
      <c r="AD200" s="75">
        <v>2.25</v>
      </c>
      <c r="AE200" s="75">
        <v>2.2999999999999998</v>
      </c>
      <c r="AF200" s="75">
        <v>2.35</v>
      </c>
      <c r="AG200" s="75">
        <v>2.4</v>
      </c>
      <c r="AH200" s="75">
        <v>2.46</v>
      </c>
      <c r="AI200" s="75">
        <v>2.52</v>
      </c>
      <c r="AJ200" s="75">
        <v>2.58</v>
      </c>
      <c r="AK200" s="75">
        <v>2.64</v>
      </c>
      <c r="AL200" s="75">
        <v>2.7</v>
      </c>
      <c r="AM200" s="75">
        <v>2.76</v>
      </c>
      <c r="AN200" s="75">
        <v>2.82</v>
      </c>
      <c r="AO200" s="75">
        <v>2.88</v>
      </c>
      <c r="AP200" s="75">
        <v>2.94</v>
      </c>
      <c r="AQ200" s="75">
        <v>3</v>
      </c>
      <c r="AR200" s="75">
        <v>3.08</v>
      </c>
      <c r="AS200" s="75">
        <v>3.15</v>
      </c>
      <c r="AT200" s="75">
        <v>3.23</v>
      </c>
      <c r="AU200" s="75">
        <v>3.3</v>
      </c>
      <c r="AV200" s="75">
        <v>3.38</v>
      </c>
      <c r="AW200" s="75">
        <v>3.45</v>
      </c>
      <c r="AX200" s="75">
        <v>3.53</v>
      </c>
      <c r="AY200" s="75">
        <v>3.6</v>
      </c>
      <c r="AZ200" s="75">
        <v>3.68</v>
      </c>
      <c r="BA200" s="75">
        <v>3.75</v>
      </c>
      <c r="BB200" s="75">
        <v>3.85</v>
      </c>
      <c r="BC200" s="75">
        <v>3.95</v>
      </c>
      <c r="BD200" s="75">
        <v>4.05</v>
      </c>
      <c r="BE200" s="75">
        <v>4.1500000000000004</v>
      </c>
      <c r="BF200" s="75">
        <v>4.25</v>
      </c>
      <c r="BG200" s="75">
        <v>4.3499999999999996</v>
      </c>
      <c r="BH200" s="75">
        <v>4.5</v>
      </c>
      <c r="BI200" s="75">
        <v>4.6500000000000004</v>
      </c>
      <c r="BJ200" s="75">
        <v>4.8</v>
      </c>
      <c r="BK200" s="75">
        <v>5</v>
      </c>
    </row>
    <row r="201" spans="1:63" x14ac:dyDescent="0.25">
      <c r="A201" s="67" t="s">
        <v>1014</v>
      </c>
      <c r="B201" s="67">
        <v>60</v>
      </c>
      <c r="D201" s="274">
        <v>0</v>
      </c>
      <c r="E201" s="274">
        <v>0</v>
      </c>
      <c r="F201" s="274">
        <v>0</v>
      </c>
      <c r="G201" s="274">
        <v>0</v>
      </c>
      <c r="H201" s="274">
        <v>1</v>
      </c>
      <c r="I201" s="274">
        <v>1</v>
      </c>
      <c r="J201" s="274">
        <v>1</v>
      </c>
      <c r="K201" s="274">
        <v>1</v>
      </c>
      <c r="L201" s="274">
        <v>1</v>
      </c>
      <c r="M201" s="274">
        <v>2</v>
      </c>
      <c r="N201" s="274">
        <v>2</v>
      </c>
      <c r="O201" s="274">
        <v>2</v>
      </c>
      <c r="P201" s="274">
        <v>2</v>
      </c>
      <c r="Q201" s="274">
        <v>2</v>
      </c>
      <c r="R201" s="274">
        <v>2</v>
      </c>
      <c r="S201" s="274">
        <v>2</v>
      </c>
      <c r="T201" s="274">
        <v>2</v>
      </c>
      <c r="U201" s="274">
        <v>2</v>
      </c>
      <c r="V201" s="274">
        <v>2</v>
      </c>
      <c r="W201" s="274">
        <v>3</v>
      </c>
      <c r="X201" s="274">
        <v>3</v>
      </c>
      <c r="Y201" s="274">
        <v>3</v>
      </c>
      <c r="Z201" s="274">
        <v>3</v>
      </c>
      <c r="AA201" s="274">
        <v>3</v>
      </c>
      <c r="AB201" s="274">
        <v>3</v>
      </c>
      <c r="AC201" s="274">
        <v>3</v>
      </c>
      <c r="AD201" s="274">
        <v>3</v>
      </c>
      <c r="AE201" s="274">
        <v>3</v>
      </c>
      <c r="AF201" s="274">
        <v>3</v>
      </c>
      <c r="AG201" s="274">
        <v>3</v>
      </c>
      <c r="AH201" s="274">
        <v>3</v>
      </c>
      <c r="AI201" s="274">
        <v>3</v>
      </c>
      <c r="AJ201" s="274">
        <v>3</v>
      </c>
      <c r="AK201" s="274">
        <v>3</v>
      </c>
      <c r="AL201" s="274">
        <v>4</v>
      </c>
      <c r="AM201" s="274">
        <v>4</v>
      </c>
      <c r="AN201" s="274">
        <v>4</v>
      </c>
      <c r="AO201" s="274">
        <v>4</v>
      </c>
      <c r="AP201" s="274">
        <v>4</v>
      </c>
      <c r="AQ201" s="274">
        <v>4</v>
      </c>
      <c r="AR201" s="274">
        <v>4</v>
      </c>
      <c r="AS201" s="274">
        <v>4</v>
      </c>
      <c r="AT201" s="274">
        <v>4</v>
      </c>
      <c r="AU201" s="274">
        <v>4</v>
      </c>
      <c r="AV201" s="274">
        <v>4</v>
      </c>
      <c r="AW201" s="274">
        <v>4</v>
      </c>
      <c r="AX201" s="274">
        <v>4</v>
      </c>
      <c r="AY201" s="274">
        <v>4</v>
      </c>
      <c r="AZ201" s="274">
        <v>4</v>
      </c>
      <c r="BA201" s="274">
        <v>4</v>
      </c>
      <c r="BB201" s="274">
        <v>4</v>
      </c>
      <c r="BC201" s="274">
        <v>4</v>
      </c>
      <c r="BD201" s="274">
        <v>4</v>
      </c>
      <c r="BE201" s="274">
        <v>4</v>
      </c>
      <c r="BF201" s="274">
        <v>5</v>
      </c>
      <c r="BG201" s="274">
        <v>5</v>
      </c>
      <c r="BH201" s="274">
        <v>5</v>
      </c>
      <c r="BI201" s="274">
        <v>5</v>
      </c>
      <c r="BJ201" s="274">
        <v>5</v>
      </c>
      <c r="BK201" s="274">
        <v>5</v>
      </c>
    </row>
    <row r="202" spans="1:63" x14ac:dyDescent="0.25">
      <c r="A202" s="67" t="s">
        <v>1340</v>
      </c>
      <c r="D202" s="45">
        <v>600</v>
      </c>
      <c r="E202" s="53">
        <v>0.35</v>
      </c>
      <c r="F202" s="45">
        <v>1200</v>
      </c>
      <c r="G202" s="53">
        <v>0.7</v>
      </c>
      <c r="H202" s="45">
        <v>1950</v>
      </c>
      <c r="I202" s="53">
        <v>1.05</v>
      </c>
      <c r="J202" s="45">
        <v>2700</v>
      </c>
      <c r="K202" s="53">
        <v>1.4</v>
      </c>
      <c r="L202" s="45">
        <v>3600</v>
      </c>
      <c r="M202" s="53">
        <v>1.75</v>
      </c>
      <c r="N202" s="45">
        <v>4800</v>
      </c>
      <c r="O202" s="53">
        <v>2.1</v>
      </c>
      <c r="P202" s="45">
        <v>6600</v>
      </c>
      <c r="Q202" s="53">
        <v>2.4500000000000002</v>
      </c>
      <c r="R202" s="45">
        <v>9000</v>
      </c>
      <c r="S202" s="53">
        <v>2.8</v>
      </c>
      <c r="T202" s="45">
        <v>12000</v>
      </c>
      <c r="U202" s="53">
        <v>3.15</v>
      </c>
      <c r="V202" s="45">
        <v>18000</v>
      </c>
      <c r="W202" s="53">
        <v>3.5</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3"/>
  <sheetViews>
    <sheetView workbookViewId="0">
      <pane ySplit="1" topLeftCell="A92" activePane="bottomLeft" state="frozen"/>
      <selection pane="bottomLeft" activeCell="A107" sqref="A107:XFD109"/>
    </sheetView>
  </sheetViews>
  <sheetFormatPr defaultRowHeight="15" x14ac:dyDescent="0.25"/>
  <cols>
    <col min="1" max="1" width="22.7109375" style="67" bestFit="1" customWidth="1"/>
    <col min="2" max="2" width="29.140625" style="67" bestFit="1" customWidth="1"/>
    <col min="3" max="3" width="13.28515625" style="67" bestFit="1" customWidth="1"/>
    <col min="4" max="16384" width="9.140625" style="67"/>
  </cols>
  <sheetData>
    <row r="1" spans="1:15" x14ac:dyDescent="0.25">
      <c r="A1" s="67" t="s">
        <v>957</v>
      </c>
      <c r="B1" s="67" t="s">
        <v>1070</v>
      </c>
      <c r="C1" s="67" t="s">
        <v>1071</v>
      </c>
      <c r="D1" s="67">
        <v>1</v>
      </c>
      <c r="E1" s="67">
        <v>2</v>
      </c>
      <c r="F1" s="67">
        <v>3</v>
      </c>
      <c r="G1" s="67">
        <v>4</v>
      </c>
      <c r="H1" s="67">
        <v>5</v>
      </c>
      <c r="I1" s="67">
        <v>6</v>
      </c>
      <c r="J1" s="67">
        <v>7</v>
      </c>
      <c r="K1" s="67">
        <v>8</v>
      </c>
      <c r="L1" s="67">
        <v>9</v>
      </c>
      <c r="M1" s="67">
        <v>10</v>
      </c>
      <c r="N1" s="67">
        <v>11</v>
      </c>
      <c r="O1" s="67">
        <v>12</v>
      </c>
    </row>
    <row r="2" spans="1:15" x14ac:dyDescent="0.25">
      <c r="A2" s="45" t="s">
        <v>1922</v>
      </c>
      <c r="B2" s="67" t="s">
        <v>1122</v>
      </c>
      <c r="C2" s="67" t="s">
        <v>1074</v>
      </c>
      <c r="D2" s="67">
        <v>1</v>
      </c>
      <c r="E2" s="67">
        <v>1</v>
      </c>
      <c r="F2" s="67">
        <v>1</v>
      </c>
      <c r="G2" s="67">
        <v>1</v>
      </c>
      <c r="H2" s="67">
        <v>1</v>
      </c>
      <c r="I2" s="67">
        <v>1</v>
      </c>
      <c r="J2" s="67">
        <v>1</v>
      </c>
      <c r="K2" s="67">
        <v>1</v>
      </c>
      <c r="L2" s="67">
        <v>1</v>
      </c>
      <c r="M2" s="67">
        <v>1</v>
      </c>
      <c r="N2" s="67">
        <v>1</v>
      </c>
      <c r="O2" s="67">
        <v>1</v>
      </c>
    </row>
    <row r="3" spans="1:15" x14ac:dyDescent="0.25">
      <c r="A3" s="45" t="s">
        <v>1189</v>
      </c>
      <c r="B3" s="67" t="s">
        <v>1192</v>
      </c>
      <c r="C3" s="67" t="s">
        <v>1088</v>
      </c>
      <c r="E3" s="67">
        <v>1</v>
      </c>
      <c r="H3" s="67">
        <v>1</v>
      </c>
      <c r="K3" s="67">
        <v>1</v>
      </c>
      <c r="N3" s="67">
        <v>1</v>
      </c>
    </row>
    <row r="4" spans="1:15" x14ac:dyDescent="0.25">
      <c r="A4" s="45" t="s">
        <v>1190</v>
      </c>
      <c r="B4" s="67" t="s">
        <v>1089</v>
      </c>
      <c r="C4" s="67" t="s">
        <v>1074</v>
      </c>
      <c r="D4" s="67">
        <v>2</v>
      </c>
      <c r="E4" s="67">
        <v>2</v>
      </c>
      <c r="F4" s="67">
        <v>2</v>
      </c>
      <c r="G4" s="67">
        <v>2</v>
      </c>
      <c r="H4" s="67">
        <v>2</v>
      </c>
      <c r="I4" s="67">
        <v>2</v>
      </c>
      <c r="J4" s="67">
        <v>2</v>
      </c>
      <c r="K4" s="67">
        <v>2</v>
      </c>
      <c r="L4" s="67">
        <v>2</v>
      </c>
      <c r="M4" s="67">
        <v>2</v>
      </c>
      <c r="N4" s="67">
        <v>2</v>
      </c>
      <c r="O4" s="67">
        <v>2</v>
      </c>
    </row>
    <row r="5" spans="1:15" x14ac:dyDescent="0.25">
      <c r="A5" s="45" t="s">
        <v>1191</v>
      </c>
      <c r="B5" s="67" t="s">
        <v>1089</v>
      </c>
      <c r="C5" s="67" t="s">
        <v>1074</v>
      </c>
      <c r="D5" s="67">
        <v>2</v>
      </c>
      <c r="E5" s="67">
        <v>2</v>
      </c>
      <c r="F5" s="67">
        <v>2</v>
      </c>
      <c r="G5" s="67">
        <v>2</v>
      </c>
      <c r="H5" s="67">
        <v>2</v>
      </c>
      <c r="I5" s="67">
        <v>2</v>
      </c>
      <c r="J5" s="67">
        <v>2</v>
      </c>
      <c r="K5" s="67">
        <v>2</v>
      </c>
      <c r="L5" s="67">
        <v>2</v>
      </c>
      <c r="M5" s="67">
        <v>2</v>
      </c>
      <c r="N5" s="67">
        <v>2</v>
      </c>
      <c r="O5" s="67">
        <v>2</v>
      </c>
    </row>
    <row r="6" spans="1:15" x14ac:dyDescent="0.25">
      <c r="A6" s="45" t="s">
        <v>1222</v>
      </c>
      <c r="B6" s="67" t="s">
        <v>1223</v>
      </c>
      <c r="C6" s="67" t="s">
        <v>1074</v>
      </c>
      <c r="D6" s="67">
        <v>1</v>
      </c>
      <c r="E6" s="67">
        <v>1</v>
      </c>
      <c r="F6" s="67">
        <v>1</v>
      </c>
      <c r="G6" s="67">
        <v>1</v>
      </c>
      <c r="H6" s="67">
        <v>1</v>
      </c>
      <c r="I6" s="67">
        <v>1</v>
      </c>
      <c r="J6" s="67">
        <v>1</v>
      </c>
      <c r="K6" s="67">
        <v>1</v>
      </c>
      <c r="L6" s="67">
        <v>1</v>
      </c>
      <c r="M6" s="67">
        <v>1</v>
      </c>
      <c r="N6" s="67">
        <v>1</v>
      </c>
      <c r="O6" s="67">
        <v>1</v>
      </c>
    </row>
    <row r="7" spans="1:15" x14ac:dyDescent="0.25">
      <c r="A7" s="45" t="s">
        <v>1136</v>
      </c>
      <c r="B7" s="67" t="s">
        <v>1121</v>
      </c>
      <c r="C7" s="67" t="s">
        <v>1074</v>
      </c>
      <c r="D7" s="67">
        <v>1</v>
      </c>
      <c r="E7" s="67">
        <v>1</v>
      </c>
      <c r="F7" s="67">
        <v>1</v>
      </c>
      <c r="G7" s="67">
        <v>1</v>
      </c>
      <c r="H7" s="67">
        <v>1</v>
      </c>
      <c r="I7" s="67">
        <v>1</v>
      </c>
      <c r="J7" s="67">
        <v>1</v>
      </c>
      <c r="K7" s="67">
        <v>1</v>
      </c>
      <c r="L7" s="67">
        <v>1</v>
      </c>
      <c r="M7" s="67">
        <v>1</v>
      </c>
      <c r="N7" s="67">
        <v>1</v>
      </c>
      <c r="O7" s="67">
        <v>1</v>
      </c>
    </row>
    <row r="8" spans="1:15" x14ac:dyDescent="0.25">
      <c r="A8" s="45" t="s">
        <v>1137</v>
      </c>
      <c r="B8" s="67" t="s">
        <v>1107</v>
      </c>
      <c r="C8" s="67" t="s">
        <v>1088</v>
      </c>
      <c r="D8" s="67">
        <v>1</v>
      </c>
      <c r="F8" s="67">
        <v>1</v>
      </c>
      <c r="H8" s="67">
        <v>1</v>
      </c>
      <c r="J8" s="67">
        <v>1</v>
      </c>
      <c r="L8" s="67">
        <v>1</v>
      </c>
      <c r="N8" s="67">
        <v>1</v>
      </c>
    </row>
    <row r="9" spans="1:15" x14ac:dyDescent="0.25">
      <c r="A9" s="45" t="s">
        <v>1138</v>
      </c>
      <c r="B9" s="67" t="s">
        <v>1107</v>
      </c>
      <c r="C9" s="67" t="s">
        <v>1088</v>
      </c>
      <c r="D9" s="67">
        <v>1</v>
      </c>
      <c r="F9" s="67">
        <v>1</v>
      </c>
      <c r="H9" s="67">
        <v>1</v>
      </c>
      <c r="J9" s="67">
        <v>1</v>
      </c>
      <c r="L9" s="67">
        <v>1</v>
      </c>
      <c r="N9" s="67">
        <v>1</v>
      </c>
    </row>
    <row r="10" spans="1:15" x14ac:dyDescent="0.25">
      <c r="A10" s="45" t="s">
        <v>1106</v>
      </c>
      <c r="B10" s="67" t="s">
        <v>1107</v>
      </c>
      <c r="C10" s="67" t="s">
        <v>1088</v>
      </c>
      <c r="D10" s="67">
        <v>1</v>
      </c>
      <c r="F10" s="67">
        <v>1</v>
      </c>
      <c r="H10" s="67">
        <v>1</v>
      </c>
      <c r="J10" s="67">
        <v>1</v>
      </c>
      <c r="L10" s="67">
        <v>1</v>
      </c>
      <c r="N10" s="67">
        <v>1</v>
      </c>
    </row>
    <row r="11" spans="1:15" x14ac:dyDescent="0.25">
      <c r="A11" s="45" t="s">
        <v>1141</v>
      </c>
      <c r="B11" s="67" t="s">
        <v>1140</v>
      </c>
      <c r="C11" s="67" t="s">
        <v>1074</v>
      </c>
      <c r="D11" s="67">
        <v>1</v>
      </c>
      <c r="E11" s="67">
        <v>1</v>
      </c>
      <c r="F11" s="67">
        <v>1</v>
      </c>
      <c r="G11" s="67">
        <v>1</v>
      </c>
      <c r="H11" s="67">
        <v>1</v>
      </c>
      <c r="I11" s="67">
        <v>1</v>
      </c>
      <c r="J11" s="67">
        <v>1</v>
      </c>
      <c r="K11" s="67">
        <v>1</v>
      </c>
      <c r="L11" s="67">
        <v>1</v>
      </c>
      <c r="M11" s="67">
        <v>1</v>
      </c>
      <c r="N11" s="67">
        <v>1</v>
      </c>
      <c r="O11" s="67">
        <v>1</v>
      </c>
    </row>
    <row r="12" spans="1:15" x14ac:dyDescent="0.25">
      <c r="A12" s="45" t="s">
        <v>1142</v>
      </c>
      <c r="B12" s="67" t="s">
        <v>1140</v>
      </c>
      <c r="C12" s="67" t="s">
        <v>1074</v>
      </c>
      <c r="D12" s="67">
        <v>1</v>
      </c>
      <c r="E12" s="67">
        <v>1</v>
      </c>
      <c r="F12" s="67">
        <v>1</v>
      </c>
      <c r="G12" s="67">
        <v>1</v>
      </c>
      <c r="H12" s="67">
        <v>1</v>
      </c>
      <c r="I12" s="67">
        <v>1</v>
      </c>
      <c r="J12" s="67">
        <v>1</v>
      </c>
      <c r="K12" s="67">
        <v>1</v>
      </c>
      <c r="L12" s="67">
        <v>1</v>
      </c>
      <c r="M12" s="67">
        <v>1</v>
      </c>
      <c r="N12" s="67">
        <v>1</v>
      </c>
      <c r="O12" s="67">
        <v>1</v>
      </c>
    </row>
    <row r="13" spans="1:15" x14ac:dyDescent="0.25">
      <c r="A13" s="45" t="s">
        <v>1143</v>
      </c>
      <c r="B13" s="67" t="s">
        <v>1107</v>
      </c>
      <c r="C13" s="67" t="s">
        <v>1088</v>
      </c>
      <c r="D13" s="67">
        <v>1</v>
      </c>
      <c r="F13" s="67">
        <v>1</v>
      </c>
      <c r="H13" s="67">
        <v>1</v>
      </c>
      <c r="J13" s="67">
        <v>1</v>
      </c>
      <c r="L13" s="67">
        <v>1</v>
      </c>
      <c r="N13" s="67">
        <v>1</v>
      </c>
    </row>
    <row r="14" spans="1:15" x14ac:dyDescent="0.25">
      <c r="A14" s="45" t="s">
        <v>1178</v>
      </c>
      <c r="B14" s="67" t="s">
        <v>1181</v>
      </c>
      <c r="C14" s="67" t="s">
        <v>1074</v>
      </c>
      <c r="D14" s="67">
        <v>1</v>
      </c>
      <c r="E14" s="67">
        <v>1</v>
      </c>
      <c r="F14" s="67">
        <v>1</v>
      </c>
      <c r="G14" s="67">
        <v>1</v>
      </c>
      <c r="H14" s="67">
        <v>1</v>
      </c>
      <c r="I14" s="67">
        <v>1</v>
      </c>
      <c r="J14" s="67">
        <v>1</v>
      </c>
      <c r="K14" s="67">
        <v>1</v>
      </c>
      <c r="L14" s="67">
        <v>1</v>
      </c>
      <c r="M14" s="67">
        <v>1</v>
      </c>
      <c r="N14" s="67">
        <v>1</v>
      </c>
      <c r="O14" s="67">
        <v>1</v>
      </c>
    </row>
    <row r="15" spans="1:15" x14ac:dyDescent="0.25">
      <c r="A15" s="45" t="s">
        <v>1179</v>
      </c>
      <c r="B15" s="67" t="s">
        <v>1181</v>
      </c>
      <c r="C15" s="67" t="s">
        <v>1074</v>
      </c>
      <c r="D15" s="67">
        <v>1</v>
      </c>
      <c r="E15" s="67">
        <v>1</v>
      </c>
      <c r="F15" s="67">
        <v>1</v>
      </c>
      <c r="G15" s="67">
        <v>1</v>
      </c>
      <c r="H15" s="67">
        <v>1</v>
      </c>
      <c r="I15" s="67">
        <v>1</v>
      </c>
      <c r="J15" s="67">
        <v>1</v>
      </c>
      <c r="K15" s="67">
        <v>1</v>
      </c>
      <c r="L15" s="67">
        <v>1</v>
      </c>
      <c r="M15" s="67">
        <v>1</v>
      </c>
      <c r="N15" s="67">
        <v>1</v>
      </c>
      <c r="O15" s="67">
        <v>1</v>
      </c>
    </row>
    <row r="16" spans="1:15" x14ac:dyDescent="0.25">
      <c r="A16" s="45" t="s">
        <v>1180</v>
      </c>
      <c r="B16" s="67" t="s">
        <v>1182</v>
      </c>
      <c r="C16" s="67" t="s">
        <v>1074</v>
      </c>
      <c r="E16" s="67">
        <v>2</v>
      </c>
      <c r="F16" s="67">
        <v>2</v>
      </c>
      <c r="G16" s="67">
        <v>2</v>
      </c>
      <c r="H16" s="67">
        <v>2</v>
      </c>
      <c r="I16" s="67">
        <v>2</v>
      </c>
      <c r="J16" s="67">
        <v>2</v>
      </c>
      <c r="K16" s="67">
        <v>2</v>
      </c>
      <c r="L16" s="67">
        <v>2</v>
      </c>
      <c r="M16" s="67">
        <v>2</v>
      </c>
      <c r="N16" s="67">
        <v>2</v>
      </c>
      <c r="O16" s="67">
        <v>2</v>
      </c>
    </row>
    <row r="17" spans="1:15" x14ac:dyDescent="0.25">
      <c r="A17" s="45" t="s">
        <v>1759</v>
      </c>
      <c r="B17" s="67" t="s">
        <v>1122</v>
      </c>
      <c r="C17" s="67" t="s">
        <v>1074</v>
      </c>
      <c r="D17" s="67">
        <v>2</v>
      </c>
      <c r="E17" s="67">
        <v>2</v>
      </c>
      <c r="F17" s="67">
        <v>2</v>
      </c>
      <c r="G17" s="67">
        <v>2</v>
      </c>
      <c r="H17" s="67">
        <v>2</v>
      </c>
      <c r="I17" s="67">
        <v>2</v>
      </c>
      <c r="J17" s="67">
        <v>2</v>
      </c>
      <c r="K17" s="67">
        <v>2</v>
      </c>
      <c r="L17" s="67">
        <v>2</v>
      </c>
      <c r="M17" s="67">
        <v>2</v>
      </c>
      <c r="N17" s="67">
        <v>2</v>
      </c>
      <c r="O17" s="67">
        <v>2</v>
      </c>
    </row>
    <row r="18" spans="1:15" x14ac:dyDescent="0.25">
      <c r="A18" s="45" t="s">
        <v>1760</v>
      </c>
      <c r="B18" s="67" t="s">
        <v>1122</v>
      </c>
      <c r="C18" s="67" t="s">
        <v>1074</v>
      </c>
      <c r="D18" s="67">
        <v>2</v>
      </c>
      <c r="E18" s="67">
        <v>2</v>
      </c>
      <c r="F18" s="67">
        <v>2</v>
      </c>
      <c r="G18" s="67">
        <v>2</v>
      </c>
      <c r="H18" s="67">
        <v>2</v>
      </c>
      <c r="I18" s="67">
        <v>2</v>
      </c>
      <c r="J18" s="67">
        <v>2</v>
      </c>
      <c r="K18" s="67">
        <v>2</v>
      </c>
      <c r="L18" s="67">
        <v>2</v>
      </c>
      <c r="M18" s="67">
        <v>2</v>
      </c>
      <c r="N18" s="67">
        <v>2</v>
      </c>
      <c r="O18" s="67">
        <v>2</v>
      </c>
    </row>
    <row r="19" spans="1:15" x14ac:dyDescent="0.25">
      <c r="A19" s="45" t="s">
        <v>1761</v>
      </c>
      <c r="B19" s="67" t="s">
        <v>1122</v>
      </c>
      <c r="C19" s="67" t="s">
        <v>1074</v>
      </c>
      <c r="E19" s="67">
        <v>3</v>
      </c>
      <c r="G19" s="67">
        <v>3</v>
      </c>
      <c r="I19" s="67">
        <v>3</v>
      </c>
      <c r="K19" s="67">
        <v>3</v>
      </c>
      <c r="M19" s="67">
        <v>3</v>
      </c>
      <c r="O19" s="67">
        <v>3</v>
      </c>
    </row>
    <row r="20" spans="1:15" x14ac:dyDescent="0.25">
      <c r="A20" s="45" t="s">
        <v>1130</v>
      </c>
      <c r="B20" s="67" t="s">
        <v>1132</v>
      </c>
      <c r="C20" s="67" t="s">
        <v>1088</v>
      </c>
      <c r="D20" s="67">
        <v>2</v>
      </c>
      <c r="F20" s="67">
        <v>2</v>
      </c>
      <c r="H20" s="67">
        <v>2</v>
      </c>
      <c r="J20" s="67">
        <v>2</v>
      </c>
      <c r="L20" s="67">
        <v>2</v>
      </c>
      <c r="N20" s="67">
        <v>2</v>
      </c>
    </row>
    <row r="21" spans="1:15" x14ac:dyDescent="0.25">
      <c r="A21" s="45" t="s">
        <v>1131</v>
      </c>
      <c r="B21" s="67" t="s">
        <v>1133</v>
      </c>
      <c r="C21" s="67" t="s">
        <v>1088</v>
      </c>
      <c r="E21" s="67">
        <v>2</v>
      </c>
      <c r="G21" s="67">
        <v>2</v>
      </c>
      <c r="I21" s="67">
        <v>2</v>
      </c>
      <c r="K21" s="67">
        <v>2</v>
      </c>
      <c r="M21" s="67">
        <v>2</v>
      </c>
      <c r="O21" s="67">
        <v>2</v>
      </c>
    </row>
    <row r="22" spans="1:15" x14ac:dyDescent="0.25">
      <c r="A22" s="45" t="s">
        <v>1145</v>
      </c>
      <c r="B22" s="67" t="s">
        <v>1132</v>
      </c>
      <c r="C22" s="67" t="s">
        <v>1088</v>
      </c>
      <c r="D22" s="67">
        <v>2</v>
      </c>
      <c r="F22" s="67">
        <v>2</v>
      </c>
      <c r="H22" s="67">
        <v>2</v>
      </c>
      <c r="J22" s="67">
        <v>2</v>
      </c>
      <c r="L22" s="67">
        <v>2</v>
      </c>
      <c r="N22" s="67">
        <v>2</v>
      </c>
    </row>
    <row r="23" spans="1:15" x14ac:dyDescent="0.25">
      <c r="A23" s="45" t="s">
        <v>1146</v>
      </c>
      <c r="B23" s="67" t="s">
        <v>1133</v>
      </c>
      <c r="C23" s="67" t="s">
        <v>1088</v>
      </c>
      <c r="E23" s="67">
        <v>2</v>
      </c>
      <c r="G23" s="67">
        <v>2</v>
      </c>
      <c r="I23" s="67">
        <v>2</v>
      </c>
      <c r="K23" s="67">
        <v>2</v>
      </c>
      <c r="M23" s="67">
        <v>2</v>
      </c>
      <c r="O23" s="67">
        <v>2</v>
      </c>
    </row>
    <row r="24" spans="1:15" x14ac:dyDescent="0.25">
      <c r="A24" s="45" t="s">
        <v>1774</v>
      </c>
      <c r="B24" s="67" t="s">
        <v>1122</v>
      </c>
      <c r="C24" s="67" t="s">
        <v>1074</v>
      </c>
      <c r="D24" s="67">
        <v>2</v>
      </c>
      <c r="E24" s="67">
        <v>2</v>
      </c>
      <c r="F24" s="67">
        <v>2</v>
      </c>
      <c r="G24" s="67">
        <v>2</v>
      </c>
      <c r="H24" s="67">
        <v>2</v>
      </c>
      <c r="I24" s="67">
        <v>2</v>
      </c>
      <c r="J24" s="67">
        <v>2</v>
      </c>
      <c r="K24" s="67">
        <v>2</v>
      </c>
      <c r="L24" s="67">
        <v>2</v>
      </c>
      <c r="M24" s="67">
        <v>2</v>
      </c>
      <c r="N24" s="67">
        <v>2</v>
      </c>
      <c r="O24" s="67">
        <v>2</v>
      </c>
    </row>
    <row r="25" spans="1:15" x14ac:dyDescent="0.25">
      <c r="A25" s="45" t="s">
        <v>1775</v>
      </c>
      <c r="B25" s="67" t="s">
        <v>1122</v>
      </c>
      <c r="C25" s="67" t="s">
        <v>1074</v>
      </c>
      <c r="D25" s="67">
        <v>1</v>
      </c>
      <c r="F25" s="67">
        <v>1</v>
      </c>
      <c r="H25" s="67">
        <v>1</v>
      </c>
      <c r="J25" s="67">
        <v>1</v>
      </c>
      <c r="L25" s="67">
        <v>1</v>
      </c>
      <c r="N25" s="67">
        <v>1</v>
      </c>
    </row>
    <row r="26" spans="1:15" x14ac:dyDescent="0.25">
      <c r="A26" s="45" t="s">
        <v>1776</v>
      </c>
      <c r="B26" s="67" t="s">
        <v>1084</v>
      </c>
      <c r="C26" s="67" t="s">
        <v>1088</v>
      </c>
      <c r="E26" s="67">
        <v>2</v>
      </c>
      <c r="H26" s="67">
        <v>2</v>
      </c>
      <c r="K26" s="67">
        <v>2</v>
      </c>
      <c r="N26" s="67">
        <v>2</v>
      </c>
    </row>
    <row r="27" spans="1:15" x14ac:dyDescent="0.25">
      <c r="A27" s="45" t="s">
        <v>1990</v>
      </c>
      <c r="B27" s="67" t="s">
        <v>1275</v>
      </c>
      <c r="C27" s="67" t="s">
        <v>1088</v>
      </c>
      <c r="D27" s="67">
        <v>1</v>
      </c>
      <c r="F27" s="67">
        <v>1</v>
      </c>
      <c r="H27" s="67">
        <v>1</v>
      </c>
      <c r="J27" s="67">
        <v>1</v>
      </c>
      <c r="L27" s="67">
        <v>1</v>
      </c>
      <c r="N27" s="67">
        <v>1</v>
      </c>
    </row>
    <row r="28" spans="1:15" x14ac:dyDescent="0.25">
      <c r="A28" s="45" t="s">
        <v>1080</v>
      </c>
      <c r="B28" s="67" t="s">
        <v>1078</v>
      </c>
      <c r="C28" s="67" t="s">
        <v>1074</v>
      </c>
      <c r="D28" s="67">
        <v>1</v>
      </c>
      <c r="E28" s="67">
        <v>1</v>
      </c>
      <c r="F28" s="67">
        <v>1</v>
      </c>
      <c r="G28" s="67">
        <v>1</v>
      </c>
      <c r="H28" s="67">
        <v>1</v>
      </c>
      <c r="I28" s="67">
        <v>1</v>
      </c>
      <c r="J28" s="67">
        <v>1</v>
      </c>
      <c r="K28" s="67">
        <v>1</v>
      </c>
      <c r="L28" s="67">
        <v>1</v>
      </c>
      <c r="M28" s="67">
        <v>1</v>
      </c>
      <c r="N28" s="67">
        <v>1</v>
      </c>
      <c r="O28" s="67">
        <v>1</v>
      </c>
    </row>
    <row r="29" spans="1:15" x14ac:dyDescent="0.25">
      <c r="A29" s="45" t="s">
        <v>1134</v>
      </c>
      <c r="B29" s="67" t="s">
        <v>1089</v>
      </c>
      <c r="C29" s="67" t="s">
        <v>1074</v>
      </c>
      <c r="D29" s="67">
        <v>1</v>
      </c>
      <c r="E29" s="67">
        <v>1</v>
      </c>
      <c r="F29" s="67">
        <v>1</v>
      </c>
      <c r="G29" s="67">
        <v>1</v>
      </c>
      <c r="H29" s="67">
        <v>1</v>
      </c>
      <c r="I29" s="67">
        <v>1</v>
      </c>
      <c r="J29" s="67">
        <v>1</v>
      </c>
      <c r="K29" s="67">
        <v>1</v>
      </c>
      <c r="L29" s="67">
        <v>1</v>
      </c>
      <c r="M29" s="67">
        <v>1</v>
      </c>
      <c r="N29" s="67">
        <v>1</v>
      </c>
      <c r="O29" s="67">
        <v>1</v>
      </c>
    </row>
    <row r="30" spans="1:15" x14ac:dyDescent="0.25">
      <c r="A30" s="45" t="s">
        <v>1099</v>
      </c>
      <c r="B30" s="67" t="s">
        <v>1100</v>
      </c>
      <c r="C30" s="67" t="s">
        <v>1074</v>
      </c>
      <c r="D30" s="67">
        <v>1</v>
      </c>
      <c r="E30" s="67">
        <v>1</v>
      </c>
      <c r="F30" s="67">
        <v>1</v>
      </c>
      <c r="G30" s="67">
        <v>1</v>
      </c>
      <c r="H30" s="67">
        <v>1</v>
      </c>
      <c r="I30" s="67">
        <v>1</v>
      </c>
      <c r="J30" s="67">
        <v>1</v>
      </c>
      <c r="K30" s="67">
        <v>1</v>
      </c>
      <c r="L30" s="67">
        <v>1</v>
      </c>
      <c r="M30" s="67">
        <v>1</v>
      </c>
      <c r="N30" s="67">
        <v>1</v>
      </c>
      <c r="O30" s="67">
        <v>1</v>
      </c>
    </row>
    <row r="31" spans="1:15" x14ac:dyDescent="0.25">
      <c r="A31" s="45" t="s">
        <v>1127</v>
      </c>
      <c r="B31" s="67" t="s">
        <v>1107</v>
      </c>
      <c r="C31" s="67" t="s">
        <v>1088</v>
      </c>
      <c r="D31" s="67">
        <v>1</v>
      </c>
      <c r="F31" s="67">
        <v>1</v>
      </c>
      <c r="H31" s="67">
        <v>1</v>
      </c>
      <c r="J31" s="67">
        <v>1</v>
      </c>
      <c r="L31" s="67">
        <v>1</v>
      </c>
      <c r="N31" s="67">
        <v>1</v>
      </c>
    </row>
    <row r="32" spans="1:15" x14ac:dyDescent="0.25">
      <c r="A32" s="45" t="s">
        <v>1184</v>
      </c>
      <c r="B32" s="67" t="s">
        <v>1133</v>
      </c>
      <c r="C32" s="67" t="s">
        <v>1088</v>
      </c>
      <c r="D32" s="67">
        <v>1</v>
      </c>
      <c r="F32" s="67">
        <v>1</v>
      </c>
      <c r="H32" s="67">
        <v>1</v>
      </c>
      <c r="J32" s="67">
        <v>1</v>
      </c>
      <c r="L32" s="67">
        <v>1</v>
      </c>
      <c r="N32" s="67">
        <v>1</v>
      </c>
    </row>
    <row r="33" spans="1:15" x14ac:dyDescent="0.25">
      <c r="A33" s="45" t="s">
        <v>1185</v>
      </c>
      <c r="B33" s="67" t="s">
        <v>1133</v>
      </c>
      <c r="C33" s="67" t="s">
        <v>1088</v>
      </c>
      <c r="D33" s="67">
        <v>1</v>
      </c>
      <c r="F33" s="67">
        <v>1</v>
      </c>
      <c r="H33" s="67">
        <v>1</v>
      </c>
      <c r="J33" s="67">
        <v>1</v>
      </c>
      <c r="L33" s="67">
        <v>1</v>
      </c>
      <c r="N33" s="67">
        <v>1</v>
      </c>
    </row>
    <row r="34" spans="1:15" x14ac:dyDescent="0.25">
      <c r="A34" s="45" t="s">
        <v>1186</v>
      </c>
      <c r="B34" s="67" t="s">
        <v>1187</v>
      </c>
      <c r="C34" s="67" t="s">
        <v>1074</v>
      </c>
      <c r="D34" s="67">
        <v>1</v>
      </c>
      <c r="E34" s="67">
        <v>1</v>
      </c>
      <c r="F34" s="67">
        <v>1</v>
      </c>
      <c r="G34" s="67">
        <v>1</v>
      </c>
      <c r="H34" s="67">
        <v>1</v>
      </c>
      <c r="I34" s="67">
        <v>1</v>
      </c>
      <c r="J34" s="67">
        <v>1</v>
      </c>
      <c r="K34" s="67">
        <v>1</v>
      </c>
      <c r="L34" s="67">
        <v>1</v>
      </c>
      <c r="M34" s="67">
        <v>1</v>
      </c>
      <c r="N34" s="67">
        <v>1</v>
      </c>
      <c r="O34" s="67">
        <v>1</v>
      </c>
    </row>
    <row r="35" spans="1:15" x14ac:dyDescent="0.25">
      <c r="A35" s="45" t="s">
        <v>1239</v>
      </c>
      <c r="B35" s="67" t="s">
        <v>1132</v>
      </c>
      <c r="C35" s="67" t="s">
        <v>1088</v>
      </c>
      <c r="D35" s="67">
        <v>3</v>
      </c>
      <c r="F35" s="67">
        <v>3</v>
      </c>
      <c r="H35" s="67">
        <v>3</v>
      </c>
      <c r="J35" s="67">
        <v>3</v>
      </c>
      <c r="L35" s="67">
        <v>3</v>
      </c>
      <c r="N35" s="67">
        <v>3</v>
      </c>
    </row>
    <row r="36" spans="1:15" x14ac:dyDescent="0.25">
      <c r="A36" s="45" t="s">
        <v>1240</v>
      </c>
      <c r="B36" s="67" t="s">
        <v>1133</v>
      </c>
      <c r="C36" s="67" t="s">
        <v>1088</v>
      </c>
      <c r="E36" s="67">
        <v>3</v>
      </c>
      <c r="G36" s="67">
        <v>3</v>
      </c>
      <c r="I36" s="67">
        <v>3</v>
      </c>
      <c r="K36" s="67">
        <v>3</v>
      </c>
      <c r="M36" s="67">
        <v>3</v>
      </c>
      <c r="O36" s="67">
        <v>3</v>
      </c>
    </row>
    <row r="37" spans="1:15" x14ac:dyDescent="0.25">
      <c r="A37" s="45" t="s">
        <v>1241</v>
      </c>
      <c r="B37" s="67" t="s">
        <v>1243</v>
      </c>
      <c r="C37" s="67" t="s">
        <v>1088</v>
      </c>
      <c r="E37" s="67">
        <v>5</v>
      </c>
      <c r="H37" s="67">
        <v>5</v>
      </c>
      <c r="K37" s="67">
        <v>5</v>
      </c>
      <c r="N37" s="67">
        <v>5</v>
      </c>
    </row>
    <row r="38" spans="1:15" x14ac:dyDescent="0.25">
      <c r="A38" s="45" t="s">
        <v>1242</v>
      </c>
      <c r="B38" s="67" t="s">
        <v>1244</v>
      </c>
      <c r="C38" s="67" t="s">
        <v>1088</v>
      </c>
      <c r="F38" s="67">
        <v>5</v>
      </c>
      <c r="I38" s="67">
        <v>5</v>
      </c>
      <c r="L38" s="67">
        <v>5</v>
      </c>
      <c r="O38" s="67">
        <v>5</v>
      </c>
    </row>
    <row r="39" spans="1:15" x14ac:dyDescent="0.25">
      <c r="A39" s="45" t="s">
        <v>1279</v>
      </c>
      <c r="B39" s="67" t="s">
        <v>1132</v>
      </c>
      <c r="C39" s="67" t="s">
        <v>1088</v>
      </c>
      <c r="D39" s="67">
        <v>2</v>
      </c>
      <c r="F39" s="67">
        <v>2</v>
      </c>
      <c r="H39" s="67">
        <v>2</v>
      </c>
      <c r="J39" s="67">
        <v>2</v>
      </c>
      <c r="L39" s="67">
        <v>2</v>
      </c>
      <c r="N39" s="67">
        <v>2</v>
      </c>
    </row>
    <row r="40" spans="1:15" x14ac:dyDescent="0.25">
      <c r="A40" s="45" t="s">
        <v>1280</v>
      </c>
      <c r="B40" s="67" t="s">
        <v>1133</v>
      </c>
      <c r="C40" s="67" t="s">
        <v>1088</v>
      </c>
      <c r="E40" s="67">
        <v>2</v>
      </c>
      <c r="G40" s="67">
        <v>2</v>
      </c>
      <c r="I40" s="67">
        <v>2</v>
      </c>
      <c r="K40" s="67">
        <v>2</v>
      </c>
      <c r="M40" s="67">
        <v>2</v>
      </c>
      <c r="O40" s="67">
        <v>2</v>
      </c>
    </row>
    <row r="41" spans="1:15" x14ac:dyDescent="0.25">
      <c r="A41" s="45" t="s">
        <v>1281</v>
      </c>
      <c r="B41" s="67" t="s">
        <v>1140</v>
      </c>
      <c r="C41" s="67" t="s">
        <v>1074</v>
      </c>
      <c r="D41" s="67">
        <v>1</v>
      </c>
      <c r="E41" s="67">
        <v>1</v>
      </c>
      <c r="F41" s="67">
        <v>1</v>
      </c>
      <c r="G41" s="67">
        <v>1</v>
      </c>
      <c r="H41" s="67">
        <v>1</v>
      </c>
      <c r="I41" s="67">
        <v>1</v>
      </c>
      <c r="J41" s="67">
        <v>1</v>
      </c>
      <c r="K41" s="67">
        <v>1</v>
      </c>
      <c r="L41" s="67">
        <v>1</v>
      </c>
      <c r="M41" s="67">
        <v>1</v>
      </c>
      <c r="N41" s="67">
        <v>1</v>
      </c>
      <c r="O41" s="67">
        <v>1</v>
      </c>
    </row>
    <row r="42" spans="1:15" x14ac:dyDescent="0.25">
      <c r="A42" s="45" t="s">
        <v>1282</v>
      </c>
      <c r="B42" s="67" t="s">
        <v>1140</v>
      </c>
      <c r="C42" s="67" t="s">
        <v>1074</v>
      </c>
      <c r="D42" s="67">
        <v>1</v>
      </c>
      <c r="E42" s="67">
        <v>1</v>
      </c>
      <c r="F42" s="67">
        <v>1</v>
      </c>
      <c r="G42" s="67">
        <v>1</v>
      </c>
      <c r="H42" s="67">
        <v>1</v>
      </c>
      <c r="I42" s="67">
        <v>1</v>
      </c>
      <c r="J42" s="67">
        <v>1</v>
      </c>
      <c r="K42" s="67">
        <v>1</v>
      </c>
      <c r="L42" s="67">
        <v>1</v>
      </c>
      <c r="M42" s="67">
        <v>1</v>
      </c>
      <c r="N42" s="67">
        <v>1</v>
      </c>
      <c r="O42" s="67">
        <v>1</v>
      </c>
    </row>
    <row r="43" spans="1:15" x14ac:dyDescent="0.25">
      <c r="A43" s="45" t="s">
        <v>1285</v>
      </c>
      <c r="B43" s="67" t="s">
        <v>1176</v>
      </c>
      <c r="C43" s="67" t="s">
        <v>1088</v>
      </c>
      <c r="F43" s="67">
        <v>1</v>
      </c>
      <c r="I43" s="67">
        <v>1</v>
      </c>
      <c r="L43" s="67">
        <v>1</v>
      </c>
      <c r="O43" s="67">
        <v>1</v>
      </c>
    </row>
    <row r="44" spans="1:15" x14ac:dyDescent="0.25">
      <c r="A44" s="45" t="s">
        <v>1283</v>
      </c>
      <c r="B44" s="67" t="s">
        <v>1113</v>
      </c>
      <c r="C44" s="67" t="s">
        <v>1074</v>
      </c>
      <c r="D44" s="67">
        <v>1</v>
      </c>
      <c r="E44" s="67">
        <v>1</v>
      </c>
      <c r="F44" s="67">
        <v>1</v>
      </c>
      <c r="G44" s="67">
        <v>1</v>
      </c>
      <c r="H44" s="67">
        <v>1</v>
      </c>
      <c r="I44" s="67">
        <v>1</v>
      </c>
      <c r="J44" s="67">
        <v>1</v>
      </c>
      <c r="K44" s="67">
        <v>1</v>
      </c>
      <c r="L44" s="67">
        <v>1</v>
      </c>
      <c r="M44" s="67">
        <v>1</v>
      </c>
      <c r="N44" s="67">
        <v>1</v>
      </c>
      <c r="O44" s="67">
        <v>1</v>
      </c>
    </row>
    <row r="45" spans="1:15" x14ac:dyDescent="0.25">
      <c r="A45" s="45" t="s">
        <v>1284</v>
      </c>
      <c r="B45" s="67" t="s">
        <v>1113</v>
      </c>
      <c r="C45" s="67" t="s">
        <v>1074</v>
      </c>
      <c r="D45" s="67">
        <v>1</v>
      </c>
      <c r="E45" s="67">
        <v>1</v>
      </c>
      <c r="F45" s="67">
        <v>1</v>
      </c>
      <c r="G45" s="67">
        <v>1</v>
      </c>
      <c r="H45" s="67">
        <v>1</v>
      </c>
      <c r="I45" s="67">
        <v>1</v>
      </c>
      <c r="J45" s="67">
        <v>1</v>
      </c>
      <c r="K45" s="67">
        <v>1</v>
      </c>
      <c r="L45" s="67">
        <v>1</v>
      </c>
      <c r="M45" s="67">
        <v>1</v>
      </c>
      <c r="N45" s="67">
        <v>1</v>
      </c>
      <c r="O45" s="67">
        <v>1</v>
      </c>
    </row>
    <row r="46" spans="1:15" x14ac:dyDescent="0.25">
      <c r="A46" s="45" t="s">
        <v>1286</v>
      </c>
      <c r="B46" s="67" t="s">
        <v>1153</v>
      </c>
      <c r="C46" s="67" t="s">
        <v>1074</v>
      </c>
      <c r="E46" s="67">
        <v>2</v>
      </c>
      <c r="G46" s="67">
        <v>2</v>
      </c>
      <c r="I46" s="67">
        <v>2</v>
      </c>
      <c r="K46" s="67">
        <v>2</v>
      </c>
      <c r="M46" s="67">
        <v>2</v>
      </c>
      <c r="O46" s="67">
        <v>2</v>
      </c>
    </row>
    <row r="47" spans="1:15" x14ac:dyDescent="0.25">
      <c r="A47" s="45" t="s">
        <v>1218</v>
      </c>
      <c r="B47" s="67" t="s">
        <v>1121</v>
      </c>
      <c r="C47" s="67" t="s">
        <v>1074</v>
      </c>
      <c r="D47" s="67">
        <v>2</v>
      </c>
      <c r="E47" s="67">
        <v>2</v>
      </c>
      <c r="F47" s="67">
        <v>2</v>
      </c>
      <c r="G47" s="67">
        <v>2</v>
      </c>
      <c r="H47" s="67">
        <v>2</v>
      </c>
      <c r="I47" s="67">
        <v>2</v>
      </c>
      <c r="J47" s="67">
        <v>2</v>
      </c>
      <c r="K47" s="67">
        <v>2</v>
      </c>
      <c r="L47" s="67">
        <v>2</v>
      </c>
      <c r="M47" s="67">
        <v>2</v>
      </c>
      <c r="N47" s="67">
        <v>2</v>
      </c>
      <c r="O47" s="67">
        <v>2</v>
      </c>
    </row>
    <row r="48" spans="1:15" x14ac:dyDescent="0.25">
      <c r="A48" s="45" t="s">
        <v>1219</v>
      </c>
      <c r="B48" s="67" t="s">
        <v>1121</v>
      </c>
      <c r="C48" s="67" t="s">
        <v>1074</v>
      </c>
      <c r="D48" s="67">
        <v>2</v>
      </c>
      <c r="E48" s="67">
        <v>2</v>
      </c>
      <c r="F48" s="67">
        <v>2</v>
      </c>
      <c r="G48" s="67">
        <v>2</v>
      </c>
      <c r="H48" s="67">
        <v>2</v>
      </c>
      <c r="I48" s="67">
        <v>2</v>
      </c>
      <c r="J48" s="67">
        <v>2</v>
      </c>
      <c r="K48" s="67">
        <v>2</v>
      </c>
      <c r="L48" s="67">
        <v>2</v>
      </c>
      <c r="M48" s="67">
        <v>2</v>
      </c>
      <c r="N48" s="67">
        <v>2</v>
      </c>
      <c r="O48" s="67">
        <v>2</v>
      </c>
    </row>
    <row r="49" spans="1:15" x14ac:dyDescent="0.25">
      <c r="A49" s="45" t="s">
        <v>1220</v>
      </c>
      <c r="B49" s="67" t="s">
        <v>1221</v>
      </c>
      <c r="C49" s="67" t="s">
        <v>1088</v>
      </c>
      <c r="E49" s="67">
        <v>1</v>
      </c>
      <c r="G49" s="67">
        <v>1</v>
      </c>
      <c r="I49" s="67">
        <v>1</v>
      </c>
      <c r="K49" s="67">
        <v>1</v>
      </c>
      <c r="M49" s="67">
        <v>1</v>
      </c>
      <c r="O49" s="67">
        <v>1</v>
      </c>
    </row>
    <row r="50" spans="1:15" x14ac:dyDescent="0.25">
      <c r="A50" s="45" t="s">
        <v>1091</v>
      </c>
      <c r="B50" s="67" t="s">
        <v>1093</v>
      </c>
      <c r="C50" s="67" t="s">
        <v>1074</v>
      </c>
      <c r="D50" s="67">
        <v>1</v>
      </c>
      <c r="E50" s="67">
        <v>1</v>
      </c>
      <c r="F50" s="67">
        <v>1</v>
      </c>
      <c r="G50" s="67">
        <v>1</v>
      </c>
      <c r="H50" s="67">
        <v>1</v>
      </c>
      <c r="I50" s="67">
        <v>1</v>
      </c>
      <c r="J50" s="67">
        <v>1</v>
      </c>
      <c r="K50" s="67">
        <v>1</v>
      </c>
      <c r="L50" s="67">
        <v>1</v>
      </c>
      <c r="M50" s="67">
        <v>1</v>
      </c>
      <c r="N50" s="67">
        <v>1</v>
      </c>
      <c r="O50" s="67">
        <v>1</v>
      </c>
    </row>
    <row r="51" spans="1:15" x14ac:dyDescent="0.25">
      <c r="A51" s="45" t="s">
        <v>1092</v>
      </c>
      <c r="B51" s="67" t="s">
        <v>1093</v>
      </c>
      <c r="C51" s="67" t="s">
        <v>1074</v>
      </c>
      <c r="D51" s="67">
        <v>1</v>
      </c>
      <c r="E51" s="67">
        <v>1</v>
      </c>
      <c r="F51" s="67">
        <v>1</v>
      </c>
      <c r="G51" s="67">
        <v>1</v>
      </c>
      <c r="H51" s="67">
        <v>1</v>
      </c>
      <c r="I51" s="67">
        <v>1</v>
      </c>
      <c r="J51" s="67">
        <v>1</v>
      </c>
      <c r="K51" s="67">
        <v>1</v>
      </c>
      <c r="L51" s="67">
        <v>1</v>
      </c>
      <c r="M51" s="67">
        <v>1</v>
      </c>
      <c r="N51" s="67">
        <v>1</v>
      </c>
      <c r="O51" s="67">
        <v>1</v>
      </c>
    </row>
    <row r="52" spans="1:15" x14ac:dyDescent="0.25">
      <c r="A52" s="45" t="s">
        <v>1110</v>
      </c>
      <c r="B52" s="67" t="s">
        <v>1107</v>
      </c>
      <c r="C52" s="67" t="s">
        <v>1088</v>
      </c>
      <c r="D52" s="67">
        <v>1</v>
      </c>
      <c r="F52" s="67">
        <v>1</v>
      </c>
      <c r="H52" s="67">
        <v>1</v>
      </c>
      <c r="J52" s="67">
        <v>1</v>
      </c>
      <c r="L52" s="67">
        <v>1</v>
      </c>
      <c r="N52" s="67">
        <v>1</v>
      </c>
    </row>
    <row r="53" spans="1:15" x14ac:dyDescent="0.25">
      <c r="A53" s="45" t="s">
        <v>1111</v>
      </c>
      <c r="B53" s="67" t="s">
        <v>1107</v>
      </c>
      <c r="C53" s="67" t="s">
        <v>1088</v>
      </c>
      <c r="D53" s="67">
        <v>1</v>
      </c>
      <c r="F53" s="67">
        <v>1</v>
      </c>
      <c r="H53" s="67">
        <v>1</v>
      </c>
      <c r="J53" s="67">
        <v>1</v>
      </c>
      <c r="L53" s="67">
        <v>1</v>
      </c>
      <c r="N53" s="67">
        <v>1</v>
      </c>
    </row>
    <row r="54" spans="1:15" x14ac:dyDescent="0.25">
      <c r="A54" s="45" t="s">
        <v>1112</v>
      </c>
      <c r="B54" s="67" t="s">
        <v>1113</v>
      </c>
      <c r="C54" s="67" t="s">
        <v>1074</v>
      </c>
      <c r="D54" s="67">
        <v>1</v>
      </c>
      <c r="E54" s="67">
        <v>1</v>
      </c>
      <c r="F54" s="67">
        <v>1</v>
      </c>
      <c r="G54" s="67">
        <v>1</v>
      </c>
      <c r="H54" s="67">
        <v>1</v>
      </c>
      <c r="I54" s="67">
        <v>1</v>
      </c>
      <c r="J54" s="67">
        <v>1</v>
      </c>
      <c r="K54" s="67">
        <v>1</v>
      </c>
      <c r="L54" s="67">
        <v>1</v>
      </c>
      <c r="M54" s="67">
        <v>1</v>
      </c>
      <c r="N54" s="67">
        <v>1</v>
      </c>
      <c r="O54" s="67">
        <v>1</v>
      </c>
    </row>
    <row r="55" spans="1:15" x14ac:dyDescent="0.25">
      <c r="A55" s="45" t="s">
        <v>1235</v>
      </c>
      <c r="B55" s="67" t="s">
        <v>1140</v>
      </c>
      <c r="C55" s="67" t="s">
        <v>1074</v>
      </c>
      <c r="D55" s="67">
        <v>3</v>
      </c>
      <c r="G55" s="67">
        <v>3</v>
      </c>
      <c r="J55" s="67">
        <v>3</v>
      </c>
      <c r="M55" s="67">
        <v>3</v>
      </c>
    </row>
    <row r="56" spans="1:15" x14ac:dyDescent="0.25">
      <c r="A56" s="45" t="s">
        <v>1236</v>
      </c>
      <c r="B56" s="67" t="s">
        <v>1140</v>
      </c>
      <c r="C56" s="67" t="s">
        <v>1074</v>
      </c>
      <c r="D56" s="67">
        <v>2</v>
      </c>
      <c r="E56" s="67">
        <v>2</v>
      </c>
      <c r="F56" s="67">
        <v>2</v>
      </c>
      <c r="G56" s="67">
        <v>2</v>
      </c>
      <c r="H56" s="67">
        <v>2</v>
      </c>
      <c r="I56" s="67">
        <v>2</v>
      </c>
      <c r="J56" s="67">
        <v>2</v>
      </c>
      <c r="K56" s="67">
        <v>2</v>
      </c>
      <c r="L56" s="67">
        <v>2</v>
      </c>
      <c r="M56" s="67">
        <v>2</v>
      </c>
      <c r="N56" s="67">
        <v>2</v>
      </c>
      <c r="O56" s="67">
        <v>2</v>
      </c>
    </row>
    <row r="57" spans="1:15" x14ac:dyDescent="0.25">
      <c r="A57" s="45" t="s">
        <v>1237</v>
      </c>
      <c r="B57" s="67" t="s">
        <v>1157</v>
      </c>
      <c r="C57" s="67" t="s">
        <v>1088</v>
      </c>
      <c r="E57" s="67">
        <v>2</v>
      </c>
      <c r="G57" s="67">
        <v>2</v>
      </c>
      <c r="I57" s="67">
        <v>2</v>
      </c>
      <c r="K57" s="67">
        <v>2</v>
      </c>
      <c r="M57" s="67">
        <v>2</v>
      </c>
      <c r="O57" s="67">
        <v>2</v>
      </c>
    </row>
    <row r="58" spans="1:15" x14ac:dyDescent="0.25">
      <c r="A58" s="45" t="s">
        <v>1230</v>
      </c>
      <c r="B58" s="67" t="s">
        <v>1140</v>
      </c>
      <c r="C58" s="67" t="s">
        <v>1074</v>
      </c>
      <c r="D58" s="67">
        <v>2</v>
      </c>
      <c r="E58" s="67">
        <v>2</v>
      </c>
      <c r="F58" s="67">
        <v>2</v>
      </c>
      <c r="G58" s="67">
        <v>2</v>
      </c>
      <c r="H58" s="67">
        <v>2</v>
      </c>
      <c r="I58" s="67">
        <v>2</v>
      </c>
      <c r="J58" s="67">
        <v>2</v>
      </c>
      <c r="K58" s="67">
        <v>2</v>
      </c>
      <c r="L58" s="67">
        <v>2</v>
      </c>
      <c r="M58" s="67">
        <v>2</v>
      </c>
      <c r="N58" s="67">
        <v>2</v>
      </c>
      <c r="O58" s="67">
        <v>2</v>
      </c>
    </row>
    <row r="59" spans="1:15" x14ac:dyDescent="0.25">
      <c r="A59" s="45" t="s">
        <v>1231</v>
      </c>
      <c r="B59" s="67" t="s">
        <v>1140</v>
      </c>
      <c r="C59" s="67" t="s">
        <v>1074</v>
      </c>
      <c r="D59" s="67">
        <v>2</v>
      </c>
      <c r="E59" s="67">
        <v>2</v>
      </c>
      <c r="F59" s="67">
        <v>2</v>
      </c>
      <c r="G59" s="67">
        <v>2</v>
      </c>
      <c r="H59" s="67">
        <v>2</v>
      </c>
      <c r="I59" s="67">
        <v>2</v>
      </c>
      <c r="J59" s="67">
        <v>2</v>
      </c>
      <c r="K59" s="67">
        <v>2</v>
      </c>
      <c r="L59" s="67">
        <v>2</v>
      </c>
      <c r="M59" s="67">
        <v>2</v>
      </c>
      <c r="N59" s="67">
        <v>2</v>
      </c>
      <c r="O59" s="67">
        <v>2</v>
      </c>
    </row>
    <row r="60" spans="1:15" x14ac:dyDescent="0.25">
      <c r="A60" s="45" t="s">
        <v>1232</v>
      </c>
      <c r="B60" s="67" t="s">
        <v>1233</v>
      </c>
      <c r="C60" s="67" t="s">
        <v>1088</v>
      </c>
      <c r="E60" s="67">
        <v>4</v>
      </c>
      <c r="H60" s="67">
        <v>4</v>
      </c>
      <c r="K60" s="67">
        <v>4</v>
      </c>
      <c r="N60" s="67">
        <v>4</v>
      </c>
    </row>
    <row r="61" spans="1:15" x14ac:dyDescent="0.25">
      <c r="A61" s="45" t="s">
        <v>1118</v>
      </c>
      <c r="B61" s="67" t="s">
        <v>1121</v>
      </c>
      <c r="C61" s="67" t="s">
        <v>1074</v>
      </c>
      <c r="D61" s="67">
        <v>1</v>
      </c>
      <c r="E61" s="67">
        <v>1</v>
      </c>
      <c r="F61" s="67">
        <v>1</v>
      </c>
      <c r="G61" s="67">
        <v>1</v>
      </c>
      <c r="H61" s="67">
        <v>1</v>
      </c>
      <c r="I61" s="67">
        <v>1</v>
      </c>
      <c r="J61" s="67">
        <v>1</v>
      </c>
      <c r="K61" s="67">
        <v>1</v>
      </c>
      <c r="L61" s="67">
        <v>1</v>
      </c>
      <c r="M61" s="67">
        <v>1</v>
      </c>
      <c r="N61" s="67">
        <v>1</v>
      </c>
      <c r="O61" s="67">
        <v>1</v>
      </c>
    </row>
    <row r="62" spans="1:15" x14ac:dyDescent="0.25">
      <c r="A62" s="45" t="s">
        <v>1119</v>
      </c>
      <c r="B62" s="67" t="s">
        <v>1121</v>
      </c>
      <c r="C62" s="67" t="s">
        <v>1074</v>
      </c>
      <c r="D62" s="67">
        <v>1</v>
      </c>
      <c r="E62" s="67">
        <v>1</v>
      </c>
      <c r="F62" s="67">
        <v>1</v>
      </c>
      <c r="G62" s="67">
        <v>1</v>
      </c>
      <c r="H62" s="67">
        <v>1</v>
      </c>
      <c r="I62" s="67">
        <v>1</v>
      </c>
      <c r="J62" s="67">
        <v>1</v>
      </c>
      <c r="K62" s="67">
        <v>1</v>
      </c>
      <c r="L62" s="67">
        <v>1</v>
      </c>
      <c r="M62" s="67">
        <v>1</v>
      </c>
      <c r="N62" s="67">
        <v>1</v>
      </c>
      <c r="O62" s="67">
        <v>1</v>
      </c>
    </row>
    <row r="63" spans="1:15" x14ac:dyDescent="0.25">
      <c r="A63" s="45" t="s">
        <v>1120</v>
      </c>
      <c r="B63" s="67" t="s">
        <v>1107</v>
      </c>
      <c r="C63" s="67" t="s">
        <v>1088</v>
      </c>
      <c r="D63" s="67">
        <v>1</v>
      </c>
      <c r="F63" s="67">
        <v>1</v>
      </c>
      <c r="H63" s="67">
        <v>1</v>
      </c>
      <c r="J63" s="67">
        <v>1</v>
      </c>
      <c r="L63" s="67">
        <v>1</v>
      </c>
      <c r="N63" s="67">
        <v>1</v>
      </c>
    </row>
    <row r="64" spans="1:15" x14ac:dyDescent="0.25">
      <c r="A64" s="45" t="s">
        <v>1148</v>
      </c>
      <c r="B64" s="67" t="s">
        <v>1107</v>
      </c>
      <c r="C64" s="67" t="s">
        <v>1088</v>
      </c>
      <c r="D64" s="67">
        <v>1</v>
      </c>
      <c r="E64" s="67">
        <v>1</v>
      </c>
      <c r="F64" s="67">
        <v>1</v>
      </c>
      <c r="G64" s="67">
        <v>1</v>
      </c>
      <c r="H64" s="67">
        <v>1</v>
      </c>
      <c r="I64" s="67">
        <v>1</v>
      </c>
      <c r="J64" s="67">
        <v>1</v>
      </c>
      <c r="K64" s="67">
        <v>1</v>
      </c>
      <c r="L64" s="67">
        <v>1</v>
      </c>
      <c r="M64" s="67">
        <v>1</v>
      </c>
      <c r="N64" s="67">
        <v>1</v>
      </c>
      <c r="O64" s="67">
        <v>1</v>
      </c>
    </row>
    <row r="65" spans="1:15" x14ac:dyDescent="0.25">
      <c r="A65" s="45" t="s">
        <v>1173</v>
      </c>
      <c r="B65" s="67" t="s">
        <v>1140</v>
      </c>
      <c r="C65" s="67" t="s">
        <v>1074</v>
      </c>
      <c r="D65" s="67">
        <v>1</v>
      </c>
      <c r="E65" s="67">
        <v>1</v>
      </c>
      <c r="F65" s="67">
        <v>1</v>
      </c>
      <c r="G65" s="67">
        <v>1</v>
      </c>
      <c r="H65" s="67">
        <v>1</v>
      </c>
      <c r="I65" s="67">
        <v>1</v>
      </c>
      <c r="J65" s="67">
        <v>1</v>
      </c>
      <c r="K65" s="67">
        <v>1</v>
      </c>
      <c r="L65" s="67">
        <v>1</v>
      </c>
      <c r="M65" s="67">
        <v>1</v>
      </c>
      <c r="N65" s="67">
        <v>1</v>
      </c>
      <c r="O65" s="67">
        <v>1</v>
      </c>
    </row>
    <row r="66" spans="1:15" x14ac:dyDescent="0.25">
      <c r="A66" s="45" t="s">
        <v>1174</v>
      </c>
      <c r="B66" s="67" t="s">
        <v>1140</v>
      </c>
      <c r="C66" s="67" t="s">
        <v>1074</v>
      </c>
      <c r="D66" s="67">
        <v>1</v>
      </c>
      <c r="E66" s="67">
        <v>1</v>
      </c>
      <c r="F66" s="67">
        <v>1</v>
      </c>
      <c r="G66" s="67">
        <v>1</v>
      </c>
      <c r="H66" s="67">
        <v>1</v>
      </c>
      <c r="I66" s="67">
        <v>1</v>
      </c>
      <c r="J66" s="67">
        <v>1</v>
      </c>
      <c r="K66" s="67">
        <v>1</v>
      </c>
      <c r="L66" s="67">
        <v>1</v>
      </c>
      <c r="M66" s="67">
        <v>1</v>
      </c>
      <c r="N66" s="67">
        <v>1</v>
      </c>
      <c r="O66" s="67">
        <v>1</v>
      </c>
    </row>
    <row r="67" spans="1:15" x14ac:dyDescent="0.25">
      <c r="A67" s="45" t="s">
        <v>1175</v>
      </c>
      <c r="B67" s="67" t="s">
        <v>1176</v>
      </c>
      <c r="C67" s="67" t="s">
        <v>1088</v>
      </c>
      <c r="F67" s="67">
        <v>1</v>
      </c>
      <c r="I67" s="67">
        <v>1</v>
      </c>
      <c r="L67" s="67">
        <v>1</v>
      </c>
      <c r="O67" s="67">
        <v>1</v>
      </c>
    </row>
    <row r="68" spans="1:15" x14ac:dyDescent="0.25">
      <c r="A68" s="45" t="s">
        <v>1216</v>
      </c>
      <c r="B68" s="67" t="s">
        <v>1122</v>
      </c>
      <c r="C68" s="67" t="s">
        <v>1074</v>
      </c>
      <c r="D68" s="67">
        <v>1</v>
      </c>
      <c r="E68" s="67">
        <v>1</v>
      </c>
      <c r="F68" s="67">
        <v>1</v>
      </c>
      <c r="G68" s="67">
        <v>1</v>
      </c>
      <c r="H68" s="67">
        <v>1</v>
      </c>
      <c r="I68" s="67">
        <v>1</v>
      </c>
      <c r="J68" s="67">
        <v>1</v>
      </c>
      <c r="K68" s="67">
        <v>1</v>
      </c>
      <c r="L68" s="67">
        <v>1</v>
      </c>
      <c r="M68" s="67">
        <v>1</v>
      </c>
      <c r="N68" s="67">
        <v>1</v>
      </c>
      <c r="O68" s="67">
        <v>1</v>
      </c>
    </row>
    <row r="69" spans="1:15" x14ac:dyDescent="0.25">
      <c r="A69" s="45" t="s">
        <v>1124</v>
      </c>
      <c r="B69" s="67" t="s">
        <v>1089</v>
      </c>
      <c r="C69" s="67" t="s">
        <v>1074</v>
      </c>
      <c r="D69" s="67">
        <v>1</v>
      </c>
      <c r="E69" s="67">
        <v>1</v>
      </c>
      <c r="F69" s="67">
        <v>1</v>
      </c>
      <c r="G69" s="67">
        <v>1</v>
      </c>
      <c r="H69" s="67">
        <v>1</v>
      </c>
      <c r="I69" s="67">
        <v>1</v>
      </c>
      <c r="J69" s="67">
        <v>1</v>
      </c>
      <c r="K69" s="67">
        <v>1</v>
      </c>
      <c r="L69" s="67">
        <v>1</v>
      </c>
      <c r="M69" s="67">
        <v>1</v>
      </c>
      <c r="N69" s="67">
        <v>1</v>
      </c>
      <c r="O69" s="67">
        <v>1</v>
      </c>
    </row>
    <row r="70" spans="1:15" x14ac:dyDescent="0.25">
      <c r="A70" s="45" t="s">
        <v>1781</v>
      </c>
      <c r="B70" s="67" t="s">
        <v>1782</v>
      </c>
      <c r="C70" s="67" t="s">
        <v>1074</v>
      </c>
      <c r="D70" s="67">
        <v>2</v>
      </c>
      <c r="E70" s="67">
        <v>2</v>
      </c>
      <c r="F70" s="67">
        <v>2</v>
      </c>
      <c r="G70" s="67">
        <v>2</v>
      </c>
      <c r="H70" s="67">
        <v>2</v>
      </c>
      <c r="I70" s="67">
        <v>2</v>
      </c>
      <c r="J70" s="67">
        <v>2</v>
      </c>
      <c r="K70" s="67">
        <v>2</v>
      </c>
      <c r="L70" s="67">
        <v>2</v>
      </c>
      <c r="M70" s="67">
        <v>2</v>
      </c>
      <c r="N70" s="67">
        <v>2</v>
      </c>
      <c r="O70" s="67">
        <v>2</v>
      </c>
    </row>
    <row r="71" spans="1:15" x14ac:dyDescent="0.25">
      <c r="A71" s="45" t="s">
        <v>1072</v>
      </c>
      <c r="B71" s="67" t="s">
        <v>1079</v>
      </c>
      <c r="C71" s="67" t="s">
        <v>1074</v>
      </c>
      <c r="D71" s="67">
        <v>1</v>
      </c>
      <c r="E71" s="67">
        <v>1</v>
      </c>
      <c r="F71" s="67">
        <v>1</v>
      </c>
      <c r="G71" s="67">
        <v>1</v>
      </c>
      <c r="H71" s="67">
        <v>1</v>
      </c>
      <c r="I71" s="67">
        <v>1</v>
      </c>
      <c r="J71" s="67">
        <v>1</v>
      </c>
      <c r="K71" s="67">
        <v>1</v>
      </c>
      <c r="L71" s="67">
        <v>1</v>
      </c>
      <c r="M71" s="67">
        <v>1</v>
      </c>
      <c r="N71" s="67">
        <v>1</v>
      </c>
      <c r="O71" s="67">
        <v>1</v>
      </c>
    </row>
    <row r="72" spans="1:15" x14ac:dyDescent="0.25">
      <c r="A72" s="45" t="s">
        <v>1073</v>
      </c>
      <c r="B72" s="67" t="s">
        <v>1079</v>
      </c>
      <c r="C72" s="67" t="s">
        <v>1074</v>
      </c>
      <c r="D72" s="67">
        <v>1</v>
      </c>
      <c r="E72" s="67">
        <v>1</v>
      </c>
      <c r="F72" s="67">
        <v>1</v>
      </c>
      <c r="G72" s="67">
        <v>1</v>
      </c>
      <c r="H72" s="67">
        <v>1</v>
      </c>
      <c r="I72" s="67">
        <v>1</v>
      </c>
      <c r="J72" s="67">
        <v>1</v>
      </c>
      <c r="K72" s="67">
        <v>1</v>
      </c>
      <c r="L72" s="67">
        <v>1</v>
      </c>
      <c r="M72" s="67">
        <v>1</v>
      </c>
      <c r="N72" s="67">
        <v>1</v>
      </c>
      <c r="O72" s="67">
        <v>1</v>
      </c>
    </row>
    <row r="73" spans="1:15" x14ac:dyDescent="0.25">
      <c r="A73" s="45" t="s">
        <v>1082</v>
      </c>
      <c r="B73" s="67" t="s">
        <v>1084</v>
      </c>
      <c r="C73" s="67" t="s">
        <v>1088</v>
      </c>
      <c r="D73" s="67">
        <v>1</v>
      </c>
      <c r="F73" s="67">
        <v>1</v>
      </c>
      <c r="H73" s="67">
        <v>1</v>
      </c>
      <c r="J73" s="67">
        <v>1</v>
      </c>
      <c r="L73" s="67">
        <v>1</v>
      </c>
      <c r="N73" s="67">
        <v>1</v>
      </c>
    </row>
    <row r="74" spans="1:15" x14ac:dyDescent="0.25">
      <c r="A74" s="45" t="s">
        <v>1083</v>
      </c>
      <c r="B74" s="67" t="s">
        <v>1084</v>
      </c>
      <c r="C74" s="67" t="s">
        <v>1088</v>
      </c>
      <c r="D74" s="67">
        <v>1</v>
      </c>
      <c r="F74" s="67">
        <v>1</v>
      </c>
      <c r="H74" s="67">
        <v>1</v>
      </c>
      <c r="J74" s="67">
        <v>1</v>
      </c>
      <c r="L74" s="67">
        <v>1</v>
      </c>
      <c r="N74" s="67">
        <v>1</v>
      </c>
    </row>
    <row r="75" spans="1:15" x14ac:dyDescent="0.25">
      <c r="A75" s="45" t="s">
        <v>1268</v>
      </c>
      <c r="B75" s="67" t="s">
        <v>1249</v>
      </c>
      <c r="C75" s="67" t="s">
        <v>1088</v>
      </c>
      <c r="D75" s="67">
        <v>2</v>
      </c>
      <c r="F75" s="67">
        <v>2</v>
      </c>
      <c r="H75" s="67">
        <v>2</v>
      </c>
      <c r="J75" s="67">
        <v>2</v>
      </c>
      <c r="L75" s="67">
        <v>2</v>
      </c>
      <c r="N75" s="67">
        <v>2</v>
      </c>
    </row>
    <row r="76" spans="1:15" x14ac:dyDescent="0.25">
      <c r="A76" s="45" t="s">
        <v>1269</v>
      </c>
      <c r="B76" s="67" t="s">
        <v>1249</v>
      </c>
      <c r="C76" s="67" t="s">
        <v>1088</v>
      </c>
      <c r="D76" s="67">
        <v>2</v>
      </c>
      <c r="F76" s="67">
        <v>2</v>
      </c>
      <c r="H76" s="67">
        <v>2</v>
      </c>
      <c r="J76" s="67">
        <v>2</v>
      </c>
      <c r="L76" s="67">
        <v>2</v>
      </c>
      <c r="N76" s="67">
        <v>2</v>
      </c>
    </row>
    <row r="77" spans="1:15" x14ac:dyDescent="0.25">
      <c r="A77" s="45" t="s">
        <v>1270</v>
      </c>
      <c r="B77" s="67" t="s">
        <v>1162</v>
      </c>
      <c r="C77" s="67" t="s">
        <v>1074</v>
      </c>
      <c r="D77" s="67">
        <v>3</v>
      </c>
      <c r="E77" s="67">
        <v>3</v>
      </c>
      <c r="F77" s="67">
        <v>3</v>
      </c>
      <c r="G77" s="67">
        <v>3</v>
      </c>
      <c r="H77" s="67">
        <v>3</v>
      </c>
      <c r="I77" s="67">
        <v>3</v>
      </c>
      <c r="J77" s="67">
        <v>3</v>
      </c>
      <c r="K77" s="67">
        <v>3</v>
      </c>
      <c r="L77" s="67">
        <v>3</v>
      </c>
      <c r="M77" s="67">
        <v>3</v>
      </c>
      <c r="N77" s="67">
        <v>3</v>
      </c>
      <c r="O77" s="67">
        <v>3</v>
      </c>
    </row>
    <row r="78" spans="1:15" x14ac:dyDescent="0.25">
      <c r="A78" s="45" t="s">
        <v>1789</v>
      </c>
      <c r="B78" s="67" t="s">
        <v>1122</v>
      </c>
      <c r="C78" s="67" t="s">
        <v>1074</v>
      </c>
      <c r="D78" s="67">
        <v>2</v>
      </c>
      <c r="F78" s="67">
        <v>2</v>
      </c>
      <c r="H78" s="67">
        <v>2</v>
      </c>
      <c r="J78" s="67">
        <v>2</v>
      </c>
      <c r="L78" s="67">
        <v>2</v>
      </c>
      <c r="N78" s="67">
        <v>2</v>
      </c>
    </row>
    <row r="79" spans="1:15" x14ac:dyDescent="0.25">
      <c r="A79" s="45" t="s">
        <v>1790</v>
      </c>
      <c r="B79" s="67" t="s">
        <v>1122</v>
      </c>
      <c r="C79" s="67" t="s">
        <v>1074</v>
      </c>
      <c r="D79" s="67">
        <v>2</v>
      </c>
      <c r="F79" s="67">
        <v>2</v>
      </c>
      <c r="H79" s="67">
        <v>2</v>
      </c>
      <c r="J79" s="67">
        <v>2</v>
      </c>
      <c r="L79" s="67">
        <v>2</v>
      </c>
      <c r="N79" s="67">
        <v>2</v>
      </c>
    </row>
    <row r="80" spans="1:15" x14ac:dyDescent="0.25">
      <c r="A80" s="45" t="s">
        <v>1791</v>
      </c>
      <c r="B80" s="67" t="s">
        <v>1084</v>
      </c>
      <c r="C80" s="67" t="s">
        <v>1088</v>
      </c>
      <c r="E80" s="67">
        <v>2</v>
      </c>
      <c r="G80" s="67">
        <v>2</v>
      </c>
      <c r="I80" s="67">
        <v>2</v>
      </c>
      <c r="K80" s="67">
        <v>2</v>
      </c>
      <c r="M80" s="67">
        <v>2</v>
      </c>
      <c r="O80" s="67">
        <v>2</v>
      </c>
    </row>
    <row r="81" spans="1:15" x14ac:dyDescent="0.25">
      <c r="A81" s="45" t="s">
        <v>1076</v>
      </c>
      <c r="B81" s="67" t="s">
        <v>1122</v>
      </c>
      <c r="C81" s="67" t="s">
        <v>1074</v>
      </c>
      <c r="D81" s="67">
        <v>1</v>
      </c>
      <c r="E81" s="67">
        <v>1</v>
      </c>
      <c r="F81" s="67">
        <v>1</v>
      </c>
      <c r="G81" s="67">
        <v>1</v>
      </c>
      <c r="H81" s="67">
        <v>1</v>
      </c>
      <c r="I81" s="67">
        <v>1</v>
      </c>
      <c r="J81" s="67">
        <v>1</v>
      </c>
      <c r="K81" s="67">
        <v>1</v>
      </c>
      <c r="L81" s="67">
        <v>1</v>
      </c>
      <c r="M81" s="67">
        <v>1</v>
      </c>
      <c r="N81" s="67">
        <v>1</v>
      </c>
      <c r="O81" s="67">
        <v>1</v>
      </c>
    </row>
    <row r="82" spans="1:15" x14ac:dyDescent="0.25">
      <c r="A82" s="45" t="s">
        <v>1075</v>
      </c>
      <c r="B82" s="67" t="s">
        <v>1122</v>
      </c>
      <c r="C82" s="67" t="s">
        <v>1074</v>
      </c>
      <c r="D82" s="67">
        <v>1</v>
      </c>
      <c r="E82" s="67">
        <v>1</v>
      </c>
      <c r="F82" s="67">
        <v>1</v>
      </c>
      <c r="G82" s="67">
        <v>1</v>
      </c>
      <c r="H82" s="67">
        <v>1</v>
      </c>
      <c r="I82" s="67">
        <v>1</v>
      </c>
      <c r="J82" s="67">
        <v>1</v>
      </c>
      <c r="K82" s="67">
        <v>1</v>
      </c>
      <c r="L82" s="67">
        <v>1</v>
      </c>
      <c r="M82" s="67">
        <v>1</v>
      </c>
      <c r="N82" s="67">
        <v>1</v>
      </c>
      <c r="O82" s="67">
        <v>1</v>
      </c>
    </row>
    <row r="83" spans="1:15" x14ac:dyDescent="0.25">
      <c r="A83" s="45" t="s">
        <v>1796</v>
      </c>
      <c r="B83" s="67" t="s">
        <v>1084</v>
      </c>
      <c r="C83" s="67" t="s">
        <v>1088</v>
      </c>
      <c r="D83" s="67">
        <v>2</v>
      </c>
      <c r="E83" s="67">
        <v>2</v>
      </c>
      <c r="F83" s="67">
        <v>2</v>
      </c>
      <c r="G83" s="67">
        <v>2</v>
      </c>
      <c r="H83" s="67">
        <v>2</v>
      </c>
      <c r="I83" s="67">
        <v>2</v>
      </c>
      <c r="J83" s="67">
        <v>2</v>
      </c>
      <c r="K83" s="67">
        <v>2</v>
      </c>
      <c r="L83" s="67">
        <v>2</v>
      </c>
      <c r="M83" s="67">
        <v>2</v>
      </c>
      <c r="N83" s="67">
        <v>2</v>
      </c>
      <c r="O83" s="67">
        <v>2</v>
      </c>
    </row>
    <row r="84" spans="1:15" x14ac:dyDescent="0.25">
      <c r="A84" s="45" t="s">
        <v>1797</v>
      </c>
      <c r="B84" s="67" t="s">
        <v>1084</v>
      </c>
      <c r="C84" s="67" t="s">
        <v>1088</v>
      </c>
      <c r="D84" s="67">
        <v>2</v>
      </c>
      <c r="E84" s="67">
        <v>2</v>
      </c>
      <c r="F84" s="67">
        <v>2</v>
      </c>
      <c r="G84" s="67">
        <v>2</v>
      </c>
      <c r="H84" s="67">
        <v>2</v>
      </c>
      <c r="I84" s="67">
        <v>2</v>
      </c>
      <c r="J84" s="67">
        <v>2</v>
      </c>
      <c r="K84" s="67">
        <v>2</v>
      </c>
      <c r="L84" s="67">
        <v>2</v>
      </c>
      <c r="M84" s="67">
        <v>2</v>
      </c>
      <c r="N84" s="67">
        <v>2</v>
      </c>
      <c r="O84" s="67">
        <v>2</v>
      </c>
    </row>
    <row r="85" spans="1:15" x14ac:dyDescent="0.25">
      <c r="A85" s="45" t="s">
        <v>1798</v>
      </c>
      <c r="B85" s="67" t="s">
        <v>1084</v>
      </c>
      <c r="C85" s="67" t="s">
        <v>1088</v>
      </c>
      <c r="E85" s="67">
        <v>5</v>
      </c>
      <c r="H85" s="67">
        <v>5</v>
      </c>
      <c r="K85" s="67">
        <v>5</v>
      </c>
      <c r="N85" s="67">
        <v>5</v>
      </c>
    </row>
    <row r="86" spans="1:15" x14ac:dyDescent="0.25">
      <c r="A86" s="45" t="s">
        <v>1800</v>
      </c>
      <c r="B86" s="67" t="s">
        <v>1084</v>
      </c>
      <c r="C86" s="67" t="s">
        <v>1088</v>
      </c>
      <c r="F86" s="67">
        <v>5</v>
      </c>
      <c r="I86" s="67">
        <v>5</v>
      </c>
      <c r="L86" s="67">
        <v>5</v>
      </c>
      <c r="O86" s="67">
        <v>5</v>
      </c>
    </row>
    <row r="87" spans="1:15" x14ac:dyDescent="0.25">
      <c r="A87" s="45" t="s">
        <v>1805</v>
      </c>
      <c r="B87" s="67" t="s">
        <v>1084</v>
      </c>
      <c r="C87" s="67" t="s">
        <v>1088</v>
      </c>
      <c r="D87" s="67">
        <v>2</v>
      </c>
      <c r="F87" s="67">
        <v>2</v>
      </c>
      <c r="H87" s="67">
        <v>2</v>
      </c>
      <c r="J87" s="67">
        <v>2</v>
      </c>
      <c r="L87" s="67">
        <v>2</v>
      </c>
      <c r="N87" s="67">
        <v>2</v>
      </c>
    </row>
    <row r="88" spans="1:15" x14ac:dyDescent="0.25">
      <c r="A88" s="45" t="s">
        <v>1806</v>
      </c>
      <c r="B88" s="67" t="s">
        <v>1084</v>
      </c>
      <c r="C88" s="67" t="s">
        <v>1088</v>
      </c>
      <c r="D88" s="67">
        <v>2</v>
      </c>
      <c r="F88" s="67">
        <v>2</v>
      </c>
      <c r="H88" s="67">
        <v>2</v>
      </c>
      <c r="J88" s="67">
        <v>2</v>
      </c>
      <c r="L88" s="67">
        <v>2</v>
      </c>
      <c r="N88" s="67">
        <v>2</v>
      </c>
    </row>
    <row r="89" spans="1:15" x14ac:dyDescent="0.25">
      <c r="A89" s="45" t="s">
        <v>1807</v>
      </c>
      <c r="B89" s="67" t="s">
        <v>1122</v>
      </c>
      <c r="C89" s="67" t="s">
        <v>1074</v>
      </c>
      <c r="D89" s="67">
        <v>3</v>
      </c>
      <c r="E89" s="67">
        <v>3</v>
      </c>
      <c r="F89" s="67">
        <v>3</v>
      </c>
      <c r="G89" s="67">
        <v>3</v>
      </c>
      <c r="H89" s="67">
        <v>3</v>
      </c>
      <c r="I89" s="67">
        <v>3</v>
      </c>
      <c r="J89" s="67">
        <v>3</v>
      </c>
      <c r="K89" s="67">
        <v>3</v>
      </c>
      <c r="L89" s="67">
        <v>3</v>
      </c>
      <c r="M89" s="67">
        <v>3</v>
      </c>
      <c r="N89" s="67">
        <v>3</v>
      </c>
      <c r="O89" s="67">
        <v>3</v>
      </c>
    </row>
    <row r="90" spans="1:15" x14ac:dyDescent="0.25">
      <c r="A90" s="45" t="s">
        <v>1209</v>
      </c>
      <c r="B90" s="67" t="s">
        <v>1213</v>
      </c>
      <c r="C90" s="67" t="s">
        <v>1088</v>
      </c>
      <c r="D90" s="67">
        <v>4</v>
      </c>
      <c r="G90" s="67">
        <v>4</v>
      </c>
      <c r="J90" s="67">
        <v>4</v>
      </c>
      <c r="M90" s="67">
        <v>4</v>
      </c>
    </row>
    <row r="91" spans="1:15" x14ac:dyDescent="0.25">
      <c r="A91" s="45" t="s">
        <v>1210</v>
      </c>
      <c r="B91" s="67" t="s">
        <v>1213</v>
      </c>
      <c r="C91" s="67" t="s">
        <v>1088</v>
      </c>
      <c r="D91" s="67">
        <v>4</v>
      </c>
      <c r="G91" s="67">
        <v>4</v>
      </c>
      <c r="J91" s="67">
        <v>4</v>
      </c>
      <c r="M91" s="67">
        <v>4</v>
      </c>
    </row>
    <row r="92" spans="1:15" x14ac:dyDescent="0.25">
      <c r="A92" s="45" t="s">
        <v>1211</v>
      </c>
      <c r="B92" s="67" t="s">
        <v>1214</v>
      </c>
      <c r="C92" s="67" t="s">
        <v>1074</v>
      </c>
      <c r="D92" s="67">
        <v>1</v>
      </c>
      <c r="F92" s="67">
        <v>1</v>
      </c>
      <c r="H92" s="67">
        <v>1</v>
      </c>
      <c r="J92" s="67">
        <v>1</v>
      </c>
      <c r="L92" s="67">
        <v>1</v>
      </c>
      <c r="N92" s="67">
        <v>1</v>
      </c>
    </row>
    <row r="93" spans="1:15" x14ac:dyDescent="0.25">
      <c r="A93" s="45" t="s">
        <v>1212</v>
      </c>
      <c r="B93" s="67" t="s">
        <v>1214</v>
      </c>
      <c r="C93" s="67" t="s">
        <v>1074</v>
      </c>
      <c r="D93" s="67">
        <v>1</v>
      </c>
      <c r="F93" s="67">
        <v>1</v>
      </c>
      <c r="H93" s="67">
        <v>1</v>
      </c>
      <c r="J93" s="67">
        <v>1</v>
      </c>
      <c r="L93" s="67">
        <v>1</v>
      </c>
      <c r="N93" s="67">
        <v>1</v>
      </c>
    </row>
    <row r="94" spans="1:15" x14ac:dyDescent="0.25">
      <c r="A94" s="45" t="s">
        <v>1277</v>
      </c>
      <c r="B94" s="67" t="s">
        <v>1132</v>
      </c>
      <c r="C94" s="67" t="s">
        <v>1088</v>
      </c>
      <c r="D94" s="67">
        <v>2</v>
      </c>
      <c r="F94" s="67">
        <v>2</v>
      </c>
      <c r="H94" s="67">
        <v>2</v>
      </c>
      <c r="J94" s="67">
        <v>2</v>
      </c>
      <c r="L94" s="67">
        <v>2</v>
      </c>
      <c r="N94" s="67">
        <v>2</v>
      </c>
    </row>
    <row r="95" spans="1:15" x14ac:dyDescent="0.25">
      <c r="A95" s="45" t="s">
        <v>1278</v>
      </c>
      <c r="B95" s="67" t="s">
        <v>1133</v>
      </c>
      <c r="C95" s="67" t="s">
        <v>1088</v>
      </c>
      <c r="E95" s="67">
        <v>2</v>
      </c>
      <c r="G95" s="67">
        <v>2</v>
      </c>
      <c r="I95" s="67">
        <v>2</v>
      </c>
      <c r="K95" s="67">
        <v>2</v>
      </c>
      <c r="M95" s="67">
        <v>2</v>
      </c>
      <c r="O95" s="67">
        <v>2</v>
      </c>
    </row>
    <row r="96" spans="1:15" x14ac:dyDescent="0.25">
      <c r="A96" s="45" t="s">
        <v>1201</v>
      </c>
      <c r="B96" s="67" t="s">
        <v>1084</v>
      </c>
      <c r="C96" s="67" t="s">
        <v>1088</v>
      </c>
      <c r="D96" s="67">
        <v>2</v>
      </c>
      <c r="F96" s="67">
        <v>2</v>
      </c>
      <c r="H96" s="67">
        <v>2</v>
      </c>
      <c r="J96" s="67">
        <v>2</v>
      </c>
      <c r="L96" s="67">
        <v>2</v>
      </c>
      <c r="N96" s="67">
        <v>2</v>
      </c>
    </row>
    <row r="97" spans="1:15" x14ac:dyDescent="0.25">
      <c r="A97" s="45" t="s">
        <v>1202</v>
      </c>
      <c r="B97" s="67" t="s">
        <v>1122</v>
      </c>
      <c r="C97" s="67" t="s">
        <v>1074</v>
      </c>
      <c r="D97" s="67">
        <v>1</v>
      </c>
      <c r="E97" s="67">
        <v>1</v>
      </c>
      <c r="F97" s="67">
        <v>1</v>
      </c>
      <c r="G97" s="67">
        <v>1</v>
      </c>
      <c r="H97" s="67">
        <v>1</v>
      </c>
      <c r="I97" s="67">
        <v>1</v>
      </c>
      <c r="J97" s="67">
        <v>1</v>
      </c>
      <c r="K97" s="67">
        <v>1</v>
      </c>
      <c r="L97" s="67">
        <v>1</v>
      </c>
      <c r="M97" s="67">
        <v>1</v>
      </c>
      <c r="N97" s="67">
        <v>1</v>
      </c>
      <c r="O97" s="67">
        <v>1</v>
      </c>
    </row>
    <row r="98" spans="1:15" x14ac:dyDescent="0.25">
      <c r="A98" s="45" t="s">
        <v>1203</v>
      </c>
      <c r="B98" s="67" t="s">
        <v>1122</v>
      </c>
      <c r="C98" s="67" t="s">
        <v>1074</v>
      </c>
      <c r="D98" s="67">
        <v>1</v>
      </c>
      <c r="E98" s="67">
        <v>1</v>
      </c>
      <c r="F98" s="67">
        <v>1</v>
      </c>
      <c r="G98" s="67">
        <v>1</v>
      </c>
      <c r="H98" s="67">
        <v>1</v>
      </c>
      <c r="I98" s="67">
        <v>1</v>
      </c>
      <c r="J98" s="67">
        <v>1</v>
      </c>
      <c r="K98" s="67">
        <v>1</v>
      </c>
      <c r="L98" s="67">
        <v>1</v>
      </c>
      <c r="M98" s="67">
        <v>1</v>
      </c>
      <c r="N98" s="67">
        <v>1</v>
      </c>
      <c r="O98" s="67">
        <v>1</v>
      </c>
    </row>
    <row r="99" spans="1:15" x14ac:dyDescent="0.25">
      <c r="A99" s="45" t="s">
        <v>1095</v>
      </c>
      <c r="B99" s="67" t="s">
        <v>1097</v>
      </c>
      <c r="C99" s="67" t="s">
        <v>1074</v>
      </c>
      <c r="D99" s="67">
        <v>1</v>
      </c>
      <c r="E99" s="67">
        <v>1</v>
      </c>
      <c r="F99" s="67">
        <v>1</v>
      </c>
      <c r="G99" s="67">
        <v>1</v>
      </c>
      <c r="H99" s="67">
        <v>1</v>
      </c>
      <c r="I99" s="67">
        <v>1</v>
      </c>
      <c r="J99" s="67">
        <v>1</v>
      </c>
      <c r="K99" s="67">
        <v>1</v>
      </c>
      <c r="L99" s="67">
        <v>1</v>
      </c>
      <c r="M99" s="67">
        <v>1</v>
      </c>
      <c r="N99" s="67">
        <v>1</v>
      </c>
      <c r="O99" s="67">
        <v>1</v>
      </c>
    </row>
    <row r="100" spans="1:15" x14ac:dyDescent="0.25">
      <c r="A100" s="45" t="s">
        <v>1096</v>
      </c>
      <c r="B100" s="67" t="s">
        <v>1097</v>
      </c>
      <c r="C100" s="67" t="s">
        <v>1074</v>
      </c>
      <c r="D100" s="67">
        <v>1</v>
      </c>
      <c r="E100" s="67">
        <v>1</v>
      </c>
      <c r="F100" s="67">
        <v>1</v>
      </c>
      <c r="G100" s="67">
        <v>1</v>
      </c>
      <c r="H100" s="67">
        <v>1</v>
      </c>
      <c r="I100" s="67">
        <v>1</v>
      </c>
      <c r="J100" s="67">
        <v>1</v>
      </c>
      <c r="K100" s="67">
        <v>1</v>
      </c>
      <c r="L100" s="67">
        <v>1</v>
      </c>
      <c r="M100" s="67">
        <v>1</v>
      </c>
      <c r="N100" s="67">
        <v>1</v>
      </c>
      <c r="O100" s="67">
        <v>1</v>
      </c>
    </row>
    <row r="101" spans="1:15" x14ac:dyDescent="0.25">
      <c r="A101" s="45" t="s">
        <v>1272</v>
      </c>
      <c r="B101" s="67" t="s">
        <v>1275</v>
      </c>
      <c r="C101" s="67" t="s">
        <v>1074</v>
      </c>
      <c r="D101" s="67">
        <v>2</v>
      </c>
      <c r="E101" s="67">
        <v>2</v>
      </c>
      <c r="F101" s="67">
        <v>2</v>
      </c>
      <c r="G101" s="67">
        <v>2</v>
      </c>
      <c r="H101" s="67">
        <v>2</v>
      </c>
      <c r="I101" s="67">
        <v>2</v>
      </c>
      <c r="J101" s="67">
        <v>2</v>
      </c>
      <c r="K101" s="67">
        <v>2</v>
      </c>
      <c r="L101" s="67">
        <v>2</v>
      </c>
      <c r="M101" s="67">
        <v>2</v>
      </c>
      <c r="N101" s="67">
        <v>2</v>
      </c>
      <c r="O101" s="67">
        <v>2</v>
      </c>
    </row>
    <row r="102" spans="1:15" x14ac:dyDescent="0.25">
      <c r="A102" s="45" t="s">
        <v>1273</v>
      </c>
      <c r="B102" s="67" t="s">
        <v>1276</v>
      </c>
      <c r="C102" s="67" t="s">
        <v>1074</v>
      </c>
      <c r="E102" s="67">
        <v>6</v>
      </c>
      <c r="H102" s="67">
        <v>6</v>
      </c>
      <c r="K102" s="67">
        <v>6</v>
      </c>
      <c r="N102" s="67">
        <v>6</v>
      </c>
    </row>
    <row r="103" spans="1:15" x14ac:dyDescent="0.25">
      <c r="A103" s="45" t="s">
        <v>1274</v>
      </c>
      <c r="B103" s="67" t="s">
        <v>1107</v>
      </c>
      <c r="C103" s="67" t="s">
        <v>1088</v>
      </c>
      <c r="E103" s="67">
        <v>2</v>
      </c>
      <c r="G103" s="67">
        <v>2</v>
      </c>
      <c r="I103" s="67">
        <v>2</v>
      </c>
      <c r="K103" s="67">
        <v>2</v>
      </c>
      <c r="M103" s="67">
        <v>2</v>
      </c>
      <c r="O103" s="67">
        <v>2</v>
      </c>
    </row>
    <row r="104" spans="1:15" x14ac:dyDescent="0.25">
      <c r="A104" s="45" t="s">
        <v>1086</v>
      </c>
      <c r="B104" s="67" t="s">
        <v>1089</v>
      </c>
      <c r="C104" s="67" t="s">
        <v>1074</v>
      </c>
      <c r="D104" s="67">
        <v>1</v>
      </c>
      <c r="E104" s="67">
        <v>1</v>
      </c>
      <c r="F104" s="67">
        <v>1</v>
      </c>
      <c r="G104" s="67">
        <v>1</v>
      </c>
      <c r="H104" s="67">
        <v>1</v>
      </c>
      <c r="I104" s="67">
        <v>1</v>
      </c>
      <c r="J104" s="67">
        <v>1</v>
      </c>
      <c r="K104" s="67">
        <v>1</v>
      </c>
      <c r="L104" s="67">
        <v>1</v>
      </c>
      <c r="M104" s="67">
        <v>1</v>
      </c>
      <c r="N104" s="67">
        <v>1</v>
      </c>
      <c r="O104" s="67">
        <v>1</v>
      </c>
    </row>
    <row r="105" spans="1:15" x14ac:dyDescent="0.25">
      <c r="A105" s="45" t="s">
        <v>1087</v>
      </c>
      <c r="B105" s="67" t="s">
        <v>1089</v>
      </c>
      <c r="C105" s="67" t="s">
        <v>1074</v>
      </c>
      <c r="D105" s="67">
        <v>1</v>
      </c>
      <c r="E105" s="67">
        <v>1</v>
      </c>
      <c r="F105" s="67">
        <v>1</v>
      </c>
      <c r="G105" s="67">
        <v>1</v>
      </c>
      <c r="H105" s="67">
        <v>1</v>
      </c>
      <c r="I105" s="67">
        <v>1</v>
      </c>
      <c r="J105" s="67">
        <v>1</v>
      </c>
      <c r="K105" s="67">
        <v>1</v>
      </c>
      <c r="L105" s="67">
        <v>1</v>
      </c>
      <c r="M105" s="67">
        <v>1</v>
      </c>
      <c r="N105" s="67">
        <v>1</v>
      </c>
      <c r="O105" s="67">
        <v>1</v>
      </c>
    </row>
    <row r="106" spans="1:15" x14ac:dyDescent="0.25">
      <c r="A106" s="45" t="s">
        <v>1171</v>
      </c>
      <c r="B106" s="67" t="s">
        <v>1140</v>
      </c>
      <c r="C106" s="67" t="s">
        <v>1074</v>
      </c>
      <c r="D106" s="67">
        <v>1</v>
      </c>
      <c r="E106" s="67">
        <v>1</v>
      </c>
      <c r="F106" s="67">
        <v>1</v>
      </c>
      <c r="G106" s="67">
        <v>1</v>
      </c>
      <c r="H106" s="67">
        <v>1</v>
      </c>
      <c r="I106" s="67">
        <v>1</v>
      </c>
      <c r="J106" s="67">
        <v>1</v>
      </c>
      <c r="K106" s="67">
        <v>1</v>
      </c>
      <c r="L106" s="67">
        <v>1</v>
      </c>
      <c r="M106" s="67">
        <v>1</v>
      </c>
      <c r="N106" s="67">
        <v>1</v>
      </c>
      <c r="O106" s="67">
        <v>1</v>
      </c>
    </row>
    <row r="107" spans="1:15" x14ac:dyDescent="0.25">
      <c r="A107" s="45" t="s">
        <v>2287</v>
      </c>
      <c r="B107" s="67" t="s">
        <v>1122</v>
      </c>
      <c r="C107" s="67" t="s">
        <v>1074</v>
      </c>
      <c r="D107" s="67">
        <v>1</v>
      </c>
      <c r="E107" s="67">
        <v>1</v>
      </c>
      <c r="F107" s="67">
        <v>1</v>
      </c>
      <c r="G107" s="67">
        <v>1</v>
      </c>
      <c r="H107" s="67">
        <v>1</v>
      </c>
      <c r="I107" s="67">
        <v>1</v>
      </c>
      <c r="J107" s="67">
        <v>1</v>
      </c>
      <c r="K107" s="67">
        <v>1</v>
      </c>
      <c r="L107" s="67">
        <v>1</v>
      </c>
      <c r="M107" s="67">
        <v>1</v>
      </c>
      <c r="N107" s="67">
        <v>1</v>
      </c>
      <c r="O107" s="67">
        <v>1</v>
      </c>
    </row>
    <row r="108" spans="1:15" x14ac:dyDescent="0.25">
      <c r="A108" s="45" t="s">
        <v>2288</v>
      </c>
      <c r="B108" s="67" t="s">
        <v>1122</v>
      </c>
      <c r="C108" s="67" t="s">
        <v>1074</v>
      </c>
      <c r="D108" s="67">
        <v>1</v>
      </c>
      <c r="E108" s="67">
        <v>1</v>
      </c>
      <c r="F108" s="67">
        <v>1</v>
      </c>
      <c r="G108" s="67">
        <v>1</v>
      </c>
      <c r="H108" s="67">
        <v>1</v>
      </c>
      <c r="I108" s="67">
        <v>1</v>
      </c>
      <c r="J108" s="67">
        <v>1</v>
      </c>
      <c r="K108" s="67">
        <v>1</v>
      </c>
      <c r="L108" s="67">
        <v>1</v>
      </c>
      <c r="M108" s="67">
        <v>1</v>
      </c>
      <c r="N108" s="67">
        <v>1</v>
      </c>
      <c r="O108" s="67">
        <v>1</v>
      </c>
    </row>
    <row r="109" spans="1:15" x14ac:dyDescent="0.25">
      <c r="A109" s="45" t="s">
        <v>2289</v>
      </c>
      <c r="B109" s="67" t="s">
        <v>1084</v>
      </c>
      <c r="C109" s="67" t="s">
        <v>1088</v>
      </c>
      <c r="E109" s="67">
        <v>2</v>
      </c>
      <c r="G109" s="67">
        <v>2</v>
      </c>
      <c r="I109" s="67">
        <v>2</v>
      </c>
      <c r="K109" s="67">
        <v>2</v>
      </c>
      <c r="M109" s="67">
        <v>2</v>
      </c>
      <c r="O109" s="67">
        <v>2</v>
      </c>
    </row>
    <row r="110" spans="1:15" x14ac:dyDescent="0.25">
      <c r="A110" s="45" t="s">
        <v>1814</v>
      </c>
      <c r="B110" s="67" t="s">
        <v>1122</v>
      </c>
      <c r="C110" s="67" t="s">
        <v>1074</v>
      </c>
      <c r="E110" s="67">
        <v>3</v>
      </c>
      <c r="G110" s="67">
        <v>3</v>
      </c>
      <c r="I110" s="67">
        <v>3</v>
      </c>
      <c r="K110" s="67">
        <v>3</v>
      </c>
      <c r="M110" s="67">
        <v>3</v>
      </c>
      <c r="O110" s="67">
        <v>3</v>
      </c>
    </row>
    <row r="111" spans="1:15" x14ac:dyDescent="0.25">
      <c r="A111" s="45" t="s">
        <v>1815</v>
      </c>
      <c r="B111" s="67" t="s">
        <v>1084</v>
      </c>
      <c r="C111" s="67" t="s">
        <v>1088</v>
      </c>
      <c r="D111" s="67">
        <v>2</v>
      </c>
      <c r="F111" s="67">
        <v>2</v>
      </c>
      <c r="H111" s="67">
        <v>2</v>
      </c>
      <c r="J111" s="67">
        <v>2</v>
      </c>
      <c r="L111" s="67">
        <v>2</v>
      </c>
      <c r="N111" s="67">
        <v>2</v>
      </c>
    </row>
    <row r="112" spans="1:15" x14ac:dyDescent="0.25">
      <c r="A112" s="45" t="s">
        <v>1816</v>
      </c>
      <c r="B112" s="67" t="s">
        <v>1084</v>
      </c>
      <c r="C112" s="67" t="s">
        <v>1088</v>
      </c>
      <c r="D112" s="67">
        <v>2</v>
      </c>
      <c r="F112" s="67">
        <v>2</v>
      </c>
      <c r="H112" s="67">
        <v>2</v>
      </c>
      <c r="J112" s="67">
        <v>2</v>
      </c>
      <c r="L112" s="67">
        <v>2</v>
      </c>
      <c r="N112" s="67">
        <v>2</v>
      </c>
    </row>
    <row r="113" spans="1:15" x14ac:dyDescent="0.25">
      <c r="A113" s="45" t="s">
        <v>1205</v>
      </c>
      <c r="B113" s="67" t="s">
        <v>1122</v>
      </c>
      <c r="C113" s="67" t="s">
        <v>1074</v>
      </c>
      <c r="D113" s="67">
        <v>1</v>
      </c>
      <c r="E113" s="67">
        <v>1</v>
      </c>
      <c r="F113" s="67">
        <v>1</v>
      </c>
      <c r="G113" s="67">
        <v>1</v>
      </c>
      <c r="H113" s="67">
        <v>1</v>
      </c>
      <c r="I113" s="67">
        <v>1</v>
      </c>
      <c r="J113" s="67">
        <v>1</v>
      </c>
      <c r="K113" s="67">
        <v>1</v>
      </c>
      <c r="L113" s="67">
        <v>1</v>
      </c>
      <c r="M113" s="67">
        <v>1</v>
      </c>
      <c r="N113" s="67">
        <v>1</v>
      </c>
      <c r="O113" s="67">
        <v>1</v>
      </c>
    </row>
    <row r="114" spans="1:15" x14ac:dyDescent="0.25">
      <c r="A114" s="45" t="s">
        <v>1206</v>
      </c>
      <c r="B114" s="67" t="s">
        <v>1122</v>
      </c>
      <c r="C114" s="67" t="s">
        <v>1074</v>
      </c>
      <c r="D114" s="67">
        <v>1</v>
      </c>
      <c r="E114" s="67">
        <v>1</v>
      </c>
      <c r="F114" s="67">
        <v>1</v>
      </c>
      <c r="G114" s="67">
        <v>1</v>
      </c>
      <c r="H114" s="67">
        <v>1</v>
      </c>
      <c r="I114" s="67">
        <v>1</v>
      </c>
      <c r="J114" s="67">
        <v>1</v>
      </c>
      <c r="K114" s="67">
        <v>1</v>
      </c>
      <c r="L114" s="67">
        <v>1</v>
      </c>
      <c r="M114" s="67">
        <v>1</v>
      </c>
      <c r="N114" s="67">
        <v>1</v>
      </c>
      <c r="O114" s="67">
        <v>1</v>
      </c>
    </row>
    <row r="115" spans="1:15" x14ac:dyDescent="0.25">
      <c r="A115" s="45" t="s">
        <v>1207</v>
      </c>
      <c r="B115" s="67" t="s">
        <v>1084</v>
      </c>
      <c r="C115" s="67" t="s">
        <v>1088</v>
      </c>
      <c r="D115" s="67">
        <v>1</v>
      </c>
      <c r="F115" s="67">
        <v>1</v>
      </c>
      <c r="H115" s="67">
        <v>1</v>
      </c>
      <c r="J115" s="67">
        <v>1</v>
      </c>
      <c r="L115" s="67">
        <v>1</v>
      </c>
      <c r="N115" s="67">
        <v>1</v>
      </c>
    </row>
    <row r="116" spans="1:15" x14ac:dyDescent="0.25">
      <c r="A116" s="45" t="s">
        <v>1166</v>
      </c>
      <c r="B116" s="67" t="s">
        <v>1113</v>
      </c>
      <c r="C116" s="67" t="s">
        <v>1074</v>
      </c>
      <c r="D116" s="67">
        <v>1</v>
      </c>
      <c r="E116" s="67">
        <v>1</v>
      </c>
      <c r="F116" s="67">
        <v>1</v>
      </c>
      <c r="G116" s="67">
        <v>1</v>
      </c>
      <c r="H116" s="67">
        <v>1</v>
      </c>
      <c r="I116" s="67">
        <v>1</v>
      </c>
      <c r="J116" s="67">
        <v>1</v>
      </c>
      <c r="K116" s="67">
        <v>1</v>
      </c>
      <c r="L116" s="67">
        <v>1</v>
      </c>
      <c r="M116" s="67">
        <v>1</v>
      </c>
      <c r="N116" s="67">
        <v>1</v>
      </c>
      <c r="O116" s="67">
        <v>1</v>
      </c>
    </row>
    <row r="117" spans="1:15" x14ac:dyDescent="0.25">
      <c r="A117" s="45" t="s">
        <v>1167</v>
      </c>
      <c r="B117" s="67" t="s">
        <v>1113</v>
      </c>
      <c r="C117" s="67" t="s">
        <v>1074</v>
      </c>
      <c r="D117" s="67">
        <v>1</v>
      </c>
      <c r="E117" s="67">
        <v>1</v>
      </c>
      <c r="F117" s="67">
        <v>1</v>
      </c>
      <c r="G117" s="67">
        <v>1</v>
      </c>
      <c r="H117" s="67">
        <v>1</v>
      </c>
      <c r="I117" s="67">
        <v>1</v>
      </c>
      <c r="J117" s="67">
        <v>1</v>
      </c>
      <c r="K117" s="67">
        <v>1</v>
      </c>
      <c r="L117" s="67">
        <v>1</v>
      </c>
      <c r="M117" s="67">
        <v>1</v>
      </c>
      <c r="N117" s="67">
        <v>1</v>
      </c>
      <c r="O117" s="67">
        <v>1</v>
      </c>
    </row>
    <row r="118" spans="1:15" x14ac:dyDescent="0.25">
      <c r="A118" s="45" t="s">
        <v>1168</v>
      </c>
      <c r="B118" s="67" t="s">
        <v>1169</v>
      </c>
      <c r="C118" s="67" t="s">
        <v>1074</v>
      </c>
      <c r="E118" s="67">
        <v>2</v>
      </c>
      <c r="G118" s="67">
        <v>2</v>
      </c>
      <c r="I118" s="67">
        <v>2</v>
      </c>
      <c r="K118" s="67">
        <v>2</v>
      </c>
      <c r="M118" s="67">
        <v>2</v>
      </c>
      <c r="O118" s="67">
        <v>2</v>
      </c>
    </row>
    <row r="119" spans="1:15" x14ac:dyDescent="0.25">
      <c r="A119" s="45" t="s">
        <v>1257</v>
      </c>
      <c r="B119" s="67" t="s">
        <v>1260</v>
      </c>
      <c r="C119" s="67" t="s">
        <v>1074</v>
      </c>
      <c r="D119" s="67">
        <v>3</v>
      </c>
      <c r="E119" s="67">
        <v>3</v>
      </c>
      <c r="F119" s="67">
        <v>3</v>
      </c>
      <c r="G119" s="67">
        <v>3</v>
      </c>
      <c r="H119" s="67">
        <v>3</v>
      </c>
      <c r="I119" s="67">
        <v>3</v>
      </c>
      <c r="J119" s="67">
        <v>3</v>
      </c>
      <c r="K119" s="67">
        <v>3</v>
      </c>
      <c r="L119" s="67">
        <v>3</v>
      </c>
      <c r="M119" s="67">
        <v>3</v>
      </c>
      <c r="N119" s="67">
        <v>3</v>
      </c>
      <c r="O119" s="67">
        <v>3</v>
      </c>
    </row>
    <row r="120" spans="1:15" x14ac:dyDescent="0.25">
      <c r="A120" s="45" t="s">
        <v>1258</v>
      </c>
      <c r="B120" s="67" t="s">
        <v>1260</v>
      </c>
      <c r="C120" s="67" t="s">
        <v>1074</v>
      </c>
      <c r="F120" s="67">
        <v>3</v>
      </c>
      <c r="I120" s="67">
        <v>3</v>
      </c>
      <c r="L120" s="67">
        <v>3</v>
      </c>
      <c r="O120" s="67">
        <v>3</v>
      </c>
    </row>
    <row r="121" spans="1:15" x14ac:dyDescent="0.25">
      <c r="A121" s="45" t="s">
        <v>1259</v>
      </c>
      <c r="B121" s="67" t="s">
        <v>1261</v>
      </c>
      <c r="C121" s="67" t="s">
        <v>1088</v>
      </c>
      <c r="E121" s="67">
        <v>4</v>
      </c>
      <c r="G121" s="67">
        <v>4</v>
      </c>
      <c r="I121" s="67">
        <v>4</v>
      </c>
      <c r="K121" s="67">
        <v>4</v>
      </c>
      <c r="M121" s="67">
        <v>4</v>
      </c>
      <c r="O121" s="67">
        <v>4</v>
      </c>
    </row>
    <row r="122" spans="1:15" x14ac:dyDescent="0.25">
      <c r="A122" s="45" t="s">
        <v>1823</v>
      </c>
      <c r="B122" s="67" t="s">
        <v>1122</v>
      </c>
      <c r="C122" s="67" t="s">
        <v>1074</v>
      </c>
      <c r="D122" s="67">
        <v>6</v>
      </c>
      <c r="F122" s="67">
        <v>6</v>
      </c>
      <c r="H122" s="67">
        <v>6</v>
      </c>
      <c r="J122" s="67">
        <v>6</v>
      </c>
      <c r="L122" s="67">
        <v>6</v>
      </c>
      <c r="N122" s="67">
        <v>6</v>
      </c>
    </row>
    <row r="123" spans="1:15" x14ac:dyDescent="0.25">
      <c r="A123" s="45" t="s">
        <v>1824</v>
      </c>
      <c r="B123" s="67" t="s">
        <v>1122</v>
      </c>
      <c r="C123" s="67" t="s">
        <v>1074</v>
      </c>
      <c r="E123" s="67">
        <v>6</v>
      </c>
      <c r="G123" s="67">
        <v>6</v>
      </c>
      <c r="I123" s="67">
        <v>6</v>
      </c>
      <c r="K123" s="67">
        <v>6</v>
      </c>
      <c r="M123" s="67">
        <v>6</v>
      </c>
      <c r="O123" s="67">
        <v>6</v>
      </c>
    </row>
    <row r="124" spans="1:15" x14ac:dyDescent="0.25">
      <c r="A124" s="45" t="s">
        <v>1825</v>
      </c>
      <c r="B124" s="67" t="s">
        <v>1084</v>
      </c>
      <c r="C124" s="67" t="s">
        <v>1088</v>
      </c>
      <c r="E124" s="67">
        <v>2</v>
      </c>
      <c r="H124" s="67">
        <v>2</v>
      </c>
      <c r="K124" s="67">
        <v>2</v>
      </c>
      <c r="N124" s="67">
        <v>2</v>
      </c>
    </row>
    <row r="125" spans="1:15" x14ac:dyDescent="0.25">
      <c r="A125" s="45" t="s">
        <v>1102</v>
      </c>
      <c r="B125" s="67" t="s">
        <v>1105</v>
      </c>
      <c r="C125" s="67" t="s">
        <v>1074</v>
      </c>
      <c r="D125" s="67">
        <v>1</v>
      </c>
      <c r="E125" s="67">
        <v>1</v>
      </c>
      <c r="F125" s="67">
        <v>1</v>
      </c>
      <c r="G125" s="67">
        <v>1</v>
      </c>
      <c r="H125" s="67">
        <v>1</v>
      </c>
      <c r="I125" s="67">
        <v>1</v>
      </c>
      <c r="J125" s="67">
        <v>1</v>
      </c>
      <c r="K125" s="67">
        <v>1</v>
      </c>
      <c r="L125" s="67">
        <v>1</v>
      </c>
      <c r="M125" s="67">
        <v>1</v>
      </c>
      <c r="N125" s="67">
        <v>1</v>
      </c>
      <c r="O125" s="67">
        <v>1</v>
      </c>
    </row>
    <row r="126" spans="1:15" x14ac:dyDescent="0.25">
      <c r="A126" s="45" t="s">
        <v>1103</v>
      </c>
      <c r="B126" s="67" t="s">
        <v>1105</v>
      </c>
      <c r="C126" s="67" t="s">
        <v>1074</v>
      </c>
      <c r="D126" s="67">
        <v>1</v>
      </c>
      <c r="E126" s="67">
        <v>1</v>
      </c>
      <c r="F126" s="67">
        <v>1</v>
      </c>
      <c r="G126" s="67">
        <v>1</v>
      </c>
      <c r="H126" s="67">
        <v>1</v>
      </c>
      <c r="I126" s="67">
        <v>1</v>
      </c>
      <c r="J126" s="67">
        <v>1</v>
      </c>
      <c r="K126" s="67">
        <v>1</v>
      </c>
      <c r="L126" s="67">
        <v>1</v>
      </c>
      <c r="M126" s="67">
        <v>1</v>
      </c>
      <c r="N126" s="67">
        <v>1</v>
      </c>
      <c r="O126" s="67">
        <v>1</v>
      </c>
    </row>
    <row r="127" spans="1:15" x14ac:dyDescent="0.25">
      <c r="A127" s="45" t="s">
        <v>1104</v>
      </c>
      <c r="B127" s="67" t="s">
        <v>1105</v>
      </c>
      <c r="C127" s="67" t="s">
        <v>1074</v>
      </c>
      <c r="D127" s="67">
        <v>1</v>
      </c>
      <c r="E127" s="67">
        <v>1</v>
      </c>
      <c r="F127" s="67">
        <v>1</v>
      </c>
      <c r="G127" s="67">
        <v>1</v>
      </c>
      <c r="H127" s="67">
        <v>1</v>
      </c>
      <c r="I127" s="67">
        <v>1</v>
      </c>
      <c r="J127" s="67">
        <v>1</v>
      </c>
      <c r="K127" s="67">
        <v>1</v>
      </c>
      <c r="L127" s="67">
        <v>1</v>
      </c>
      <c r="M127" s="67">
        <v>1</v>
      </c>
      <c r="N127" s="67">
        <v>1</v>
      </c>
      <c r="O127" s="67">
        <v>1</v>
      </c>
    </row>
    <row r="128" spans="1:15" x14ac:dyDescent="0.25">
      <c r="A128" s="45" t="s">
        <v>1826</v>
      </c>
      <c r="B128" s="67" t="s">
        <v>1105</v>
      </c>
      <c r="C128" s="67" t="s">
        <v>1074</v>
      </c>
      <c r="D128" s="67">
        <v>2</v>
      </c>
      <c r="E128" s="67">
        <v>2</v>
      </c>
      <c r="F128" s="67">
        <v>2</v>
      </c>
      <c r="G128" s="67">
        <v>2</v>
      </c>
      <c r="H128" s="67">
        <v>2</v>
      </c>
      <c r="I128" s="67">
        <v>2</v>
      </c>
      <c r="J128" s="67">
        <v>2</v>
      </c>
      <c r="K128" s="67">
        <v>2</v>
      </c>
      <c r="L128" s="67">
        <v>2</v>
      </c>
      <c r="M128" s="67">
        <v>2</v>
      </c>
      <c r="N128" s="67">
        <v>2</v>
      </c>
      <c r="O128" s="67">
        <v>2</v>
      </c>
    </row>
    <row r="129" spans="1:15" x14ac:dyDescent="0.25">
      <c r="A129" s="45" t="s">
        <v>1827</v>
      </c>
      <c r="B129" s="67" t="s">
        <v>1157</v>
      </c>
      <c r="C129" s="67" t="s">
        <v>1088</v>
      </c>
      <c r="D129" s="67">
        <v>2</v>
      </c>
      <c r="F129" s="67">
        <v>2</v>
      </c>
      <c r="H129" s="67">
        <v>2</v>
      </c>
      <c r="J129" s="67">
        <v>2</v>
      </c>
      <c r="L129" s="67">
        <v>2</v>
      </c>
      <c r="N129" s="67">
        <v>2</v>
      </c>
    </row>
    <row r="130" spans="1:15" x14ac:dyDescent="0.25">
      <c r="A130" s="45" t="s">
        <v>1828</v>
      </c>
      <c r="B130" s="67" t="s">
        <v>1157</v>
      </c>
      <c r="C130" s="67" t="s">
        <v>1088</v>
      </c>
      <c r="D130" s="67">
        <v>2</v>
      </c>
      <c r="F130" s="67">
        <v>2</v>
      </c>
      <c r="H130" s="67">
        <v>2</v>
      </c>
      <c r="J130" s="67">
        <v>2</v>
      </c>
      <c r="L130" s="67">
        <v>2</v>
      </c>
      <c r="N130" s="67">
        <v>2</v>
      </c>
    </row>
    <row r="131" spans="1:15" x14ac:dyDescent="0.25">
      <c r="A131" s="45" t="s">
        <v>1225</v>
      </c>
      <c r="B131" s="67" t="s">
        <v>1226</v>
      </c>
      <c r="C131" s="67" t="s">
        <v>1074</v>
      </c>
      <c r="D131" s="67">
        <v>1</v>
      </c>
      <c r="E131" s="67">
        <v>1</v>
      </c>
      <c r="F131" s="67">
        <v>1</v>
      </c>
      <c r="G131" s="67">
        <v>1</v>
      </c>
      <c r="H131" s="67">
        <v>1</v>
      </c>
      <c r="I131" s="67">
        <v>1</v>
      </c>
      <c r="J131" s="67">
        <v>1</v>
      </c>
      <c r="K131" s="67">
        <v>1</v>
      </c>
      <c r="L131" s="67">
        <v>1</v>
      </c>
      <c r="M131" s="67">
        <v>1</v>
      </c>
      <c r="N131" s="67">
        <v>1</v>
      </c>
      <c r="O131" s="67">
        <v>1</v>
      </c>
    </row>
    <row r="132" spans="1:15" x14ac:dyDescent="0.25">
      <c r="A132" s="45" t="s">
        <v>1159</v>
      </c>
      <c r="B132" s="67" t="s">
        <v>1162</v>
      </c>
      <c r="C132" s="67" t="s">
        <v>1074</v>
      </c>
      <c r="D132" s="67">
        <v>1</v>
      </c>
      <c r="E132" s="67">
        <v>1</v>
      </c>
      <c r="F132" s="67">
        <v>1</v>
      </c>
      <c r="G132" s="67">
        <v>1</v>
      </c>
      <c r="H132" s="67">
        <v>1</v>
      </c>
      <c r="I132" s="67">
        <v>1</v>
      </c>
      <c r="J132" s="67">
        <v>1</v>
      </c>
      <c r="K132" s="67">
        <v>1</v>
      </c>
      <c r="L132" s="67">
        <v>1</v>
      </c>
      <c r="M132" s="67">
        <v>1</v>
      </c>
      <c r="N132" s="67">
        <v>1</v>
      </c>
      <c r="O132" s="67">
        <v>1</v>
      </c>
    </row>
    <row r="133" spans="1:15" x14ac:dyDescent="0.25">
      <c r="A133" s="45" t="s">
        <v>1160</v>
      </c>
      <c r="B133" s="67" t="s">
        <v>1163</v>
      </c>
      <c r="C133" s="67" t="s">
        <v>1074</v>
      </c>
      <c r="E133" s="67">
        <v>1</v>
      </c>
      <c r="F133" s="67">
        <v>1</v>
      </c>
      <c r="G133" s="67">
        <v>1</v>
      </c>
      <c r="H133" s="67">
        <v>1</v>
      </c>
      <c r="I133" s="67">
        <v>1</v>
      </c>
      <c r="J133" s="67">
        <v>1</v>
      </c>
      <c r="K133" s="67">
        <v>1</v>
      </c>
      <c r="L133" s="67">
        <v>1</v>
      </c>
      <c r="M133" s="67">
        <v>1</v>
      </c>
      <c r="N133" s="67">
        <v>1</v>
      </c>
      <c r="O133" s="67">
        <v>1</v>
      </c>
    </row>
    <row r="134" spans="1:15" x14ac:dyDescent="0.25">
      <c r="A134" s="45" t="s">
        <v>1161</v>
      </c>
      <c r="B134" s="67" t="s">
        <v>1164</v>
      </c>
      <c r="C134" s="67" t="s">
        <v>1074</v>
      </c>
      <c r="F134" s="67">
        <v>1</v>
      </c>
      <c r="G134" s="67">
        <v>1</v>
      </c>
      <c r="H134" s="67">
        <v>1</v>
      </c>
      <c r="I134" s="67">
        <v>1</v>
      </c>
      <c r="J134" s="67">
        <v>1</v>
      </c>
      <c r="K134" s="67">
        <v>1</v>
      </c>
      <c r="L134" s="67">
        <v>1</v>
      </c>
      <c r="M134" s="67">
        <v>1</v>
      </c>
      <c r="N134" s="67">
        <v>1</v>
      </c>
      <c r="O134" s="67">
        <v>1</v>
      </c>
    </row>
    <row r="135" spans="1:15" x14ac:dyDescent="0.25">
      <c r="A135" s="45" t="s">
        <v>1246</v>
      </c>
      <c r="B135" s="67" t="s">
        <v>1249</v>
      </c>
      <c r="C135" s="67" t="s">
        <v>1088</v>
      </c>
      <c r="E135" s="67">
        <v>3</v>
      </c>
      <c r="G135" s="67">
        <v>3</v>
      </c>
      <c r="I135" s="67">
        <v>3</v>
      </c>
      <c r="K135" s="67">
        <v>3</v>
      </c>
      <c r="M135" s="67">
        <v>3</v>
      </c>
      <c r="O135" s="67">
        <v>3</v>
      </c>
    </row>
    <row r="136" spans="1:15" x14ac:dyDescent="0.25">
      <c r="A136" s="45" t="s">
        <v>1247</v>
      </c>
      <c r="B136" s="67" t="s">
        <v>1249</v>
      </c>
      <c r="C136" s="67" t="s">
        <v>1088</v>
      </c>
      <c r="E136" s="67">
        <v>3</v>
      </c>
      <c r="G136" s="67">
        <v>3</v>
      </c>
      <c r="I136" s="67">
        <v>3</v>
      </c>
      <c r="K136" s="67">
        <v>3</v>
      </c>
      <c r="M136" s="67">
        <v>3</v>
      </c>
      <c r="O136" s="67">
        <v>3</v>
      </c>
    </row>
    <row r="137" spans="1:15" x14ac:dyDescent="0.25">
      <c r="A137" s="45" t="s">
        <v>1248</v>
      </c>
      <c r="B137" s="67" t="s">
        <v>1140</v>
      </c>
      <c r="C137" s="67" t="s">
        <v>1074</v>
      </c>
      <c r="D137" s="67">
        <v>2</v>
      </c>
      <c r="E137" s="67">
        <v>2</v>
      </c>
      <c r="F137" s="67">
        <v>2</v>
      </c>
      <c r="G137" s="67">
        <v>2</v>
      </c>
      <c r="H137" s="67">
        <v>2</v>
      </c>
      <c r="I137" s="67">
        <v>2</v>
      </c>
      <c r="J137" s="67">
        <v>2</v>
      </c>
      <c r="K137" s="67">
        <v>2</v>
      </c>
      <c r="L137" s="67">
        <v>2</v>
      </c>
      <c r="M137" s="67">
        <v>2</v>
      </c>
      <c r="N137" s="67">
        <v>2</v>
      </c>
      <c r="O137" s="67">
        <v>2</v>
      </c>
    </row>
    <row r="138" spans="1:15" x14ac:dyDescent="0.25">
      <c r="A138" s="45" t="s">
        <v>1150</v>
      </c>
      <c r="B138" s="67" t="s">
        <v>1113</v>
      </c>
      <c r="C138" s="67" t="s">
        <v>1074</v>
      </c>
      <c r="D138" s="67">
        <v>1</v>
      </c>
      <c r="E138" s="67">
        <v>1</v>
      </c>
      <c r="F138" s="67">
        <v>1</v>
      </c>
      <c r="G138" s="67">
        <v>1</v>
      </c>
      <c r="H138" s="67">
        <v>1</v>
      </c>
      <c r="I138" s="67">
        <v>1</v>
      </c>
      <c r="J138" s="67">
        <v>1</v>
      </c>
      <c r="K138" s="67">
        <v>1</v>
      </c>
      <c r="L138" s="67">
        <v>1</v>
      </c>
      <c r="M138" s="67">
        <v>1</v>
      </c>
      <c r="N138" s="67">
        <v>1</v>
      </c>
      <c r="O138" s="67">
        <v>1</v>
      </c>
    </row>
    <row r="139" spans="1:15" x14ac:dyDescent="0.25">
      <c r="A139" s="45" t="s">
        <v>1151</v>
      </c>
      <c r="B139" s="67" t="s">
        <v>1113</v>
      </c>
      <c r="C139" s="67" t="s">
        <v>1074</v>
      </c>
      <c r="D139" s="67">
        <v>1</v>
      </c>
      <c r="E139" s="67">
        <v>1</v>
      </c>
      <c r="F139" s="67">
        <v>1</v>
      </c>
      <c r="G139" s="67">
        <v>1</v>
      </c>
      <c r="H139" s="67">
        <v>1</v>
      </c>
      <c r="I139" s="67">
        <v>1</v>
      </c>
      <c r="J139" s="67">
        <v>1</v>
      </c>
      <c r="K139" s="67">
        <v>1</v>
      </c>
      <c r="L139" s="67">
        <v>1</v>
      </c>
      <c r="M139" s="67">
        <v>1</v>
      </c>
      <c r="N139" s="67">
        <v>1</v>
      </c>
      <c r="O139" s="67">
        <v>1</v>
      </c>
    </row>
    <row r="140" spans="1:15" x14ac:dyDescent="0.25">
      <c r="A140" s="45" t="s">
        <v>1152</v>
      </c>
      <c r="B140" s="67" t="s">
        <v>1153</v>
      </c>
      <c r="C140" s="67" t="s">
        <v>1074</v>
      </c>
      <c r="E140" s="67">
        <v>2</v>
      </c>
      <c r="G140" s="67">
        <v>2</v>
      </c>
      <c r="I140" s="67">
        <v>2</v>
      </c>
      <c r="K140" s="67">
        <v>2</v>
      </c>
      <c r="M140" s="67">
        <v>2</v>
      </c>
      <c r="O140" s="67">
        <v>2</v>
      </c>
    </row>
    <row r="141" spans="1:15" x14ac:dyDescent="0.25">
      <c r="A141" s="45" t="s">
        <v>1252</v>
      </c>
      <c r="B141" s="67" t="s">
        <v>1140</v>
      </c>
      <c r="C141" s="67" t="s">
        <v>1074</v>
      </c>
      <c r="D141" s="67">
        <v>2</v>
      </c>
      <c r="F141" s="67">
        <v>2</v>
      </c>
      <c r="H141" s="67">
        <v>2</v>
      </c>
      <c r="J141" s="67">
        <v>2</v>
      </c>
      <c r="L141" s="67">
        <v>2</v>
      </c>
      <c r="N141" s="67">
        <v>2</v>
      </c>
    </row>
    <row r="142" spans="1:15" x14ac:dyDescent="0.25">
      <c r="A142" s="45" t="s">
        <v>1253</v>
      </c>
      <c r="B142" s="67" t="s">
        <v>1140</v>
      </c>
      <c r="C142" s="67" t="s">
        <v>1074</v>
      </c>
      <c r="D142" s="67">
        <v>2</v>
      </c>
      <c r="F142" s="67">
        <v>2</v>
      </c>
      <c r="H142" s="67">
        <v>2</v>
      </c>
      <c r="J142" s="67">
        <v>2</v>
      </c>
      <c r="L142" s="67">
        <v>2</v>
      </c>
      <c r="N142" s="67">
        <v>2</v>
      </c>
    </row>
    <row r="143" spans="1:15" x14ac:dyDescent="0.25">
      <c r="A143" s="45" t="s">
        <v>1254</v>
      </c>
      <c r="B143" s="67" t="s">
        <v>1140</v>
      </c>
      <c r="C143" s="67" t="s">
        <v>1074</v>
      </c>
      <c r="D143" s="67">
        <v>2</v>
      </c>
      <c r="F143" s="67">
        <v>2</v>
      </c>
      <c r="H143" s="67">
        <v>2</v>
      </c>
      <c r="J143" s="67">
        <v>2</v>
      </c>
      <c r="L143" s="67">
        <v>2</v>
      </c>
      <c r="N143" s="67">
        <v>2</v>
      </c>
    </row>
    <row r="144" spans="1:15" x14ac:dyDescent="0.25">
      <c r="A144" s="45" t="s">
        <v>1255</v>
      </c>
      <c r="B144" s="67" t="s">
        <v>1251</v>
      </c>
      <c r="C144" s="67" t="s">
        <v>1088</v>
      </c>
      <c r="E144" s="67">
        <v>3</v>
      </c>
      <c r="G144" s="67">
        <v>3</v>
      </c>
      <c r="I144" s="67">
        <v>3</v>
      </c>
      <c r="K144" s="67">
        <v>3</v>
      </c>
      <c r="M144" s="67">
        <v>3</v>
      </c>
      <c r="O144" s="67">
        <v>3</v>
      </c>
    </row>
    <row r="145" spans="1:15" x14ac:dyDescent="0.25">
      <c r="A145" s="45" t="s">
        <v>1835</v>
      </c>
      <c r="B145" s="67" t="s">
        <v>1122</v>
      </c>
      <c r="C145" s="67" t="s">
        <v>1074</v>
      </c>
      <c r="D145" s="67">
        <v>2</v>
      </c>
      <c r="E145" s="67">
        <v>2</v>
      </c>
      <c r="F145" s="67">
        <v>2</v>
      </c>
      <c r="G145" s="67">
        <v>2</v>
      </c>
      <c r="H145" s="67">
        <v>2</v>
      </c>
      <c r="I145" s="67">
        <v>2</v>
      </c>
      <c r="J145" s="67">
        <v>2</v>
      </c>
      <c r="K145" s="67">
        <v>2</v>
      </c>
      <c r="L145" s="67">
        <v>2</v>
      </c>
      <c r="M145" s="67">
        <v>2</v>
      </c>
      <c r="N145" s="67">
        <v>2</v>
      </c>
      <c r="O145" s="67">
        <v>2</v>
      </c>
    </row>
    <row r="146" spans="1:15" x14ac:dyDescent="0.25">
      <c r="A146" s="45" t="s">
        <v>1836</v>
      </c>
      <c r="B146" s="67" t="s">
        <v>1084</v>
      </c>
      <c r="C146" s="67" t="s">
        <v>1088</v>
      </c>
      <c r="E146" s="67">
        <v>3</v>
      </c>
      <c r="G146" s="67">
        <v>3</v>
      </c>
      <c r="I146" s="67">
        <v>3</v>
      </c>
      <c r="K146" s="67">
        <v>3</v>
      </c>
      <c r="M146" s="67">
        <v>3</v>
      </c>
      <c r="O146" s="67">
        <v>3</v>
      </c>
    </row>
    <row r="147" spans="1:15" x14ac:dyDescent="0.25">
      <c r="A147" s="45" t="s">
        <v>1837</v>
      </c>
      <c r="B147" s="67" t="s">
        <v>1084</v>
      </c>
      <c r="C147" s="67" t="s">
        <v>1088</v>
      </c>
      <c r="E147" s="67">
        <v>3</v>
      </c>
      <c r="G147" s="67">
        <v>3</v>
      </c>
      <c r="I147" s="67">
        <v>3</v>
      </c>
      <c r="K147" s="67">
        <v>3</v>
      </c>
      <c r="M147" s="67">
        <v>3</v>
      </c>
      <c r="O147" s="67">
        <v>3</v>
      </c>
    </row>
    <row r="148" spans="1:15" x14ac:dyDescent="0.25">
      <c r="A148" s="45" t="s">
        <v>1155</v>
      </c>
      <c r="B148" s="67" t="s">
        <v>1157</v>
      </c>
      <c r="C148" s="67" t="s">
        <v>1088</v>
      </c>
      <c r="D148" s="67">
        <v>1</v>
      </c>
      <c r="G148" s="67">
        <v>1</v>
      </c>
      <c r="J148" s="67">
        <v>1</v>
      </c>
      <c r="M148" s="67">
        <v>1</v>
      </c>
    </row>
    <row r="149" spans="1:15" x14ac:dyDescent="0.25">
      <c r="A149" s="45" t="s">
        <v>1156</v>
      </c>
      <c r="B149" s="67" t="s">
        <v>1113</v>
      </c>
      <c r="C149" s="67" t="s">
        <v>1074</v>
      </c>
      <c r="D149" s="67">
        <v>1</v>
      </c>
      <c r="E149" s="67">
        <v>1</v>
      </c>
      <c r="F149" s="67">
        <v>1</v>
      </c>
      <c r="G149" s="67">
        <v>1</v>
      </c>
      <c r="H149" s="67">
        <v>1</v>
      </c>
      <c r="I149" s="67">
        <v>1</v>
      </c>
      <c r="J149" s="67">
        <v>1</v>
      </c>
      <c r="K149" s="67">
        <v>1</v>
      </c>
      <c r="L149" s="67">
        <v>1</v>
      </c>
      <c r="M149" s="67">
        <v>1</v>
      </c>
      <c r="N149" s="67">
        <v>1</v>
      </c>
      <c r="O149" s="67">
        <v>1</v>
      </c>
    </row>
    <row r="150" spans="1:15" x14ac:dyDescent="0.25">
      <c r="A150" s="45" t="s">
        <v>1115</v>
      </c>
      <c r="B150" s="67" t="s">
        <v>1105</v>
      </c>
      <c r="C150" s="67" t="s">
        <v>1074</v>
      </c>
      <c r="D150" s="67">
        <v>1</v>
      </c>
      <c r="E150" s="67">
        <v>1</v>
      </c>
      <c r="F150" s="67">
        <v>1</v>
      </c>
      <c r="G150" s="67">
        <v>1</v>
      </c>
      <c r="H150" s="67">
        <v>1</v>
      </c>
      <c r="I150" s="67">
        <v>1</v>
      </c>
      <c r="J150" s="67">
        <v>1</v>
      </c>
      <c r="K150" s="67">
        <v>1</v>
      </c>
      <c r="L150" s="67">
        <v>1</v>
      </c>
      <c r="M150" s="67">
        <v>1</v>
      </c>
      <c r="N150" s="67">
        <v>1</v>
      </c>
      <c r="O150" s="67">
        <v>1</v>
      </c>
    </row>
    <row r="151" spans="1:15" x14ac:dyDescent="0.25">
      <c r="A151" s="45" t="s">
        <v>1116</v>
      </c>
      <c r="B151" s="67" t="s">
        <v>1105</v>
      </c>
      <c r="C151" s="67" t="s">
        <v>1074</v>
      </c>
      <c r="D151" s="67">
        <v>1</v>
      </c>
      <c r="E151" s="67">
        <v>1</v>
      </c>
      <c r="F151" s="67">
        <v>1</v>
      </c>
      <c r="G151" s="67">
        <v>1</v>
      </c>
      <c r="H151" s="67">
        <v>1</v>
      </c>
      <c r="I151" s="67">
        <v>1</v>
      </c>
      <c r="J151" s="67">
        <v>1</v>
      </c>
      <c r="K151" s="67">
        <v>1</v>
      </c>
      <c r="L151" s="67">
        <v>1</v>
      </c>
      <c r="M151" s="67">
        <v>1</v>
      </c>
      <c r="N151" s="67">
        <v>1</v>
      </c>
      <c r="O151" s="67">
        <v>1</v>
      </c>
    </row>
    <row r="152" spans="1:15" x14ac:dyDescent="0.25">
      <c r="A152" s="45" t="s">
        <v>1117</v>
      </c>
      <c r="B152" s="67" t="s">
        <v>1105</v>
      </c>
      <c r="C152" s="67" t="s">
        <v>1074</v>
      </c>
      <c r="D152" s="67">
        <v>1</v>
      </c>
      <c r="E152" s="67">
        <v>1</v>
      </c>
      <c r="F152" s="67">
        <v>1</v>
      </c>
      <c r="G152" s="67">
        <v>1</v>
      </c>
      <c r="H152" s="67">
        <v>1</v>
      </c>
      <c r="I152" s="67">
        <v>1</v>
      </c>
      <c r="J152" s="67">
        <v>1</v>
      </c>
      <c r="K152" s="67">
        <v>1</v>
      </c>
      <c r="L152" s="67">
        <v>1</v>
      </c>
      <c r="M152" s="67">
        <v>1</v>
      </c>
      <c r="N152" s="67">
        <v>1</v>
      </c>
      <c r="O152" s="67">
        <v>1</v>
      </c>
    </row>
    <row r="153" spans="1:15" x14ac:dyDescent="0.25">
      <c r="A153" s="45" t="s">
        <v>1263</v>
      </c>
      <c r="B153" s="67" t="s">
        <v>1140</v>
      </c>
      <c r="C153" s="67" t="s">
        <v>1074</v>
      </c>
      <c r="D153" s="67">
        <v>2</v>
      </c>
      <c r="E153" s="67">
        <v>2</v>
      </c>
      <c r="F153" s="67">
        <v>2</v>
      </c>
      <c r="G153" s="67">
        <v>2</v>
      </c>
      <c r="H153" s="67">
        <v>2</v>
      </c>
      <c r="I153" s="67">
        <v>2</v>
      </c>
      <c r="J153" s="67">
        <v>2</v>
      </c>
      <c r="K153" s="67">
        <v>2</v>
      </c>
      <c r="L153" s="67">
        <v>2</v>
      </c>
      <c r="M153" s="67">
        <v>2</v>
      </c>
      <c r="N153" s="67">
        <v>2</v>
      </c>
      <c r="O153" s="67">
        <v>2</v>
      </c>
    </row>
    <row r="154" spans="1:15" x14ac:dyDescent="0.25">
      <c r="A154" s="45" t="s">
        <v>1264</v>
      </c>
      <c r="B154" s="67" t="s">
        <v>1140</v>
      </c>
      <c r="C154" s="67" t="s">
        <v>1074</v>
      </c>
      <c r="D154" s="67">
        <v>2</v>
      </c>
      <c r="E154" s="67">
        <v>2</v>
      </c>
      <c r="F154" s="67">
        <v>2</v>
      </c>
      <c r="G154" s="67">
        <v>2</v>
      </c>
      <c r="H154" s="67">
        <v>2</v>
      </c>
      <c r="I154" s="67">
        <v>2</v>
      </c>
      <c r="J154" s="67">
        <v>2</v>
      </c>
      <c r="K154" s="67">
        <v>2</v>
      </c>
      <c r="L154" s="67">
        <v>2</v>
      </c>
      <c r="M154" s="67">
        <v>2</v>
      </c>
      <c r="N154" s="67">
        <v>2</v>
      </c>
      <c r="O154" s="67">
        <v>2</v>
      </c>
    </row>
    <row r="155" spans="1:15" x14ac:dyDescent="0.25">
      <c r="A155" s="45" t="s">
        <v>1265</v>
      </c>
      <c r="B155" s="67" t="s">
        <v>1266</v>
      </c>
      <c r="C155" s="67" t="s">
        <v>1074</v>
      </c>
      <c r="E155" s="67">
        <v>3</v>
      </c>
      <c r="G155" s="67">
        <v>3</v>
      </c>
      <c r="I155" s="67">
        <v>3</v>
      </c>
      <c r="K155" s="67">
        <v>3</v>
      </c>
      <c r="M155" s="67">
        <v>3</v>
      </c>
      <c r="O155" s="67">
        <v>3</v>
      </c>
    </row>
    <row r="156" spans="1:15" x14ac:dyDescent="0.25">
      <c r="A156" s="45" t="s">
        <v>1194</v>
      </c>
      <c r="B156" s="67" t="s">
        <v>1140</v>
      </c>
      <c r="C156" s="67" t="s">
        <v>1074</v>
      </c>
      <c r="D156" s="67">
        <v>1</v>
      </c>
      <c r="E156" s="67">
        <v>1</v>
      </c>
      <c r="F156" s="67">
        <v>1</v>
      </c>
      <c r="G156" s="67">
        <v>1</v>
      </c>
      <c r="H156" s="67">
        <v>1</v>
      </c>
      <c r="I156" s="67">
        <v>1</v>
      </c>
      <c r="J156" s="67">
        <v>1</v>
      </c>
      <c r="K156" s="67">
        <v>1</v>
      </c>
      <c r="L156" s="67">
        <v>1</v>
      </c>
      <c r="M156" s="67">
        <v>1</v>
      </c>
      <c r="N156" s="67">
        <v>1</v>
      </c>
      <c r="O156" s="67">
        <v>1</v>
      </c>
    </row>
    <row r="157" spans="1:15" x14ac:dyDescent="0.25">
      <c r="A157" s="45" t="s">
        <v>1196</v>
      </c>
      <c r="B157" s="67" t="s">
        <v>1140</v>
      </c>
      <c r="C157" s="67" t="s">
        <v>1074</v>
      </c>
      <c r="D157" s="67">
        <v>1</v>
      </c>
      <c r="F157" s="67">
        <v>1</v>
      </c>
      <c r="H157" s="67">
        <v>1</v>
      </c>
      <c r="J157" s="67">
        <v>1</v>
      </c>
      <c r="L157" s="67">
        <v>1</v>
      </c>
      <c r="N157" s="67">
        <v>1</v>
      </c>
    </row>
    <row r="158" spans="1:15" x14ac:dyDescent="0.25">
      <c r="A158" s="45" t="s">
        <v>1197</v>
      </c>
      <c r="B158" s="67" t="s">
        <v>1107</v>
      </c>
      <c r="C158" s="67" t="s">
        <v>1088</v>
      </c>
      <c r="E158" s="67">
        <v>1</v>
      </c>
      <c r="F158" s="67">
        <v>1</v>
      </c>
      <c r="G158" s="67">
        <v>1</v>
      </c>
      <c r="H158" s="67">
        <v>1</v>
      </c>
      <c r="I158" s="67">
        <v>1</v>
      </c>
      <c r="J158" s="67">
        <v>1</v>
      </c>
      <c r="K158" s="67">
        <v>1</v>
      </c>
      <c r="L158" s="67">
        <v>1</v>
      </c>
      <c r="M158" s="67">
        <v>1</v>
      </c>
      <c r="N158" s="67">
        <v>1</v>
      </c>
      <c r="O158" s="67">
        <v>1</v>
      </c>
    </row>
    <row r="159" spans="1:15" x14ac:dyDescent="0.25">
      <c r="A159" s="45" t="s">
        <v>1198</v>
      </c>
      <c r="B159" s="67" t="s">
        <v>1199</v>
      </c>
      <c r="C159" s="67" t="s">
        <v>1088</v>
      </c>
      <c r="F159" s="67">
        <v>1</v>
      </c>
      <c r="I159" s="67">
        <v>1</v>
      </c>
      <c r="L159" s="67">
        <v>1</v>
      </c>
      <c r="O159" s="67">
        <v>1</v>
      </c>
    </row>
    <row r="160" spans="1:15" x14ac:dyDescent="0.25">
      <c r="A160" s="45" t="s">
        <v>1838</v>
      </c>
      <c r="B160" s="67" t="s">
        <v>1122</v>
      </c>
      <c r="C160" s="67" t="s">
        <v>1074</v>
      </c>
      <c r="D160" s="67">
        <v>2</v>
      </c>
      <c r="E160" s="67">
        <v>2</v>
      </c>
      <c r="F160" s="67">
        <v>2</v>
      </c>
      <c r="G160" s="67">
        <v>2</v>
      </c>
      <c r="H160" s="67">
        <v>2</v>
      </c>
      <c r="I160" s="67">
        <v>2</v>
      </c>
      <c r="J160" s="67">
        <v>2</v>
      </c>
      <c r="K160" s="67">
        <v>2</v>
      </c>
      <c r="L160" s="67">
        <v>2</v>
      </c>
      <c r="M160" s="67">
        <v>2</v>
      </c>
      <c r="N160" s="67">
        <v>2</v>
      </c>
      <c r="O160" s="67">
        <v>2</v>
      </c>
    </row>
    <row r="161" spans="1:15" x14ac:dyDescent="0.25">
      <c r="A161" s="45" t="s">
        <v>1839</v>
      </c>
      <c r="B161" s="67" t="s">
        <v>1122</v>
      </c>
      <c r="C161" s="67" t="s">
        <v>1074</v>
      </c>
      <c r="D161" s="67">
        <v>2</v>
      </c>
      <c r="E161" s="67">
        <v>2</v>
      </c>
      <c r="F161" s="67">
        <v>2</v>
      </c>
      <c r="G161" s="67">
        <v>2</v>
      </c>
      <c r="H161" s="67">
        <v>2</v>
      </c>
      <c r="I161" s="67">
        <v>2</v>
      </c>
      <c r="J161" s="67">
        <v>2</v>
      </c>
      <c r="K161" s="67">
        <v>2</v>
      </c>
      <c r="L161" s="67">
        <v>2</v>
      </c>
      <c r="M161" s="67">
        <v>2</v>
      </c>
      <c r="N161" s="67">
        <v>2</v>
      </c>
      <c r="O161" s="67">
        <v>2</v>
      </c>
    </row>
    <row r="162" spans="1:15" x14ac:dyDescent="0.25">
      <c r="A162" s="45" t="s">
        <v>1840</v>
      </c>
      <c r="B162" s="67" t="s">
        <v>1084</v>
      </c>
      <c r="C162" s="67" t="s">
        <v>1088</v>
      </c>
      <c r="E162" s="67">
        <v>4</v>
      </c>
      <c r="H162" s="67">
        <v>4</v>
      </c>
      <c r="K162" s="67">
        <v>4</v>
      </c>
      <c r="N162" s="67">
        <v>4</v>
      </c>
    </row>
    <row r="163" spans="1:15" x14ac:dyDescent="0.25">
      <c r="A163" s="45" t="s">
        <v>203</v>
      </c>
      <c r="B163" s="67" t="s">
        <v>1227</v>
      </c>
      <c r="C163" s="67" t="s">
        <v>1088</v>
      </c>
      <c r="D163" s="67">
        <v>1</v>
      </c>
      <c r="E163" s="67">
        <v>1</v>
      </c>
      <c r="F163" s="67">
        <v>1</v>
      </c>
      <c r="G163" s="67">
        <v>1</v>
      </c>
      <c r="H163" s="67">
        <v>1</v>
      </c>
      <c r="I163" s="67">
        <v>1</v>
      </c>
      <c r="J163" s="67">
        <v>1</v>
      </c>
      <c r="K163" s="67">
        <v>1</v>
      </c>
      <c r="L163" s="67">
        <v>1</v>
      </c>
      <c r="M163" s="67">
        <v>1</v>
      </c>
      <c r="N163" s="67">
        <v>1</v>
      </c>
      <c r="O163" s="67">
        <v>1</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87"/>
  <sheetViews>
    <sheetView topLeftCell="BK1" workbookViewId="0">
      <selection activeCell="B19" sqref="B19:CM19"/>
    </sheetView>
  </sheetViews>
  <sheetFormatPr defaultRowHeight="15" x14ac:dyDescent="0.25"/>
  <cols>
    <col min="1" max="1" width="11.140625" style="67" bestFit="1" customWidth="1"/>
    <col min="2" max="2" width="12.5703125" style="67" customWidth="1"/>
    <col min="3" max="3" width="11.140625" style="67" customWidth="1"/>
    <col min="4" max="5" width="9.140625" style="67"/>
    <col min="6" max="6" width="12.42578125" style="67" bestFit="1" customWidth="1"/>
    <col min="7" max="16384" width="9.140625" style="67"/>
  </cols>
  <sheetData>
    <row r="1" spans="1:31" s="273" customFormat="1" x14ac:dyDescent="0.25">
      <c r="B1" s="273">
        <v>1</v>
      </c>
      <c r="C1" s="273">
        <v>2</v>
      </c>
      <c r="D1" s="273">
        <v>3</v>
      </c>
      <c r="E1" s="273">
        <v>4</v>
      </c>
      <c r="F1" s="273">
        <v>5</v>
      </c>
      <c r="G1" s="273">
        <v>6</v>
      </c>
      <c r="H1" s="273">
        <v>7</v>
      </c>
      <c r="I1" s="273">
        <v>8</v>
      </c>
      <c r="J1" s="273">
        <v>9</v>
      </c>
      <c r="K1" s="273">
        <v>10</v>
      </c>
      <c r="L1" s="273">
        <v>11</v>
      </c>
      <c r="M1" s="273">
        <v>12</v>
      </c>
      <c r="N1" s="273">
        <v>13</v>
      </c>
      <c r="O1" s="273">
        <v>14</v>
      </c>
      <c r="P1" s="273">
        <v>15</v>
      </c>
      <c r="Q1" s="273">
        <v>16</v>
      </c>
      <c r="R1" s="273">
        <v>17</v>
      </c>
      <c r="S1" s="273">
        <v>18</v>
      </c>
      <c r="T1" s="273">
        <v>19</v>
      </c>
      <c r="U1" s="273">
        <v>20</v>
      </c>
      <c r="V1" s="273">
        <v>21</v>
      </c>
      <c r="W1" s="273">
        <v>22</v>
      </c>
      <c r="X1" s="273">
        <v>23</v>
      </c>
      <c r="Y1" s="273">
        <v>24</v>
      </c>
      <c r="Z1" s="273">
        <v>25</v>
      </c>
      <c r="AA1" s="273">
        <v>26</v>
      </c>
      <c r="AB1" s="273">
        <v>27</v>
      </c>
      <c r="AC1" s="273">
        <v>28</v>
      </c>
      <c r="AD1" s="273">
        <v>29</v>
      </c>
      <c r="AE1" s="273">
        <v>30</v>
      </c>
    </row>
    <row r="2" spans="1:31" x14ac:dyDescent="0.25">
      <c r="A2" s="181" t="s">
        <v>909</v>
      </c>
      <c r="B2" s="67">
        <v>24</v>
      </c>
      <c r="C2" s="67">
        <v>26</v>
      </c>
      <c r="D2" s="67">
        <v>31</v>
      </c>
      <c r="E2" s="67">
        <v>36</v>
      </c>
      <c r="F2" s="67">
        <v>41</v>
      </c>
      <c r="G2" s="67">
        <v>48</v>
      </c>
      <c r="H2" s="67">
        <v>55</v>
      </c>
      <c r="I2" s="67">
        <v>62</v>
      </c>
      <c r="J2" s="67">
        <v>70</v>
      </c>
      <c r="K2" s="67">
        <v>77</v>
      </c>
      <c r="L2" s="67">
        <v>86</v>
      </c>
      <c r="M2" s="67">
        <v>96</v>
      </c>
      <c r="N2" s="67">
        <v>105</v>
      </c>
      <c r="O2" s="67">
        <v>115</v>
      </c>
      <c r="P2" s="67">
        <v>125</v>
      </c>
      <c r="Q2" s="67">
        <v>134</v>
      </c>
      <c r="R2" s="67">
        <v>144</v>
      </c>
      <c r="S2" s="67">
        <v>156</v>
      </c>
      <c r="T2" s="67">
        <v>166</v>
      </c>
      <c r="U2" s="67">
        <v>177</v>
      </c>
      <c r="V2" s="67">
        <v>189</v>
      </c>
      <c r="W2" s="67">
        <v>199</v>
      </c>
      <c r="X2" s="67">
        <v>211</v>
      </c>
      <c r="Y2" s="67">
        <v>223</v>
      </c>
      <c r="Z2" s="67">
        <v>235</v>
      </c>
      <c r="AA2" s="67">
        <v>249</v>
      </c>
      <c r="AB2" s="67">
        <v>262</v>
      </c>
      <c r="AC2" s="67">
        <v>274</v>
      </c>
      <c r="AD2" s="67">
        <v>288</v>
      </c>
      <c r="AE2" s="67">
        <v>300</v>
      </c>
    </row>
    <row r="3" spans="1:31" x14ac:dyDescent="0.25">
      <c r="A3" s="181" t="s">
        <v>910</v>
      </c>
      <c r="B3" s="67">
        <v>60</v>
      </c>
      <c r="C3" s="67">
        <v>66</v>
      </c>
      <c r="D3" s="67">
        <v>74</v>
      </c>
      <c r="E3" s="67">
        <v>86</v>
      </c>
      <c r="F3" s="67">
        <v>100</v>
      </c>
      <c r="G3" s="67">
        <v>114</v>
      </c>
      <c r="H3" s="67">
        <v>130</v>
      </c>
      <c r="I3" s="67">
        <v>148</v>
      </c>
      <c r="J3" s="67">
        <v>166</v>
      </c>
      <c r="K3" s="67">
        <v>184</v>
      </c>
      <c r="L3" s="67">
        <v>204</v>
      </c>
      <c r="M3" s="67">
        <v>226</v>
      </c>
      <c r="N3" s="67">
        <v>247</v>
      </c>
      <c r="O3" s="67">
        <v>270</v>
      </c>
      <c r="P3" s="67">
        <v>294</v>
      </c>
      <c r="Q3" s="67">
        <v>318</v>
      </c>
      <c r="R3" s="67">
        <v>342</v>
      </c>
      <c r="S3" s="67">
        <v>366</v>
      </c>
      <c r="T3" s="67">
        <v>392</v>
      </c>
      <c r="U3" s="67">
        <v>420</v>
      </c>
      <c r="V3" s="67">
        <v>446</v>
      </c>
      <c r="W3" s="67">
        <v>474</v>
      </c>
      <c r="X3" s="67">
        <v>503</v>
      </c>
      <c r="Y3" s="67">
        <v>532</v>
      </c>
      <c r="Z3" s="67">
        <v>560</v>
      </c>
      <c r="AA3" s="67">
        <v>590</v>
      </c>
      <c r="AB3" s="67">
        <v>622</v>
      </c>
      <c r="AC3" s="67">
        <v>652</v>
      </c>
      <c r="AD3" s="67">
        <v>684</v>
      </c>
      <c r="AE3" s="67">
        <v>715</v>
      </c>
    </row>
    <row r="4" spans="1:31" x14ac:dyDescent="0.25">
      <c r="A4" s="181" t="s">
        <v>911</v>
      </c>
      <c r="B4" s="67">
        <v>120</v>
      </c>
      <c r="C4" s="67">
        <v>132</v>
      </c>
      <c r="D4" s="67">
        <v>155</v>
      </c>
      <c r="E4" s="67">
        <v>182</v>
      </c>
      <c r="F4" s="67">
        <v>215</v>
      </c>
      <c r="G4" s="67">
        <v>251</v>
      </c>
      <c r="H4" s="67">
        <v>289</v>
      </c>
      <c r="I4" s="67">
        <v>331</v>
      </c>
      <c r="J4" s="67">
        <v>376</v>
      </c>
      <c r="K4" s="67">
        <v>424</v>
      </c>
      <c r="L4" s="67">
        <v>473</v>
      </c>
      <c r="M4" s="67">
        <v>524</v>
      </c>
      <c r="N4" s="67">
        <v>579</v>
      </c>
      <c r="O4" s="67">
        <v>635</v>
      </c>
      <c r="P4" s="67">
        <v>692</v>
      </c>
      <c r="Q4" s="67">
        <v>752</v>
      </c>
      <c r="R4" s="67">
        <v>815</v>
      </c>
      <c r="S4" s="67">
        <v>877</v>
      </c>
      <c r="T4" s="67">
        <v>943</v>
      </c>
      <c r="U4" s="67">
        <v>1009</v>
      </c>
      <c r="V4" s="67">
        <v>1078</v>
      </c>
      <c r="W4" s="67">
        <v>1147</v>
      </c>
      <c r="X4" s="67">
        <v>1219</v>
      </c>
      <c r="Y4" s="67">
        <v>1291</v>
      </c>
      <c r="Z4" s="67">
        <v>1365</v>
      </c>
      <c r="AA4" s="67">
        <v>1440</v>
      </c>
      <c r="AB4" s="67">
        <v>1517</v>
      </c>
      <c r="AC4" s="67">
        <v>1596</v>
      </c>
      <c r="AD4" s="67">
        <v>1675</v>
      </c>
      <c r="AE4" s="67">
        <v>1756</v>
      </c>
    </row>
    <row r="5" spans="1:31" x14ac:dyDescent="0.25">
      <c r="A5" s="181" t="s">
        <v>912</v>
      </c>
      <c r="B5" s="67">
        <v>288</v>
      </c>
      <c r="C5" s="67">
        <v>312</v>
      </c>
      <c r="D5" s="67">
        <v>353</v>
      </c>
      <c r="E5" s="67">
        <v>402</v>
      </c>
      <c r="F5" s="67">
        <v>460</v>
      </c>
      <c r="G5" s="67">
        <v>522</v>
      </c>
      <c r="H5" s="67">
        <v>590</v>
      </c>
      <c r="I5" s="67">
        <v>662</v>
      </c>
      <c r="J5" s="67">
        <v>740</v>
      </c>
      <c r="K5" s="67">
        <v>821</v>
      </c>
      <c r="L5" s="67">
        <v>906</v>
      </c>
      <c r="M5" s="67">
        <v>994</v>
      </c>
      <c r="N5" s="67">
        <v>1085</v>
      </c>
      <c r="O5" s="67">
        <v>1180</v>
      </c>
      <c r="P5" s="67">
        <v>1277</v>
      </c>
      <c r="Q5" s="67">
        <v>1378</v>
      </c>
      <c r="R5" s="67">
        <v>1480</v>
      </c>
      <c r="S5" s="67">
        <v>1586</v>
      </c>
      <c r="T5" s="67">
        <v>1694</v>
      </c>
      <c r="U5" s="67">
        <v>1804</v>
      </c>
      <c r="V5" s="67">
        <v>1918</v>
      </c>
      <c r="W5" s="67">
        <v>2032</v>
      </c>
      <c r="X5" s="67">
        <v>2150</v>
      </c>
      <c r="Y5" s="67">
        <v>2269</v>
      </c>
      <c r="Z5" s="67">
        <v>2390</v>
      </c>
      <c r="AA5" s="67">
        <v>2514</v>
      </c>
      <c r="AB5" s="67">
        <v>2640</v>
      </c>
      <c r="AC5" s="67">
        <v>2768</v>
      </c>
      <c r="AD5" s="67">
        <v>2898</v>
      </c>
      <c r="AE5" s="67">
        <v>3029</v>
      </c>
    </row>
    <row r="7" spans="1:31" x14ac:dyDescent="0.25">
      <c r="A7" s="181" t="s">
        <v>327</v>
      </c>
      <c r="B7" s="279" t="s">
        <v>911</v>
      </c>
    </row>
    <row r="8" spans="1:31" x14ac:dyDescent="0.25">
      <c r="A8" s="181" t="s">
        <v>913</v>
      </c>
      <c r="B8" s="277">
        <f>SUM(B9:B11)*2</f>
        <v>280</v>
      </c>
      <c r="D8" s="181" t="s">
        <v>914</v>
      </c>
      <c r="F8" s="67">
        <f>B8/(VLOOKUP(B7,StatBaseline,2,FALSE)*2)</f>
        <v>1.1666666666666667</v>
      </c>
    </row>
    <row r="9" spans="1:31" x14ac:dyDescent="0.25">
      <c r="A9" s="181" t="s">
        <v>110</v>
      </c>
      <c r="B9" s="277">
        <v>25</v>
      </c>
      <c r="D9" s="181" t="s">
        <v>915</v>
      </c>
      <c r="F9" s="584">
        <f>B9/B8</f>
        <v>8.9285714285714288E-2</v>
      </c>
    </row>
    <row r="10" spans="1:31" x14ac:dyDescent="0.25">
      <c r="A10" s="181" t="s">
        <v>111</v>
      </c>
      <c r="B10" s="277">
        <v>70</v>
      </c>
      <c r="D10" s="181" t="s">
        <v>916</v>
      </c>
      <c r="F10" s="584">
        <f>B10/B8</f>
        <v>0.25</v>
      </c>
    </row>
    <row r="11" spans="1:31" x14ac:dyDescent="0.25">
      <c r="A11" s="181" t="s">
        <v>112</v>
      </c>
      <c r="B11" s="278">
        <v>45</v>
      </c>
      <c r="D11" s="181" t="s">
        <v>917</v>
      </c>
      <c r="F11" s="584">
        <f>B11/B8</f>
        <v>0.16071428571428573</v>
      </c>
    </row>
    <row r="13" spans="1:31" s="273" customFormat="1" x14ac:dyDescent="0.25">
      <c r="B13" s="273">
        <v>1</v>
      </c>
      <c r="C13" s="273">
        <v>2</v>
      </c>
      <c r="D13" s="273">
        <v>3</v>
      </c>
      <c r="E13" s="273">
        <v>4</v>
      </c>
      <c r="F13" s="273">
        <v>5</v>
      </c>
      <c r="G13" s="273">
        <v>6</v>
      </c>
      <c r="H13" s="273">
        <v>7</v>
      </c>
      <c r="I13" s="273">
        <v>8</v>
      </c>
      <c r="J13" s="273">
        <v>9</v>
      </c>
      <c r="K13" s="273">
        <v>10</v>
      </c>
      <c r="L13" s="273">
        <v>11</v>
      </c>
      <c r="M13" s="273">
        <v>12</v>
      </c>
      <c r="N13" s="273">
        <v>13</v>
      </c>
      <c r="O13" s="273">
        <v>14</v>
      </c>
      <c r="P13" s="273">
        <v>15</v>
      </c>
      <c r="Q13" s="273">
        <v>16</v>
      </c>
      <c r="R13" s="273">
        <v>17</v>
      </c>
      <c r="S13" s="273">
        <v>18</v>
      </c>
      <c r="T13" s="273">
        <v>19</v>
      </c>
      <c r="U13" s="273">
        <v>20</v>
      </c>
      <c r="V13" s="273">
        <v>21</v>
      </c>
      <c r="W13" s="273">
        <v>22</v>
      </c>
      <c r="X13" s="273">
        <v>23</v>
      </c>
      <c r="Y13" s="273">
        <v>24</v>
      </c>
      <c r="Z13" s="273">
        <v>25</v>
      </c>
      <c r="AA13" s="273">
        <v>26</v>
      </c>
      <c r="AB13" s="273">
        <v>27</v>
      </c>
      <c r="AC13" s="273">
        <v>28</v>
      </c>
      <c r="AD13" s="273">
        <v>29</v>
      </c>
      <c r="AE13" s="273">
        <v>30</v>
      </c>
    </row>
    <row r="14" spans="1:31" x14ac:dyDescent="0.25">
      <c r="A14" s="181" t="s">
        <v>110</v>
      </c>
      <c r="B14" s="274">
        <f>(VLOOKUP($B$7,StatBaseline,$B$13+1,FALSE)*2)*$F$8*$F$9</f>
        <v>25</v>
      </c>
      <c r="C14" s="274">
        <f>(VLOOKUP($B$7,StatBaseline,$C$13+1,FALSE)*2)*$F$8*$F$9</f>
        <v>27.5</v>
      </c>
      <c r="D14" s="274">
        <f>(VLOOKUP($B$7,StatBaseline,$D$13+1,FALSE)*2)*$F$8*$F$9</f>
        <v>32.291666666666671</v>
      </c>
      <c r="E14" s="274">
        <f>(VLOOKUP($B$7,StatBaseline,$E$13+1,FALSE)*2)*$F$8*$F$9</f>
        <v>37.916666666666671</v>
      </c>
      <c r="F14" s="275">
        <f>(VLOOKUP($B$7,StatBaseline,$F$13+1,FALSE)*2)*$F$8*$F$9</f>
        <v>44.791666666666671</v>
      </c>
      <c r="G14" s="274">
        <f>(VLOOKUP($B$7,StatBaseline,$G$13+1,FALSE)*2)*$F$8*$F$9</f>
        <v>52.291666666666671</v>
      </c>
      <c r="H14" s="274">
        <f>(VLOOKUP($B$7,StatBaseline,$H$13+1,FALSE)*2)*$F$8*$F$9</f>
        <v>60.208333333333336</v>
      </c>
      <c r="I14" s="274">
        <f>(VLOOKUP($B$7,StatBaseline,$I$13+1,FALSE)*2)*$F$8*$F$9</f>
        <v>68.958333333333343</v>
      </c>
      <c r="J14" s="274">
        <f>(VLOOKUP($B$7,StatBaseline,$J$13+1,FALSE)*2)*$F$8*$F$9</f>
        <v>78.333333333333343</v>
      </c>
      <c r="K14" s="274">
        <f>(VLOOKUP($B$7,StatBaseline,$K$13+1,FALSE)*2)*$F$8*$F$9</f>
        <v>88.333333333333343</v>
      </c>
      <c r="L14" s="274">
        <f>(VLOOKUP($B$7,StatBaseline,$L$13+1,FALSE)*2)*$F$8*$F$9</f>
        <v>98.541666666666671</v>
      </c>
      <c r="M14" s="274">
        <f>(VLOOKUP($B$7,StatBaseline,$M$13+1,FALSE)*2)*$F$8*$F$9</f>
        <v>109.16666666666667</v>
      </c>
      <c r="N14" s="274">
        <f>(VLOOKUP($B$7,StatBaseline,$N$13+1,FALSE)*2)*$F$8*$F$9</f>
        <v>120.625</v>
      </c>
      <c r="O14" s="274">
        <f>(VLOOKUP($B$7,StatBaseline,$O$13+1,FALSE)*2)*$F$8*$F$9</f>
        <v>132.29166666666669</v>
      </c>
      <c r="P14" s="274">
        <f>(VLOOKUP($B$7,StatBaseline,$P$13+1,FALSE)*2)*$F$8*$F$9</f>
        <v>144.16666666666669</v>
      </c>
      <c r="Q14" s="274">
        <f>(VLOOKUP($B$7,StatBaseline,$Q$13+1,FALSE)*2)*$F$8*$F$9</f>
        <v>156.66666666666669</v>
      </c>
      <c r="R14" s="274">
        <f>(VLOOKUP($B$7,StatBaseline,$R$13+1,FALSE)*2)*$F$8*$F$9</f>
        <v>169.79166666666669</v>
      </c>
      <c r="S14" s="274">
        <f>(VLOOKUP($B$7,StatBaseline,$S$13+1,FALSE)*2)*$F$8*$F$9</f>
        <v>182.70833333333334</v>
      </c>
      <c r="T14" s="274">
        <f>(VLOOKUP($B$7,StatBaseline,$T$13+1,FALSE)*2)*$F$8*$F$9</f>
        <v>196.45833333333334</v>
      </c>
      <c r="U14" s="274">
        <f>(VLOOKUP($B$7,StatBaseline,$U$13+1,FALSE)*2)*$F$8*$F$9</f>
        <v>210.20833333333334</v>
      </c>
      <c r="V14" s="274">
        <f>(VLOOKUP($B$7,StatBaseline,$V$13+1,FALSE)*2)*$F$8*$F$9</f>
        <v>224.58333333333334</v>
      </c>
      <c r="W14" s="274">
        <f>(VLOOKUP($B$7,StatBaseline,$W$13+1,FALSE)*2)*$F$8*$F$9</f>
        <v>238.95833333333334</v>
      </c>
      <c r="X14" s="274">
        <f>(VLOOKUP($B$7,StatBaseline,$X$13+1,FALSE)*2)*$F$8*$F$9</f>
        <v>253.95833333333334</v>
      </c>
      <c r="Y14" s="274">
        <f>(VLOOKUP($B$7,StatBaseline,$Y$13+1,FALSE)*2)*$F$8*$F$9</f>
        <v>268.95833333333337</v>
      </c>
      <c r="Z14" s="274">
        <f>(VLOOKUP($B$7,StatBaseline,$Z$13+1,FALSE)*2)*$F$8*$F$9</f>
        <v>284.375</v>
      </c>
      <c r="AA14" s="274">
        <f>(VLOOKUP($B$7,StatBaseline,$AA$13+1,FALSE)*2)*$F$8*$F$9</f>
        <v>300</v>
      </c>
      <c r="AB14" s="274">
        <f>(VLOOKUP($B$7,StatBaseline,$AB$13+1,FALSE)*2)*$F$8*$F$9</f>
        <v>316.04166666666669</v>
      </c>
      <c r="AC14" s="274">
        <f>(VLOOKUP($B$7,StatBaseline,$AC$13+1,FALSE)*2)*$F$8*$F$9</f>
        <v>332.50000000000006</v>
      </c>
      <c r="AD14" s="274">
        <f>(VLOOKUP($B$7,StatBaseline,$AD$13+1,FALSE)*2)*$F$8*$F$9</f>
        <v>348.95833333333337</v>
      </c>
      <c r="AE14" s="276">
        <f>(VLOOKUP($B$7,StatBaseline,$AE$13+1,FALSE)*2)*$F$8*$F$9</f>
        <v>365.83333333333337</v>
      </c>
    </row>
    <row r="15" spans="1:31" x14ac:dyDescent="0.25">
      <c r="A15" s="181" t="s">
        <v>111</v>
      </c>
      <c r="B15" s="274">
        <f>(VLOOKUP($B$7,StatBaseline,$B$13+1,FALSE)*2)*$F$8*$F$10</f>
        <v>70</v>
      </c>
      <c r="C15" s="274">
        <f>(VLOOKUP($B$7,StatBaseline,$C$13+1,FALSE)*2)*$F$8*$F$10</f>
        <v>77</v>
      </c>
      <c r="D15" s="274">
        <f>(VLOOKUP($B$7,StatBaseline,$D$13+1,FALSE)*2)*$F$8*$F$10</f>
        <v>90.416666666666671</v>
      </c>
      <c r="E15" s="274">
        <f>(VLOOKUP($B$7,StatBaseline,$E$13+1,FALSE)*2)*$F$8*$F$10</f>
        <v>106.16666666666667</v>
      </c>
      <c r="F15" s="275">
        <f>(VLOOKUP($B$7,StatBaseline,$F$13+1,FALSE)*2)*$F$8*$F$10</f>
        <v>125.41666666666667</v>
      </c>
      <c r="G15" s="274">
        <f>(VLOOKUP($B$7,StatBaseline,$G$13+1,FALSE)*2)*$F$8*$F$10</f>
        <v>146.41666666666669</v>
      </c>
      <c r="H15" s="274">
        <f>(VLOOKUP($B$7,StatBaseline,$H$13+1,FALSE)*2)*$F$8*$F$10</f>
        <v>168.58333333333334</v>
      </c>
      <c r="I15" s="274">
        <f>(VLOOKUP($B$7,StatBaseline,$I$13+1,FALSE)*2)*$F$8*$F$10</f>
        <v>193.08333333333334</v>
      </c>
      <c r="J15" s="274">
        <f>(VLOOKUP($B$7,StatBaseline,$J$13+1,FALSE)*2)*$F$8*$F$10</f>
        <v>219.33333333333334</v>
      </c>
      <c r="K15" s="274">
        <f>(VLOOKUP($B$7,StatBaseline,$K$13+1,FALSE)*2)*$F$8*$F$10</f>
        <v>247.33333333333334</v>
      </c>
      <c r="L15" s="274">
        <f>(VLOOKUP($B$7,StatBaseline,$L$13+1,FALSE)*2)*$F$8*$F$10</f>
        <v>275.91666666666669</v>
      </c>
      <c r="M15" s="274">
        <f>(VLOOKUP($B$7,StatBaseline,$M$13+1,FALSE)*2)*$F$8*$F$10</f>
        <v>305.66666666666669</v>
      </c>
      <c r="N15" s="274">
        <f>(VLOOKUP($B$7,StatBaseline,$N$13+1,FALSE)*2)*$F$8*$F$10</f>
        <v>337.75</v>
      </c>
      <c r="O15" s="274">
        <f>(VLOOKUP($B$7,StatBaseline,$O$13+1,FALSE)*2)*$F$8*$F$10</f>
        <v>370.41666666666669</v>
      </c>
      <c r="P15" s="274">
        <f>(VLOOKUP($B$7,StatBaseline,$P$13+1,FALSE)*2)*$F$8*$F$10</f>
        <v>403.66666666666669</v>
      </c>
      <c r="Q15" s="274">
        <f>(VLOOKUP($B$7,StatBaseline,$Q$13+1,FALSE)*2)*$F$8*$F$10</f>
        <v>438.66666666666669</v>
      </c>
      <c r="R15" s="274">
        <f>(VLOOKUP($B$7,StatBaseline,$R$13+1,FALSE)*2)*$F$8*$F$10</f>
        <v>475.41666666666669</v>
      </c>
      <c r="S15" s="274">
        <f>(VLOOKUP($B$7,StatBaseline,$S$13+1,FALSE)*2)*$F$8*$F$10</f>
        <v>511.58333333333337</v>
      </c>
      <c r="T15" s="274">
        <f>(VLOOKUP($B$7,StatBaseline,$T$13+1,FALSE)*2)*$F$8*$F$10</f>
        <v>550.08333333333337</v>
      </c>
      <c r="U15" s="274">
        <f>(VLOOKUP($B$7,StatBaseline,$U$13+1,FALSE)*2)*$F$8*$F$10</f>
        <v>588.58333333333337</v>
      </c>
      <c r="V15" s="274">
        <f>(VLOOKUP($B$7,StatBaseline,$V$13+1,FALSE)*2)*$F$8*$F$10</f>
        <v>628.83333333333337</v>
      </c>
      <c r="W15" s="274">
        <f>(VLOOKUP($B$7,StatBaseline,$W$13+1,FALSE)*2)*$F$8*$F$10</f>
        <v>669.08333333333337</v>
      </c>
      <c r="X15" s="274">
        <f>(VLOOKUP($B$7,StatBaseline,$X$13+1,FALSE)*2)*$F$8*$F$10</f>
        <v>711.08333333333337</v>
      </c>
      <c r="Y15" s="274">
        <f>(VLOOKUP($B$7,StatBaseline,$Y$13+1,FALSE)*2)*$F$8*$F$10</f>
        <v>753.08333333333337</v>
      </c>
      <c r="Z15" s="274">
        <f>(VLOOKUP($B$7,StatBaseline,$Z$13+1,FALSE)*2)*$F$8*$F$10</f>
        <v>796.25</v>
      </c>
      <c r="AA15" s="274">
        <f>(VLOOKUP($B$7,StatBaseline,$AA$13+1,FALSE)*2)*$F$8*$F$10</f>
        <v>840</v>
      </c>
      <c r="AB15" s="274">
        <f>(VLOOKUP($B$7,StatBaseline,$AB$13+1,FALSE)*2)*$F$8*$F$10</f>
        <v>884.91666666666674</v>
      </c>
      <c r="AC15" s="274">
        <f>(VLOOKUP($B$7,StatBaseline,$AC$13+1,FALSE)*2)*$F$8*$F$10</f>
        <v>931.00000000000011</v>
      </c>
      <c r="AD15" s="274">
        <f>(VLOOKUP($B$7,StatBaseline,$AD$13+1,FALSE)*2)*$F$8*$F$10</f>
        <v>977.08333333333337</v>
      </c>
      <c r="AE15" s="276">
        <f>(VLOOKUP($B$7,StatBaseline,$AE$13+1,FALSE)*2)*$F$8*$F$10</f>
        <v>1024.3333333333335</v>
      </c>
    </row>
    <row r="16" spans="1:31" x14ac:dyDescent="0.25">
      <c r="A16" s="181" t="s">
        <v>112</v>
      </c>
      <c r="B16" s="274">
        <f>(VLOOKUP($B$7,StatBaseline,$B$13+1,FALSE)*2)*$F$8*$F$11</f>
        <v>45</v>
      </c>
      <c r="C16" s="274">
        <f>(VLOOKUP($B$7,StatBaseline,$C$13+1,FALSE)*2)*$F$8*$F$11</f>
        <v>49.500000000000007</v>
      </c>
      <c r="D16" s="274">
        <f>(VLOOKUP($B$7,StatBaseline,$D$13+1,FALSE)*2)*$F$8*$F$11</f>
        <v>58.125000000000007</v>
      </c>
      <c r="E16" s="274">
        <f>(VLOOKUP($B$7,StatBaseline,$E$13+1,FALSE)*2)*$F$8*$F$11</f>
        <v>68.250000000000014</v>
      </c>
      <c r="F16" s="275">
        <f>(VLOOKUP($B$7,StatBaseline,$F$13+1,FALSE)*2)*$F$8*$F$11</f>
        <v>80.625000000000014</v>
      </c>
      <c r="G16" s="274">
        <f>(VLOOKUP($B$7,StatBaseline,$G$13+1,FALSE)*2)*$F$8*$F$11</f>
        <v>94.125000000000014</v>
      </c>
      <c r="H16" s="274">
        <f>(VLOOKUP($B$7,StatBaseline,$H$13+1,FALSE)*2)*$F$8*$F$11</f>
        <v>108.37500000000001</v>
      </c>
      <c r="I16" s="274">
        <f>(VLOOKUP($B$7,StatBaseline,$I$13+1,FALSE)*2)*$F$8*$F$11</f>
        <v>124.12500000000001</v>
      </c>
      <c r="J16" s="274">
        <f>(VLOOKUP($B$7,StatBaseline,$J$13+1,FALSE)*2)*$F$8*$F$11</f>
        <v>141.00000000000003</v>
      </c>
      <c r="K16" s="274">
        <f>(VLOOKUP($B$7,StatBaseline,$K$13+1,FALSE)*2)*$F$8*$F$11</f>
        <v>159.00000000000003</v>
      </c>
      <c r="L16" s="274">
        <f>(VLOOKUP($B$7,StatBaseline,$L$13+1,FALSE)*2)*$F$8*$F$11</f>
        <v>177.37500000000003</v>
      </c>
      <c r="M16" s="274">
        <f>(VLOOKUP($B$7,StatBaseline,$M$13+1,FALSE)*2)*$F$8*$F$11</f>
        <v>196.50000000000003</v>
      </c>
      <c r="N16" s="274">
        <f>(VLOOKUP($B$7,StatBaseline,$N$13+1,FALSE)*2)*$F$8*$F$11</f>
        <v>217.12500000000003</v>
      </c>
      <c r="O16" s="274">
        <f>(VLOOKUP($B$7,StatBaseline,$O$13+1,FALSE)*2)*$F$8*$F$11</f>
        <v>238.12500000000003</v>
      </c>
      <c r="P16" s="274">
        <f>(VLOOKUP($B$7,StatBaseline,$P$13+1,FALSE)*2)*$F$8*$F$11</f>
        <v>259.50000000000006</v>
      </c>
      <c r="Q16" s="274">
        <f>(VLOOKUP($B$7,StatBaseline,$Q$13+1,FALSE)*2)*$F$8*$F$11</f>
        <v>282.00000000000006</v>
      </c>
      <c r="R16" s="274">
        <f>(VLOOKUP($B$7,StatBaseline,$R$13+1,FALSE)*2)*$F$8*$F$11</f>
        <v>305.62500000000006</v>
      </c>
      <c r="S16" s="274">
        <f>(VLOOKUP($B$7,StatBaseline,$S$13+1,FALSE)*2)*$F$8*$F$11</f>
        <v>328.87500000000006</v>
      </c>
      <c r="T16" s="274">
        <f>(VLOOKUP($B$7,StatBaseline,$T$13+1,FALSE)*2)*$F$8*$F$11</f>
        <v>353.62500000000006</v>
      </c>
      <c r="U16" s="274">
        <f>(VLOOKUP($B$7,StatBaseline,$U$13+1,FALSE)*2)*$F$8*$F$11</f>
        <v>378.37500000000006</v>
      </c>
      <c r="V16" s="274">
        <f>(VLOOKUP($B$7,StatBaseline,$V$13+1,FALSE)*2)*$F$8*$F$11</f>
        <v>404.25000000000006</v>
      </c>
      <c r="W16" s="274">
        <f>(VLOOKUP($B$7,StatBaseline,$W$13+1,FALSE)*2)*$F$8*$F$11</f>
        <v>430.12500000000006</v>
      </c>
      <c r="X16" s="274">
        <f>(VLOOKUP($B$7,StatBaseline,$X$13+1,FALSE)*2)*$F$8*$F$11</f>
        <v>457.12500000000006</v>
      </c>
      <c r="Y16" s="274">
        <f>(VLOOKUP($B$7,StatBaseline,$Y$13+1,FALSE)*2)*$F$8*$F$11</f>
        <v>484.12500000000006</v>
      </c>
      <c r="Z16" s="274">
        <f>(VLOOKUP($B$7,StatBaseline,$Z$13+1,FALSE)*2)*$F$8*$F$11</f>
        <v>511.87500000000006</v>
      </c>
      <c r="AA16" s="274">
        <f>(VLOOKUP($B$7,StatBaseline,$AA$13+1,FALSE)*2)*$F$8*$F$11</f>
        <v>540</v>
      </c>
      <c r="AB16" s="274">
        <f>(VLOOKUP($B$7,StatBaseline,$AB$13+1,FALSE)*2)*$F$8*$F$11</f>
        <v>568.87500000000011</v>
      </c>
      <c r="AC16" s="274">
        <f>(VLOOKUP($B$7,StatBaseline,$AC$13+1,FALSE)*2)*$F$8*$F$11</f>
        <v>598.50000000000011</v>
      </c>
      <c r="AD16" s="274">
        <f>(VLOOKUP($B$7,StatBaseline,$AD$13+1,FALSE)*2)*$F$8*$F$11</f>
        <v>628.12500000000011</v>
      </c>
      <c r="AE16" s="276">
        <f>(VLOOKUP($B$7,StatBaseline,$AE$13+1,FALSE)*2)*$F$8*$F$11</f>
        <v>658.50000000000011</v>
      </c>
    </row>
    <row r="17" spans="1:91" s="274" customFormat="1" x14ac:dyDescent="0.25"/>
    <row r="18" spans="1:91" x14ac:dyDescent="0.25">
      <c r="B18" s="276"/>
      <c r="C18" s="276"/>
      <c r="D18" s="276"/>
      <c r="E18" s="274"/>
      <c r="F18" s="274"/>
      <c r="G18" s="274"/>
      <c r="H18" s="274"/>
      <c r="I18" s="274"/>
      <c r="J18" s="274"/>
      <c r="K18" s="274"/>
      <c r="L18" s="274"/>
      <c r="M18" s="274"/>
      <c r="N18" s="274"/>
      <c r="O18" s="274"/>
      <c r="P18" s="274"/>
      <c r="Q18" s="274"/>
      <c r="R18" s="274"/>
      <c r="S18" s="274"/>
      <c r="T18" s="274"/>
      <c r="U18" s="274"/>
      <c r="V18" s="274"/>
      <c r="W18" s="274"/>
      <c r="X18" s="274"/>
      <c r="Y18" s="274"/>
      <c r="Z18" s="274"/>
      <c r="AA18" s="274"/>
      <c r="AB18" s="274"/>
      <c r="AC18" s="274"/>
      <c r="AD18" s="274"/>
      <c r="AE18" s="274"/>
    </row>
    <row r="19" spans="1:91" x14ac:dyDescent="0.25">
      <c r="B19" s="274">
        <f>(VLOOKUP($B$7,StatBaseline,$B$13+1,FALSE)*2)*$F$8*$F$9</f>
        <v>25</v>
      </c>
      <c r="C19" s="274">
        <f>(VLOOKUP($B$7,StatBaseline,$B$13+1,FALSE)*2)*$F$8*$F$10</f>
        <v>70</v>
      </c>
      <c r="D19" s="274">
        <f>(VLOOKUP($B$7,StatBaseline,$B$13+1,FALSE)*2)*$F$8*$F$11</f>
        <v>45</v>
      </c>
      <c r="E19" s="274">
        <f>(VLOOKUP($B$7,StatBaseline,$C$13+1,FALSE)*2)*$F$8*$F$9</f>
        <v>27.5</v>
      </c>
      <c r="F19" s="274">
        <f>(VLOOKUP($B$7,StatBaseline,$C$13+1,FALSE)*2)*$F$8*$F$10</f>
        <v>77</v>
      </c>
      <c r="G19" s="274">
        <f>(VLOOKUP($B$7,StatBaseline,$C$13+1,FALSE)*2)*$F$8*$F$11</f>
        <v>49.500000000000007</v>
      </c>
      <c r="H19" s="274">
        <f>(VLOOKUP($B$7,StatBaseline,$D$13+1,FALSE)*2)*$F$8*$F$9</f>
        <v>32.291666666666671</v>
      </c>
      <c r="I19" s="274">
        <f>(VLOOKUP($B$7,StatBaseline,$D$13+1,FALSE)*2)*$F$8*$F$10</f>
        <v>90.416666666666671</v>
      </c>
      <c r="J19" s="274">
        <f>(VLOOKUP($B$7,StatBaseline,$D$13+1,FALSE)*2)*$F$8*$F$11</f>
        <v>58.125000000000007</v>
      </c>
      <c r="K19" s="274">
        <f>(VLOOKUP($B$7,StatBaseline,$E$13+1,FALSE)*2)*$F$8*$F$9</f>
        <v>37.916666666666671</v>
      </c>
      <c r="L19" s="274">
        <f>(VLOOKUP($B$7,StatBaseline,$E$13+1,FALSE)*2)*$F$8*$F$10</f>
        <v>106.16666666666667</v>
      </c>
      <c r="M19" s="274">
        <f>(VLOOKUP($B$7,StatBaseline,$E$13+1,FALSE)*2)*$F$8*$F$11</f>
        <v>68.250000000000014</v>
      </c>
      <c r="N19" s="274">
        <f>(VLOOKUP($B$7,StatBaseline,$F$13+1,FALSE)*2)*$F$8*$F$9</f>
        <v>44.791666666666671</v>
      </c>
      <c r="O19" s="274">
        <f>(VLOOKUP($B$7,StatBaseline,$F$13+1,FALSE)*2)*$F$8*$F$10</f>
        <v>125.41666666666667</v>
      </c>
      <c r="P19" s="274">
        <f>(VLOOKUP($B$7,StatBaseline,$F$13+1,FALSE)*2)*$F$8*$F$11</f>
        <v>80.625000000000014</v>
      </c>
      <c r="Q19" s="274">
        <f>(VLOOKUP($B$7,StatBaseline,$G$13+1,FALSE)*2)*$F$8*$F$9</f>
        <v>52.291666666666671</v>
      </c>
      <c r="R19" s="274">
        <f>(VLOOKUP($B$7,StatBaseline,$G$13+1,FALSE)*2)*$F$8*$F$10</f>
        <v>146.41666666666669</v>
      </c>
      <c r="S19" s="274">
        <f>(VLOOKUP($B$7,StatBaseline,$G$13+1,FALSE)*2)*$F$8*$F$11</f>
        <v>94.125000000000014</v>
      </c>
      <c r="T19" s="274">
        <f>(VLOOKUP($B$7,StatBaseline,$H$13+1,FALSE)*2)*$F$8*$F$9</f>
        <v>60.208333333333336</v>
      </c>
      <c r="U19" s="274">
        <f>(VLOOKUP($B$7,StatBaseline,$H$13+1,FALSE)*2)*$F$8*$F$10</f>
        <v>168.58333333333334</v>
      </c>
      <c r="V19" s="274">
        <f>(VLOOKUP($B$7,StatBaseline,$H$13+1,FALSE)*2)*$F$8*$F$11</f>
        <v>108.37500000000001</v>
      </c>
      <c r="W19" s="274">
        <f>(VLOOKUP($B$7,StatBaseline,$I$13+1,FALSE)*2)*$F$8*$F$9</f>
        <v>68.958333333333343</v>
      </c>
      <c r="X19" s="274">
        <f>(VLOOKUP($B$7,StatBaseline,$I$13+1,FALSE)*2)*$F$8*$F$10</f>
        <v>193.08333333333334</v>
      </c>
      <c r="Y19" s="274">
        <f>(VLOOKUP($B$7,StatBaseline,$I$13+1,FALSE)*2)*$F$8*$F$11</f>
        <v>124.12500000000001</v>
      </c>
      <c r="Z19" s="274">
        <f>(VLOOKUP($B$7,StatBaseline,$J$13+1,FALSE)*2)*$F$8*$F$9</f>
        <v>78.333333333333343</v>
      </c>
      <c r="AA19" s="274">
        <f>(VLOOKUP($B$7,StatBaseline,$J$13+1,FALSE)*2)*$F$8*$F$10</f>
        <v>219.33333333333334</v>
      </c>
      <c r="AB19" s="274">
        <f>(VLOOKUP($B$7,StatBaseline,$J$13+1,FALSE)*2)*$F$8*$F$11</f>
        <v>141.00000000000003</v>
      </c>
      <c r="AC19" s="274">
        <f>(VLOOKUP($B$7,StatBaseline,$K$13+1,FALSE)*2)*$F$8*$F$9</f>
        <v>88.333333333333343</v>
      </c>
      <c r="AD19" s="274">
        <f>(VLOOKUP($B$7,StatBaseline,$K$13+1,FALSE)*2)*$F$8*$F$10</f>
        <v>247.33333333333334</v>
      </c>
      <c r="AE19" s="274">
        <f>(VLOOKUP($B$7,StatBaseline,$K$13+1,FALSE)*2)*$F$8*$F$11</f>
        <v>159.00000000000003</v>
      </c>
      <c r="AF19" s="274">
        <f>(VLOOKUP($B$7,StatBaseline,$L$13+1,FALSE)*2)*$F$8*$F$9</f>
        <v>98.541666666666671</v>
      </c>
      <c r="AG19" s="274">
        <f>(VLOOKUP($B$7,StatBaseline,$L$13+1,FALSE)*2)*$F$8*$F$10</f>
        <v>275.91666666666669</v>
      </c>
      <c r="AH19" s="274">
        <f>(VLOOKUP($B$7,StatBaseline,$L$13+1,FALSE)*2)*$F$8*$F$11</f>
        <v>177.37500000000003</v>
      </c>
      <c r="AI19" s="274">
        <f>(VLOOKUP($B$7,StatBaseline,$M$13+1,FALSE)*2)*$F$8*$F$9</f>
        <v>109.16666666666667</v>
      </c>
      <c r="AJ19" s="274">
        <f>(VLOOKUP($B$7,StatBaseline,$M$13+1,FALSE)*2)*$F$8*$F$10</f>
        <v>305.66666666666669</v>
      </c>
      <c r="AK19" s="274">
        <f>(VLOOKUP($B$7,StatBaseline,$M$13+1,FALSE)*2)*$F$8*$F$11</f>
        <v>196.50000000000003</v>
      </c>
      <c r="AL19" s="274">
        <f>(VLOOKUP($B$7,StatBaseline,$N$13+1,FALSE)*2)*$F$8*$F$9</f>
        <v>120.625</v>
      </c>
      <c r="AM19" s="274">
        <f>(VLOOKUP($B$7,StatBaseline,$N$13+1,FALSE)*2)*$F$8*$F$10</f>
        <v>337.75</v>
      </c>
      <c r="AN19" s="274">
        <f>(VLOOKUP($B$7,StatBaseline,$N$13+1,FALSE)*2)*$F$8*$F$11</f>
        <v>217.12500000000003</v>
      </c>
      <c r="AO19" s="274">
        <f>(VLOOKUP($B$7,StatBaseline,$O$13+1,FALSE)*2)*$F$8*$F$9</f>
        <v>132.29166666666669</v>
      </c>
      <c r="AP19" s="274">
        <f>(VLOOKUP($B$7,StatBaseline,$O$13+1,FALSE)*2)*$F$8*$F$10</f>
        <v>370.41666666666669</v>
      </c>
      <c r="AQ19" s="274">
        <f>(VLOOKUP($B$7,StatBaseline,$O$13+1,FALSE)*2)*$F$8*$F$11</f>
        <v>238.12500000000003</v>
      </c>
      <c r="AR19" s="274">
        <f>(VLOOKUP($B$7,StatBaseline,$P$13+1,FALSE)*2)*$F$8*$F$9</f>
        <v>144.16666666666669</v>
      </c>
      <c r="AS19" s="274">
        <f>(VLOOKUP($B$7,StatBaseline,$P$13+1,FALSE)*2)*$F$8*$F$10</f>
        <v>403.66666666666669</v>
      </c>
      <c r="AT19" s="274">
        <f>(VLOOKUP($B$7,StatBaseline,$P$13+1,FALSE)*2)*$F$8*$F$11</f>
        <v>259.50000000000006</v>
      </c>
      <c r="AU19" s="274">
        <f>(VLOOKUP($B$7,StatBaseline,$Q$13+1,FALSE)*2)*$F$8*$F$9</f>
        <v>156.66666666666669</v>
      </c>
      <c r="AV19" s="274">
        <f>(VLOOKUP($B$7,StatBaseline,$Q$13+1,FALSE)*2)*$F$8*$F$10</f>
        <v>438.66666666666669</v>
      </c>
      <c r="AW19" s="274">
        <f>(VLOOKUP($B$7,StatBaseline,$Q$13+1,FALSE)*2)*$F$8*$F$11</f>
        <v>282.00000000000006</v>
      </c>
      <c r="AX19" s="274">
        <f>(VLOOKUP($B$7,StatBaseline,$R$13+1,FALSE)*2)*$F$8*$F$9</f>
        <v>169.79166666666669</v>
      </c>
      <c r="AY19" s="274">
        <f>(VLOOKUP($B$7,StatBaseline,$R$13+1,FALSE)*2)*$F$8*$F$10</f>
        <v>475.41666666666669</v>
      </c>
      <c r="AZ19" s="274">
        <f>(VLOOKUP($B$7,StatBaseline,$R$13+1,FALSE)*2)*$F$8*$F$11</f>
        <v>305.62500000000006</v>
      </c>
      <c r="BA19" s="274">
        <f>(VLOOKUP($B$7,StatBaseline,$S$13+1,FALSE)*2)*$F$8*$F$9</f>
        <v>182.70833333333334</v>
      </c>
      <c r="BB19" s="274">
        <f>(VLOOKUP($B$7,StatBaseline,$S$13+1,FALSE)*2)*$F$8*$F$10</f>
        <v>511.58333333333337</v>
      </c>
      <c r="BC19" s="274">
        <f>(VLOOKUP($B$7,StatBaseline,$S$13+1,FALSE)*2)*$F$8*$F$11</f>
        <v>328.87500000000006</v>
      </c>
      <c r="BD19" s="274">
        <f>(VLOOKUP($B$7,StatBaseline,$T$13+1,FALSE)*2)*$F$8*$F$9</f>
        <v>196.45833333333334</v>
      </c>
      <c r="BE19" s="274">
        <f>(VLOOKUP($B$7,StatBaseline,$T$13+1,FALSE)*2)*$F$8*$F$10</f>
        <v>550.08333333333337</v>
      </c>
      <c r="BF19" s="274">
        <f>(VLOOKUP($B$7,StatBaseline,$T$13+1,FALSE)*2)*$F$8*$F$11</f>
        <v>353.62500000000006</v>
      </c>
      <c r="BG19" s="274">
        <f>(VLOOKUP($B$7,StatBaseline,$U$13+1,FALSE)*2)*$F$8*$F$9</f>
        <v>210.20833333333334</v>
      </c>
      <c r="BH19" s="274">
        <f>(VLOOKUP($B$7,StatBaseline,$U$13+1,FALSE)*2)*$F$8*$F$10</f>
        <v>588.58333333333337</v>
      </c>
      <c r="BI19" s="274">
        <f>(VLOOKUP($B$7,StatBaseline,$U$13+1,FALSE)*2)*$F$8*$F$11</f>
        <v>378.37500000000006</v>
      </c>
      <c r="BJ19" s="274">
        <f>(VLOOKUP($B$7,StatBaseline,$V$13+1,FALSE)*2)*$F$8*$F$9</f>
        <v>224.58333333333334</v>
      </c>
      <c r="BK19" s="274">
        <f>(VLOOKUP($B$7,StatBaseline,$V$13+1,FALSE)*2)*$F$8*$F$10</f>
        <v>628.83333333333337</v>
      </c>
      <c r="BL19" s="274">
        <f>(VLOOKUP($B$7,StatBaseline,$V$13+1,FALSE)*2)*$F$8*$F$11</f>
        <v>404.25000000000006</v>
      </c>
      <c r="BM19" s="274">
        <f>(VLOOKUP($B$7,StatBaseline,$W$13+1,FALSE)*2)*$F$8*$F$9</f>
        <v>238.95833333333334</v>
      </c>
      <c r="BN19" s="274">
        <f>(VLOOKUP($B$7,StatBaseline,$W$13+1,FALSE)*2)*$F$8*$F$10</f>
        <v>669.08333333333337</v>
      </c>
      <c r="BO19" s="274">
        <f>(VLOOKUP($B$7,StatBaseline,$W$13+1,FALSE)*2)*$F$8*$F$11</f>
        <v>430.12500000000006</v>
      </c>
      <c r="BP19" s="274">
        <f>(VLOOKUP($B$7,StatBaseline,$X$13+1,FALSE)*2)*$F$8*$F$9</f>
        <v>253.95833333333334</v>
      </c>
      <c r="BQ19" s="274">
        <f>(VLOOKUP($B$7,StatBaseline,$X$13+1,FALSE)*2)*$F$8*$F$10</f>
        <v>711.08333333333337</v>
      </c>
      <c r="BR19" s="274">
        <f>(VLOOKUP($B$7,StatBaseline,$X$13+1,FALSE)*2)*$F$8*$F$11</f>
        <v>457.12500000000006</v>
      </c>
      <c r="BS19" s="274">
        <f>(VLOOKUP($B$7,StatBaseline,$Y$13+1,FALSE)*2)*$F$8*$F$9</f>
        <v>268.95833333333337</v>
      </c>
      <c r="BT19" s="274">
        <f>(VLOOKUP($B$7,StatBaseline,$Y$13+1,FALSE)*2)*$F$8*$F$10</f>
        <v>753.08333333333337</v>
      </c>
      <c r="BU19" s="274">
        <f>(VLOOKUP($B$7,StatBaseline,$Y$13+1,FALSE)*2)*$F$8*$F$11</f>
        <v>484.12500000000006</v>
      </c>
      <c r="BV19" s="274">
        <f>(VLOOKUP($B$7,StatBaseline,$Z$13+1,FALSE)*2)*$F$8*$F$9</f>
        <v>284.375</v>
      </c>
      <c r="BW19" s="274">
        <f>(VLOOKUP($B$7,StatBaseline,$Z$13+1,FALSE)*2)*$F$8*$F$10</f>
        <v>796.25</v>
      </c>
      <c r="BX19" s="274">
        <f>(VLOOKUP($B$7,StatBaseline,$Z$13+1,FALSE)*2)*$F$8*$F$11</f>
        <v>511.87500000000006</v>
      </c>
      <c r="BY19" s="274">
        <f>(VLOOKUP($B$7,StatBaseline,$AA$13+1,FALSE)*2)*$F$8*$F$9</f>
        <v>300</v>
      </c>
      <c r="BZ19" s="274">
        <f>(VLOOKUP($B$7,StatBaseline,$AA$13+1,FALSE)*2)*$F$8*$F$10</f>
        <v>840</v>
      </c>
      <c r="CA19" s="274">
        <f>(VLOOKUP($B$7,StatBaseline,$AA$13+1,FALSE)*2)*$F$8*$F$11</f>
        <v>540</v>
      </c>
      <c r="CB19" s="274">
        <f>(VLOOKUP($B$7,StatBaseline,$AB$13+1,FALSE)*2)*$F$8*$F$9</f>
        <v>316.04166666666669</v>
      </c>
      <c r="CC19" s="274">
        <f>(VLOOKUP($B$7,StatBaseline,$AB$13+1,FALSE)*2)*$F$8*$F$10</f>
        <v>884.91666666666674</v>
      </c>
      <c r="CD19" s="274">
        <f>(VLOOKUP($B$7,StatBaseline,$AB$13+1,FALSE)*2)*$F$8*$F$11</f>
        <v>568.87500000000011</v>
      </c>
      <c r="CE19" s="274">
        <f>(VLOOKUP($B$7,StatBaseline,$AC$13+1,FALSE)*2)*$F$8*$F$9</f>
        <v>332.50000000000006</v>
      </c>
      <c r="CF19" s="274">
        <f>(VLOOKUP($B$7,StatBaseline,$AC$13+1,FALSE)*2)*$F$8*$F$10</f>
        <v>931.00000000000011</v>
      </c>
      <c r="CG19" s="274">
        <f>(VLOOKUP($B$7,StatBaseline,$AC$13+1,FALSE)*2)*$F$8*$F$11</f>
        <v>598.50000000000011</v>
      </c>
      <c r="CH19" s="274">
        <f>(VLOOKUP($B$7,StatBaseline,$AD$13+1,FALSE)*2)*$F$8*$F$9</f>
        <v>348.95833333333337</v>
      </c>
      <c r="CI19" s="274">
        <f>(VLOOKUP($B$7,StatBaseline,$AD$13+1,FALSE)*2)*$F$8*$F$10</f>
        <v>977.08333333333337</v>
      </c>
      <c r="CJ19" s="274">
        <f>(VLOOKUP($B$7,StatBaseline,$AD$13+1,FALSE)*2)*$F$8*$F$11</f>
        <v>628.12500000000011</v>
      </c>
      <c r="CK19" s="274">
        <f>(VLOOKUP($B$7,StatBaseline,$AE$13+1,FALSE)*2)*$F$8*$F$9</f>
        <v>365.83333333333337</v>
      </c>
      <c r="CL19" s="274">
        <f>(VLOOKUP($B$7,StatBaseline,$AE$13+1,FALSE)*2)*$F$8*$F$10</f>
        <v>1024.3333333333335</v>
      </c>
      <c r="CM19" s="274">
        <f>(VLOOKUP($B$7,StatBaseline,$AE$13+1,FALSE)*2)*$F$8*$F$11</f>
        <v>658.50000000000011</v>
      </c>
    </row>
    <row r="20" spans="1:91" x14ac:dyDescent="0.25">
      <c r="B20" s="274"/>
      <c r="C20" s="274"/>
      <c r="D20" s="274"/>
      <c r="E20" s="274"/>
      <c r="F20" s="274"/>
      <c r="G20" s="274"/>
      <c r="H20" s="274"/>
      <c r="I20" s="274"/>
      <c r="J20" s="274"/>
      <c r="K20" s="274"/>
      <c r="L20" s="274"/>
      <c r="M20" s="274"/>
      <c r="N20" s="274"/>
      <c r="O20" s="274"/>
      <c r="P20" s="274"/>
      <c r="Q20" s="274"/>
      <c r="R20" s="274"/>
      <c r="S20" s="274"/>
      <c r="T20" s="274"/>
      <c r="U20" s="274"/>
      <c r="V20" s="274"/>
      <c r="W20" s="274"/>
      <c r="X20" s="274"/>
      <c r="Y20" s="274"/>
      <c r="Z20" s="274"/>
      <c r="AA20" s="274"/>
      <c r="AB20" s="274"/>
      <c r="AC20" s="274"/>
      <c r="AD20" s="274"/>
      <c r="AE20" s="274"/>
    </row>
    <row r="21" spans="1:91" x14ac:dyDescent="0.25">
      <c r="B21" s="274"/>
      <c r="C21" s="274"/>
      <c r="D21" s="274"/>
      <c r="E21" s="274"/>
      <c r="F21" s="274"/>
      <c r="G21" s="274"/>
      <c r="H21" s="274"/>
      <c r="I21" s="274"/>
      <c r="J21" s="274"/>
      <c r="K21" s="274"/>
      <c r="L21" s="274"/>
      <c r="M21" s="274"/>
      <c r="N21" s="274"/>
      <c r="O21" s="274"/>
      <c r="P21" s="274"/>
      <c r="Q21" s="274"/>
      <c r="R21" s="274"/>
      <c r="S21" s="274"/>
      <c r="T21" s="274"/>
      <c r="U21" s="274"/>
      <c r="V21" s="274"/>
      <c r="W21" s="274"/>
      <c r="X21" s="274"/>
      <c r="Y21" s="274"/>
      <c r="Z21" s="274"/>
      <c r="AA21" s="274"/>
      <c r="AB21" s="274"/>
      <c r="AC21" s="274"/>
      <c r="AD21" s="274"/>
      <c r="AE21" s="274"/>
    </row>
    <row r="22" spans="1:91" x14ac:dyDescent="0.25">
      <c r="C22" s="75">
        <v>0.1</v>
      </c>
      <c r="D22" s="75">
        <v>0.2</v>
      </c>
      <c r="E22" s="75">
        <v>0.3</v>
      </c>
      <c r="F22" s="75">
        <v>0.4</v>
      </c>
      <c r="G22" s="75">
        <v>0.5</v>
      </c>
      <c r="H22" s="75">
        <v>0.6</v>
      </c>
      <c r="I22" s="75">
        <v>0.7</v>
      </c>
      <c r="J22" s="75">
        <v>0.8</v>
      </c>
      <c r="K22" s="75">
        <v>0.9</v>
      </c>
      <c r="L22" s="75">
        <v>1</v>
      </c>
    </row>
    <row r="23" spans="1:91" x14ac:dyDescent="0.25">
      <c r="A23" s="67" t="s">
        <v>952</v>
      </c>
      <c r="C23" s="280">
        <v>0.5</v>
      </c>
      <c r="D23" s="75">
        <f>$C$23/$C$22*D22</f>
        <v>1</v>
      </c>
      <c r="E23" s="75">
        <f t="shared" ref="E23:L23" si="0">$C$23/$C$22*E22</f>
        <v>1.5</v>
      </c>
      <c r="F23" s="75">
        <f t="shared" si="0"/>
        <v>2</v>
      </c>
      <c r="G23" s="75">
        <f t="shared" si="0"/>
        <v>2.5</v>
      </c>
      <c r="H23" s="75">
        <f t="shared" si="0"/>
        <v>3</v>
      </c>
      <c r="I23" s="75">
        <f t="shared" si="0"/>
        <v>3.5</v>
      </c>
      <c r="J23" s="75">
        <f t="shared" si="0"/>
        <v>4</v>
      </c>
      <c r="K23" s="75">
        <f t="shared" si="0"/>
        <v>4.5</v>
      </c>
      <c r="L23" s="75">
        <f t="shared" si="0"/>
        <v>5</v>
      </c>
    </row>
    <row r="24" spans="1:91" x14ac:dyDescent="0.25">
      <c r="A24" s="67" t="s">
        <v>953</v>
      </c>
      <c r="C24" s="281">
        <v>1500</v>
      </c>
      <c r="D24" s="67">
        <f>C24*2</f>
        <v>3000</v>
      </c>
      <c r="E24" s="67">
        <f>C24*3.25</f>
        <v>4875</v>
      </c>
      <c r="F24" s="67">
        <f>C24*4.5</f>
        <v>6750</v>
      </c>
      <c r="G24" s="67">
        <f>C24*6</f>
        <v>9000</v>
      </c>
      <c r="H24" s="67">
        <f>C24*8</f>
        <v>12000</v>
      </c>
      <c r="I24" s="67">
        <f>C24*11</f>
        <v>16500</v>
      </c>
      <c r="J24" s="67">
        <f>C24*15</f>
        <v>22500</v>
      </c>
      <c r="K24" s="67">
        <f>C24*20</f>
        <v>30000</v>
      </c>
      <c r="L24" s="67">
        <f>C24*30</f>
        <v>45000</v>
      </c>
    </row>
    <row r="25" spans="1:91" x14ac:dyDescent="0.25">
      <c r="C25" s="67">
        <f>C24</f>
        <v>1500</v>
      </c>
      <c r="D25" s="75">
        <f>C23</f>
        <v>0.5</v>
      </c>
      <c r="E25" s="67">
        <f>D24</f>
        <v>3000</v>
      </c>
      <c r="F25" s="75">
        <f>D23</f>
        <v>1</v>
      </c>
      <c r="G25" s="67">
        <f>E24</f>
        <v>4875</v>
      </c>
      <c r="H25" s="75">
        <f>E23</f>
        <v>1.5</v>
      </c>
      <c r="I25" s="67">
        <f>F24</f>
        <v>6750</v>
      </c>
      <c r="J25" s="75">
        <f>F23</f>
        <v>2</v>
      </c>
      <c r="K25" s="67">
        <f>G24</f>
        <v>9000</v>
      </c>
      <c r="L25" s="75">
        <f>G23</f>
        <v>2.5</v>
      </c>
      <c r="M25" s="67">
        <f>H24</f>
        <v>12000</v>
      </c>
      <c r="N25" s="75">
        <f>H23</f>
        <v>3</v>
      </c>
      <c r="O25" s="67">
        <f>I24</f>
        <v>16500</v>
      </c>
      <c r="P25" s="75">
        <f>I23</f>
        <v>3.5</v>
      </c>
      <c r="Q25" s="67">
        <f>J24</f>
        <v>22500</v>
      </c>
      <c r="R25" s="75">
        <f>J23</f>
        <v>4</v>
      </c>
      <c r="S25" s="67">
        <f>K24</f>
        <v>30000</v>
      </c>
      <c r="T25" s="75">
        <f>K23</f>
        <v>4.5</v>
      </c>
      <c r="U25" s="67">
        <f>L24</f>
        <v>45000</v>
      </c>
      <c r="V25" s="75">
        <f>L23</f>
        <v>5</v>
      </c>
    </row>
    <row r="27" spans="1:91" x14ac:dyDescent="0.25">
      <c r="B27" s="273">
        <v>1</v>
      </c>
      <c r="C27" s="273">
        <v>2</v>
      </c>
      <c r="D27" s="273">
        <v>3</v>
      </c>
      <c r="E27" s="273">
        <v>4</v>
      </c>
      <c r="F27" s="273">
        <v>5</v>
      </c>
      <c r="G27" s="273">
        <v>6</v>
      </c>
      <c r="H27" s="273">
        <v>7</v>
      </c>
      <c r="I27" s="273">
        <v>8</v>
      </c>
      <c r="J27" s="273">
        <v>9</v>
      </c>
      <c r="K27" s="273">
        <v>10</v>
      </c>
      <c r="L27" s="273">
        <v>11</v>
      </c>
      <c r="M27" s="273">
        <v>12</v>
      </c>
      <c r="N27" s="273">
        <v>13</v>
      </c>
      <c r="O27" s="273">
        <v>14</v>
      </c>
      <c r="P27" s="273">
        <v>15</v>
      </c>
      <c r="Q27" s="273">
        <v>16</v>
      </c>
      <c r="R27" s="273">
        <v>17</v>
      </c>
      <c r="S27" s="273">
        <v>18</v>
      </c>
      <c r="T27" s="273">
        <v>19</v>
      </c>
      <c r="U27" s="273">
        <v>20</v>
      </c>
      <c r="V27" s="273">
        <v>21</v>
      </c>
      <c r="W27" s="273">
        <v>22</v>
      </c>
      <c r="X27" s="273">
        <v>23</v>
      </c>
      <c r="Y27" s="273">
        <v>24</v>
      </c>
      <c r="Z27" s="273">
        <v>25</v>
      </c>
      <c r="AA27" s="273">
        <v>26</v>
      </c>
      <c r="AB27" s="273">
        <v>27</v>
      </c>
      <c r="AC27" s="273">
        <v>28</v>
      </c>
      <c r="AD27" s="273">
        <v>29</v>
      </c>
      <c r="AE27" s="273">
        <v>30</v>
      </c>
      <c r="AF27" s="282">
        <v>31</v>
      </c>
      <c r="AG27" s="282">
        <v>32</v>
      </c>
      <c r="AH27" s="282">
        <v>33</v>
      </c>
      <c r="AI27" s="282">
        <v>34</v>
      </c>
      <c r="AJ27" s="282">
        <v>35</v>
      </c>
      <c r="AK27" s="282">
        <v>36</v>
      </c>
      <c r="AL27" s="282">
        <v>37</v>
      </c>
      <c r="AM27" s="282">
        <v>38</v>
      </c>
      <c r="AN27" s="282">
        <v>39</v>
      </c>
      <c r="AO27" s="282">
        <v>40</v>
      </c>
      <c r="AP27" s="282">
        <v>41</v>
      </c>
      <c r="AQ27" s="282">
        <v>42</v>
      </c>
      <c r="AR27" s="282">
        <v>43</v>
      </c>
      <c r="AS27" s="282">
        <v>44</v>
      </c>
      <c r="AT27" s="282">
        <v>45</v>
      </c>
      <c r="AU27" s="282">
        <v>46</v>
      </c>
      <c r="AV27" s="282">
        <v>47</v>
      </c>
      <c r="AW27" s="282">
        <v>48</v>
      </c>
      <c r="AX27" s="282">
        <v>49</v>
      </c>
      <c r="AY27" s="282">
        <v>50</v>
      </c>
      <c r="AZ27" s="282">
        <v>51</v>
      </c>
      <c r="BA27" s="282">
        <v>52</v>
      </c>
      <c r="BB27" s="282">
        <v>53</v>
      </c>
      <c r="BC27" s="282">
        <v>54</v>
      </c>
      <c r="BD27" s="282">
        <v>55</v>
      </c>
      <c r="BE27" s="282">
        <v>56</v>
      </c>
      <c r="BF27" s="282">
        <v>57</v>
      </c>
      <c r="BG27" s="282">
        <v>58</v>
      </c>
      <c r="BH27" s="282">
        <v>59</v>
      </c>
      <c r="BI27" s="282">
        <v>60</v>
      </c>
    </row>
    <row r="28" spans="1:91" x14ac:dyDescent="0.25">
      <c r="A28" s="285" t="s">
        <v>2227</v>
      </c>
      <c r="B28" s="473" t="str">
        <f ca="1">MID(OFFSET($A$27,B27,0),LEN(B27)+1,10)</f>
        <v>5</v>
      </c>
      <c r="C28" s="473" t="str">
        <f t="shared" ref="C28:BI28" ca="1" si="1">MID(OFFSET($A$27,C27,0),LEN(C27)+1,10)</f>
        <v>10</v>
      </c>
      <c r="D28" s="473" t="str">
        <f t="shared" ca="1" si="1"/>
        <v>15</v>
      </c>
      <c r="E28" s="473" t="str">
        <f t="shared" ca="1" si="1"/>
        <v>20</v>
      </c>
      <c r="F28" s="473" t="str">
        <f t="shared" ca="1" si="1"/>
        <v>25</v>
      </c>
      <c r="G28" s="473" t="str">
        <f t="shared" ca="1" si="1"/>
        <v>30</v>
      </c>
      <c r="H28" s="473" t="str">
        <f t="shared" ca="1" si="1"/>
        <v>35</v>
      </c>
      <c r="I28" s="473" t="str">
        <f t="shared" ca="1" si="1"/>
        <v>40</v>
      </c>
      <c r="J28" s="473" t="str">
        <f t="shared" ca="1" si="1"/>
        <v>45</v>
      </c>
      <c r="K28" s="473" t="str">
        <f t="shared" ca="1" si="1"/>
        <v>50</v>
      </c>
      <c r="L28" s="473" t="str">
        <f t="shared" ca="1" si="1"/>
        <v>55</v>
      </c>
      <c r="M28" s="473" t="str">
        <f t="shared" ca="1" si="1"/>
        <v>60</v>
      </c>
      <c r="N28" s="473" t="str">
        <f t="shared" ca="1" si="1"/>
        <v>65</v>
      </c>
      <c r="O28" s="473" t="str">
        <f t="shared" ca="1" si="1"/>
        <v>70</v>
      </c>
      <c r="P28" s="473" t="str">
        <f t="shared" ca="1" si="1"/>
        <v>75</v>
      </c>
      <c r="Q28" s="473" t="str">
        <f t="shared" ca="1" si="1"/>
        <v>80</v>
      </c>
      <c r="R28" s="473" t="str">
        <f t="shared" ca="1" si="1"/>
        <v>85</v>
      </c>
      <c r="S28" s="473" t="str">
        <f t="shared" ca="1" si="1"/>
        <v>90</v>
      </c>
      <c r="T28" s="473" t="str">
        <f t="shared" ca="1" si="1"/>
        <v>95</v>
      </c>
      <c r="U28" s="473" t="str">
        <f t="shared" ca="1" si="1"/>
        <v>100</v>
      </c>
      <c r="V28" s="473" t="str">
        <f t="shared" ca="1" si="1"/>
        <v>105</v>
      </c>
      <c r="W28" s="473" t="str">
        <f t="shared" ca="1" si="1"/>
        <v>110</v>
      </c>
      <c r="X28" s="473" t="str">
        <f t="shared" ca="1" si="1"/>
        <v>115</v>
      </c>
      <c r="Y28" s="473" t="str">
        <f t="shared" ca="1" si="1"/>
        <v>120</v>
      </c>
      <c r="Z28" s="473" t="str">
        <f t="shared" ca="1" si="1"/>
        <v>125</v>
      </c>
      <c r="AA28" s="473" t="str">
        <f t="shared" ca="1" si="1"/>
        <v>130</v>
      </c>
      <c r="AB28" s="473" t="str">
        <f t="shared" ca="1" si="1"/>
        <v>135</v>
      </c>
      <c r="AC28" s="473" t="str">
        <f t="shared" ca="1" si="1"/>
        <v>140</v>
      </c>
      <c r="AD28" s="473" t="str">
        <f t="shared" ca="1" si="1"/>
        <v>145</v>
      </c>
      <c r="AE28" s="473" t="str">
        <f t="shared" ca="1" si="1"/>
        <v>150</v>
      </c>
      <c r="AF28" s="473" t="str">
        <f t="shared" ca="1" si="1"/>
        <v>155</v>
      </c>
      <c r="AG28" s="473" t="str">
        <f t="shared" ca="1" si="1"/>
        <v>160</v>
      </c>
      <c r="AH28" s="473" t="str">
        <f t="shared" ca="1" si="1"/>
        <v>165</v>
      </c>
      <c r="AI28" s="473" t="str">
        <f t="shared" ca="1" si="1"/>
        <v>170</v>
      </c>
      <c r="AJ28" s="473" t="str">
        <f t="shared" ca="1" si="1"/>
        <v>175</v>
      </c>
      <c r="AK28" s="473" t="str">
        <f t="shared" ca="1" si="1"/>
        <v>180</v>
      </c>
      <c r="AL28" s="473" t="str">
        <f t="shared" ca="1" si="1"/>
        <v>185</v>
      </c>
      <c r="AM28" s="473" t="str">
        <f t="shared" ca="1" si="1"/>
        <v>190</v>
      </c>
      <c r="AN28" s="473" t="str">
        <f t="shared" ca="1" si="1"/>
        <v>195</v>
      </c>
      <c r="AO28" s="473" t="str">
        <f t="shared" ca="1" si="1"/>
        <v>200</v>
      </c>
      <c r="AP28" s="473" t="str">
        <f t="shared" ca="1" si="1"/>
        <v>205</v>
      </c>
      <c r="AQ28" s="473" t="str">
        <f t="shared" ca="1" si="1"/>
        <v>210</v>
      </c>
      <c r="AR28" s="473" t="str">
        <f t="shared" ca="1" si="1"/>
        <v>215</v>
      </c>
      <c r="AS28" s="473" t="str">
        <f t="shared" ca="1" si="1"/>
        <v>220</v>
      </c>
      <c r="AT28" s="473" t="str">
        <f t="shared" ca="1" si="1"/>
        <v>225</v>
      </c>
      <c r="AU28" s="473" t="str">
        <f t="shared" ca="1" si="1"/>
        <v>230</v>
      </c>
      <c r="AV28" s="473" t="str">
        <f t="shared" ca="1" si="1"/>
        <v>235</v>
      </c>
      <c r="AW28" s="473" t="str">
        <f t="shared" ca="1" si="1"/>
        <v>240</v>
      </c>
      <c r="AX28" s="473" t="str">
        <f t="shared" ca="1" si="1"/>
        <v>245</v>
      </c>
      <c r="AY28" s="473" t="str">
        <f t="shared" ca="1" si="1"/>
        <v>250</v>
      </c>
      <c r="AZ28" s="473" t="str">
        <f t="shared" ca="1" si="1"/>
        <v>255</v>
      </c>
      <c r="BA28" s="473" t="str">
        <f t="shared" ca="1" si="1"/>
        <v>260</v>
      </c>
      <c r="BB28" s="473" t="str">
        <f t="shared" ca="1" si="1"/>
        <v>265</v>
      </c>
      <c r="BC28" s="473" t="str">
        <f t="shared" ca="1" si="1"/>
        <v>270</v>
      </c>
      <c r="BD28" s="473" t="str">
        <f t="shared" ca="1" si="1"/>
        <v>275</v>
      </c>
      <c r="BE28" s="473" t="str">
        <f t="shared" ca="1" si="1"/>
        <v>281</v>
      </c>
      <c r="BF28" s="473" t="str">
        <f t="shared" ca="1" si="1"/>
        <v>287</v>
      </c>
      <c r="BG28" s="473" t="str">
        <f t="shared" ca="1" si="1"/>
        <v>293</v>
      </c>
      <c r="BH28" s="473" t="str">
        <f t="shared" ca="1" si="1"/>
        <v>299</v>
      </c>
      <c r="BI28" s="473" t="str">
        <f t="shared" ca="1" si="1"/>
        <v>305</v>
      </c>
    </row>
    <row r="29" spans="1:91" x14ac:dyDescent="0.25">
      <c r="A29" s="285" t="s">
        <v>2228</v>
      </c>
      <c r="B29" s="474"/>
    </row>
    <row r="30" spans="1:91" x14ac:dyDescent="0.25">
      <c r="A30" s="285" t="s">
        <v>2229</v>
      </c>
      <c r="B30" s="75">
        <v>0.01</v>
      </c>
      <c r="C30" s="75">
        <v>0.01</v>
      </c>
      <c r="D30" s="75">
        <v>0.01</v>
      </c>
      <c r="E30" s="75">
        <v>0.01</v>
      </c>
      <c r="F30" s="75">
        <v>0.01</v>
      </c>
      <c r="G30" s="75">
        <v>0.02</v>
      </c>
      <c r="H30" s="75">
        <v>0.02</v>
      </c>
      <c r="I30" s="75">
        <v>0.02</v>
      </c>
      <c r="J30" s="75">
        <v>0.02</v>
      </c>
      <c r="K30" s="75">
        <v>0.02</v>
      </c>
      <c r="L30" s="75">
        <v>0.02</v>
      </c>
      <c r="M30" s="75">
        <v>0.02</v>
      </c>
      <c r="N30" s="75">
        <v>0.02</v>
      </c>
      <c r="O30" s="75">
        <v>0.02</v>
      </c>
      <c r="P30" s="75">
        <v>0.02</v>
      </c>
      <c r="Q30" s="75">
        <v>0.02</v>
      </c>
      <c r="R30" s="75">
        <v>0.02</v>
      </c>
      <c r="S30" s="75">
        <v>0.02</v>
      </c>
      <c r="T30" s="75">
        <v>0.02</v>
      </c>
      <c r="U30" s="75">
        <v>0.03</v>
      </c>
      <c r="V30" s="75">
        <v>0.03</v>
      </c>
      <c r="W30" s="75">
        <v>0.03</v>
      </c>
      <c r="X30" s="75">
        <v>0.03</v>
      </c>
      <c r="Y30" s="75">
        <v>0.03</v>
      </c>
      <c r="Z30" s="75">
        <v>0.03</v>
      </c>
      <c r="AA30" s="75">
        <v>0.03</v>
      </c>
      <c r="AB30" s="75">
        <v>0.03</v>
      </c>
      <c r="AC30" s="75">
        <v>0.03</v>
      </c>
      <c r="AD30" s="75">
        <v>0.03</v>
      </c>
      <c r="AE30" s="75">
        <v>0.03</v>
      </c>
      <c r="AF30" s="75">
        <v>0.03</v>
      </c>
      <c r="AG30" s="75">
        <v>0.03</v>
      </c>
      <c r="AH30" s="75">
        <v>0.03</v>
      </c>
      <c r="AI30" s="75">
        <v>0.03</v>
      </c>
      <c r="AJ30" s="75">
        <v>0.03</v>
      </c>
      <c r="AK30" s="75">
        <v>0.03</v>
      </c>
      <c r="AL30" s="75">
        <v>0.03</v>
      </c>
      <c r="AM30" s="75">
        <v>0.03</v>
      </c>
      <c r="AN30" s="75">
        <v>0.03</v>
      </c>
      <c r="AO30" s="75">
        <v>0.03</v>
      </c>
      <c r="AP30" s="75">
        <v>0.03</v>
      </c>
      <c r="AQ30" s="75">
        <v>0.03</v>
      </c>
      <c r="AR30" s="75">
        <v>0.03</v>
      </c>
      <c r="AS30" s="75">
        <v>0.03</v>
      </c>
      <c r="AT30" s="75">
        <v>0.03</v>
      </c>
      <c r="AU30" s="75">
        <v>0.03</v>
      </c>
      <c r="AV30" s="75">
        <v>0.03</v>
      </c>
      <c r="AW30" s="75">
        <v>0.03</v>
      </c>
      <c r="AX30" s="75">
        <v>0.03</v>
      </c>
      <c r="AY30" s="75">
        <v>0.04</v>
      </c>
      <c r="AZ30" s="75">
        <v>0.04</v>
      </c>
      <c r="BA30" s="75">
        <v>0.04</v>
      </c>
      <c r="BB30" s="75">
        <v>0.04</v>
      </c>
      <c r="BC30" s="75">
        <v>0.04</v>
      </c>
      <c r="BD30" s="75">
        <v>0.04</v>
      </c>
      <c r="BE30" s="75">
        <v>0.04</v>
      </c>
      <c r="BF30" s="75">
        <v>0.04</v>
      </c>
      <c r="BG30" s="75">
        <v>0.04</v>
      </c>
      <c r="BH30" s="75">
        <v>0.04</v>
      </c>
      <c r="BI30" s="75">
        <v>0.04</v>
      </c>
    </row>
    <row r="31" spans="1:91" x14ac:dyDescent="0.25">
      <c r="A31" s="285" t="s">
        <v>2230</v>
      </c>
    </row>
    <row r="32" spans="1:91" x14ac:dyDescent="0.25">
      <c r="A32" s="285" t="s">
        <v>2231</v>
      </c>
    </row>
    <row r="33" spans="1:1" x14ac:dyDescent="0.25">
      <c r="A33" s="285" t="s">
        <v>2232</v>
      </c>
    </row>
    <row r="34" spans="1:1" x14ac:dyDescent="0.25">
      <c r="A34" s="285" t="s">
        <v>2233</v>
      </c>
    </row>
    <row r="35" spans="1:1" x14ac:dyDescent="0.25">
      <c r="A35" s="285" t="s">
        <v>2234</v>
      </c>
    </row>
    <row r="36" spans="1:1" x14ac:dyDescent="0.25">
      <c r="A36" s="285" t="s">
        <v>2235</v>
      </c>
    </row>
    <row r="37" spans="1:1" x14ac:dyDescent="0.25">
      <c r="A37" s="285" t="s">
        <v>2236</v>
      </c>
    </row>
    <row r="38" spans="1:1" x14ac:dyDescent="0.25">
      <c r="A38" s="285" t="s">
        <v>2237</v>
      </c>
    </row>
    <row r="39" spans="1:1" x14ac:dyDescent="0.25">
      <c r="A39" s="285" t="s">
        <v>2238</v>
      </c>
    </row>
    <row r="40" spans="1:1" x14ac:dyDescent="0.25">
      <c r="A40" s="285" t="s">
        <v>2239</v>
      </c>
    </row>
    <row r="41" spans="1:1" x14ac:dyDescent="0.25">
      <c r="A41" s="285" t="s">
        <v>2240</v>
      </c>
    </row>
    <row r="42" spans="1:1" x14ac:dyDescent="0.25">
      <c r="A42" s="285" t="s">
        <v>2241</v>
      </c>
    </row>
    <row r="43" spans="1:1" x14ac:dyDescent="0.25">
      <c r="A43" s="285" t="s">
        <v>2242</v>
      </c>
    </row>
    <row r="44" spans="1:1" x14ac:dyDescent="0.25">
      <c r="A44" s="285" t="s">
        <v>2243</v>
      </c>
    </row>
    <row r="45" spans="1:1" x14ac:dyDescent="0.25">
      <c r="A45" s="285" t="s">
        <v>2244</v>
      </c>
    </row>
    <row r="46" spans="1:1" x14ac:dyDescent="0.25">
      <c r="A46" s="285" t="s">
        <v>2245</v>
      </c>
    </row>
    <row r="47" spans="1:1" x14ac:dyDescent="0.25">
      <c r="A47" s="285" t="s">
        <v>2246</v>
      </c>
    </row>
    <row r="48" spans="1:1" x14ac:dyDescent="0.25">
      <c r="A48" s="285" t="s">
        <v>2247</v>
      </c>
    </row>
    <row r="49" spans="1:1" x14ac:dyDescent="0.25">
      <c r="A49" s="285" t="s">
        <v>2248</v>
      </c>
    </row>
    <row r="50" spans="1:1" x14ac:dyDescent="0.25">
      <c r="A50" s="285" t="s">
        <v>2249</v>
      </c>
    </row>
    <row r="51" spans="1:1" x14ac:dyDescent="0.25">
      <c r="A51" s="285" t="s">
        <v>2250</v>
      </c>
    </row>
    <row r="52" spans="1:1" x14ac:dyDescent="0.25">
      <c r="A52" s="285" t="s">
        <v>2251</v>
      </c>
    </row>
    <row r="53" spans="1:1" x14ac:dyDescent="0.25">
      <c r="A53" s="285" t="s">
        <v>2252</v>
      </c>
    </row>
    <row r="54" spans="1:1" x14ac:dyDescent="0.25">
      <c r="A54" s="285" t="s">
        <v>2253</v>
      </c>
    </row>
    <row r="55" spans="1:1" x14ac:dyDescent="0.25">
      <c r="A55" s="285" t="s">
        <v>2254</v>
      </c>
    </row>
    <row r="56" spans="1:1" x14ac:dyDescent="0.25">
      <c r="A56" s="285" t="s">
        <v>2255</v>
      </c>
    </row>
    <row r="57" spans="1:1" x14ac:dyDescent="0.25">
      <c r="A57" s="285" t="s">
        <v>2256</v>
      </c>
    </row>
    <row r="58" spans="1:1" x14ac:dyDescent="0.25">
      <c r="A58" s="285" t="s">
        <v>2257</v>
      </c>
    </row>
    <row r="59" spans="1:1" x14ac:dyDescent="0.25">
      <c r="A59" s="285" t="s">
        <v>2258</v>
      </c>
    </row>
    <row r="60" spans="1:1" x14ac:dyDescent="0.25">
      <c r="A60" s="285" t="s">
        <v>2259</v>
      </c>
    </row>
    <row r="61" spans="1:1" x14ac:dyDescent="0.25">
      <c r="A61" s="285" t="s">
        <v>2260</v>
      </c>
    </row>
    <row r="62" spans="1:1" x14ac:dyDescent="0.25">
      <c r="A62" s="285" t="s">
        <v>2261</v>
      </c>
    </row>
    <row r="63" spans="1:1" x14ac:dyDescent="0.25">
      <c r="A63" s="285" t="s">
        <v>2262</v>
      </c>
    </row>
    <row r="64" spans="1:1" x14ac:dyDescent="0.25">
      <c r="A64" s="285" t="s">
        <v>2263</v>
      </c>
    </row>
    <row r="65" spans="1:1" x14ac:dyDescent="0.25">
      <c r="A65" s="285" t="s">
        <v>2264</v>
      </c>
    </row>
    <row r="66" spans="1:1" x14ac:dyDescent="0.25">
      <c r="A66" s="285" t="s">
        <v>2265</v>
      </c>
    </row>
    <row r="67" spans="1:1" x14ac:dyDescent="0.25">
      <c r="A67" s="285" t="s">
        <v>2266</v>
      </c>
    </row>
    <row r="68" spans="1:1" x14ac:dyDescent="0.25">
      <c r="A68" s="285" t="s">
        <v>2267</v>
      </c>
    </row>
    <row r="69" spans="1:1" x14ac:dyDescent="0.25">
      <c r="A69" s="285" t="s">
        <v>2268</v>
      </c>
    </row>
    <row r="70" spans="1:1" x14ac:dyDescent="0.25">
      <c r="A70" s="285" t="s">
        <v>2269</v>
      </c>
    </row>
    <row r="71" spans="1:1" x14ac:dyDescent="0.25">
      <c r="A71" s="285" t="s">
        <v>2270</v>
      </c>
    </row>
    <row r="72" spans="1:1" x14ac:dyDescent="0.25">
      <c r="A72" s="285" t="s">
        <v>2271</v>
      </c>
    </row>
    <row r="73" spans="1:1" x14ac:dyDescent="0.25">
      <c r="A73" s="285" t="s">
        <v>2272</v>
      </c>
    </row>
    <row r="74" spans="1:1" x14ac:dyDescent="0.25">
      <c r="A74" s="285" t="s">
        <v>2273</v>
      </c>
    </row>
    <row r="75" spans="1:1" x14ac:dyDescent="0.25">
      <c r="A75" s="285" t="s">
        <v>2274</v>
      </c>
    </row>
    <row r="76" spans="1:1" x14ac:dyDescent="0.25">
      <c r="A76" s="285" t="s">
        <v>2275</v>
      </c>
    </row>
    <row r="77" spans="1:1" x14ac:dyDescent="0.25">
      <c r="A77" s="285" t="s">
        <v>2276</v>
      </c>
    </row>
    <row r="78" spans="1:1" x14ac:dyDescent="0.25">
      <c r="A78" s="285" t="s">
        <v>2277</v>
      </c>
    </row>
    <row r="79" spans="1:1" x14ac:dyDescent="0.25">
      <c r="A79" s="285" t="s">
        <v>2278</v>
      </c>
    </row>
    <row r="80" spans="1:1" x14ac:dyDescent="0.25">
      <c r="A80" s="285" t="s">
        <v>2279</v>
      </c>
    </row>
    <row r="81" spans="1:1" x14ac:dyDescent="0.25">
      <c r="A81" s="285" t="s">
        <v>2280</v>
      </c>
    </row>
    <row r="82" spans="1:1" x14ac:dyDescent="0.25">
      <c r="A82" s="285" t="s">
        <v>2281</v>
      </c>
    </row>
    <row r="83" spans="1:1" x14ac:dyDescent="0.25">
      <c r="A83" s="285" t="s">
        <v>2282</v>
      </c>
    </row>
    <row r="84" spans="1:1" x14ac:dyDescent="0.25">
      <c r="A84" s="285" t="s">
        <v>2283</v>
      </c>
    </row>
    <row r="85" spans="1:1" x14ac:dyDescent="0.25">
      <c r="A85" s="285" t="s">
        <v>2284</v>
      </c>
    </row>
    <row r="86" spans="1:1" x14ac:dyDescent="0.25">
      <c r="A86" s="285" t="s">
        <v>2285</v>
      </c>
    </row>
    <row r="87" spans="1:1" x14ac:dyDescent="0.25">
      <c r="A87" s="285" t="s">
        <v>2286</v>
      </c>
    </row>
  </sheetData>
  <dataValidations count="1">
    <dataValidation type="list" allowBlank="1" showInputMessage="1" showErrorMessage="1" sqref="B7">
      <formula1>$A$2:$A$5</formula1>
    </dataValidation>
  </dataValidations>
  <pageMargins left="0.7" right="0.7" top="0.75" bottom="0.75" header="0.3" footer="0.3"/>
  <pageSetup paperSize="9"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A19" sqref="A19:XFD20"/>
    </sheetView>
  </sheetViews>
  <sheetFormatPr defaultRowHeight="15" x14ac:dyDescent="0.25"/>
  <cols>
    <col min="1" max="1" width="70.85546875" style="80" bestFit="1" customWidth="1"/>
    <col min="2" max="2" width="70.7109375" style="80" customWidth="1"/>
    <col min="3" max="3" width="43.28515625" style="80" customWidth="1"/>
    <col min="4" max="16384" width="9.140625" style="78"/>
  </cols>
  <sheetData>
    <row r="1" spans="1:3" x14ac:dyDescent="0.25">
      <c r="A1" s="146" t="s">
        <v>728</v>
      </c>
      <c r="B1" s="146" t="s">
        <v>745</v>
      </c>
      <c r="C1" s="146" t="s">
        <v>730</v>
      </c>
    </row>
    <row r="2" spans="1:3" x14ac:dyDescent="0.25">
      <c r="A2" s="80" t="s">
        <v>729</v>
      </c>
    </row>
    <row r="3" spans="1:3" x14ac:dyDescent="0.25">
      <c r="A3" s="80" t="s">
        <v>747</v>
      </c>
      <c r="B3" s="80" t="s">
        <v>746</v>
      </c>
      <c r="C3" s="80" t="s">
        <v>744</v>
      </c>
    </row>
    <row r="4" spans="1:3" s="149" customFormat="1" x14ac:dyDescent="0.25">
      <c r="A4" s="80" t="s">
        <v>752</v>
      </c>
      <c r="B4" s="80" t="s">
        <v>753</v>
      </c>
      <c r="C4" s="80"/>
    </row>
    <row r="5" spans="1:3" s="149" customFormat="1" x14ac:dyDescent="0.25">
      <c r="A5" s="80" t="s">
        <v>1359</v>
      </c>
      <c r="B5" s="80"/>
      <c r="C5" s="80"/>
    </row>
    <row r="6" spans="1:3" s="149" customFormat="1" x14ac:dyDescent="0.25">
      <c r="A6" s="80" t="s">
        <v>759</v>
      </c>
      <c r="B6" s="80" t="s">
        <v>763</v>
      </c>
      <c r="C6" s="80"/>
    </row>
    <row r="7" spans="1:3" s="149" customFormat="1" x14ac:dyDescent="0.25">
      <c r="A7" s="80" t="s">
        <v>764</v>
      </c>
      <c r="B7" s="80"/>
      <c r="C7" s="80"/>
    </row>
    <row r="8" spans="1:3" s="149" customFormat="1" x14ac:dyDescent="0.25">
      <c r="A8" s="80" t="s">
        <v>770</v>
      </c>
      <c r="B8" s="80"/>
      <c r="C8" s="80"/>
    </row>
    <row r="9" spans="1:3" s="149" customFormat="1" x14ac:dyDescent="0.25">
      <c r="A9" s="80" t="s">
        <v>877</v>
      </c>
      <c r="B9" s="80" t="s">
        <v>771</v>
      </c>
      <c r="C9" s="80"/>
    </row>
    <row r="10" spans="1:3" x14ac:dyDescent="0.25">
      <c r="A10" s="80" t="s">
        <v>748</v>
      </c>
      <c r="B10" s="80" t="s">
        <v>878</v>
      </c>
    </row>
    <row r="11" spans="1:3" x14ac:dyDescent="0.25">
      <c r="A11" s="80" t="s">
        <v>750</v>
      </c>
    </row>
    <row r="12" spans="1:3" x14ac:dyDescent="0.25">
      <c r="A12" s="80" t="s">
        <v>1985</v>
      </c>
    </row>
    <row r="13" spans="1:3" x14ac:dyDescent="0.25">
      <c r="A13" s="80" t="s">
        <v>751</v>
      </c>
      <c r="B13" s="80" t="s">
        <v>879</v>
      </c>
      <c r="C13" s="80" t="s">
        <v>2185</v>
      </c>
    </row>
    <row r="14" spans="1:3" x14ac:dyDescent="0.25">
      <c r="A14" s="80" t="s">
        <v>749</v>
      </c>
    </row>
    <row r="15" spans="1:3" x14ac:dyDescent="0.25">
      <c r="A15" s="80" t="s">
        <v>1364</v>
      </c>
    </row>
    <row r="16" spans="1:3" x14ac:dyDescent="0.25">
      <c r="A16" s="80" t="s">
        <v>1570</v>
      </c>
    </row>
    <row r="17" spans="1:3" x14ac:dyDescent="0.25">
      <c r="A17" s="80" t="s">
        <v>772</v>
      </c>
      <c r="C17" s="80" t="s">
        <v>1365</v>
      </c>
    </row>
    <row r="18" spans="1:3" x14ac:dyDescent="0.25">
      <c r="A18" s="80" t="s">
        <v>773</v>
      </c>
      <c r="B18" s="80" t="s">
        <v>1542</v>
      </c>
      <c r="C18" s="80" t="s">
        <v>956</v>
      </c>
    </row>
    <row r="19" spans="1:3" x14ac:dyDescent="0.25">
      <c r="A19" s="80" t="s">
        <v>1366</v>
      </c>
    </row>
    <row r="20" spans="1:3" x14ac:dyDescent="0.25">
      <c r="A20" s="80" t="s">
        <v>1552</v>
      </c>
      <c r="B20" s="80" t="s">
        <v>1704</v>
      </c>
    </row>
    <row r="24" spans="1:3" x14ac:dyDescent="0.25">
      <c r="A24" s="80" t="s">
        <v>1924</v>
      </c>
    </row>
    <row r="25" spans="1:3" x14ac:dyDescent="0.25">
      <c r="A25" s="80" t="s">
        <v>1925</v>
      </c>
    </row>
    <row r="26" spans="1:3" x14ac:dyDescent="0.25">
      <c r="A26" s="80" t="s">
        <v>1926</v>
      </c>
    </row>
    <row r="27" spans="1:3" x14ac:dyDescent="0.25">
      <c r="A27" s="80" t="s">
        <v>1927</v>
      </c>
    </row>
    <row r="28" spans="1:3" x14ac:dyDescent="0.25">
      <c r="A28" s="80" t="s">
        <v>1928</v>
      </c>
    </row>
    <row r="29" spans="1:3" x14ac:dyDescent="0.25">
      <c r="A29" s="80" t="s">
        <v>1929</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6"/>
  <sheetViews>
    <sheetView workbookViewId="0">
      <pane ySplit="21" topLeftCell="A22" activePane="bottomLeft" state="frozen"/>
      <selection pane="bottomLeft" activeCell="B8" sqref="B8"/>
    </sheetView>
  </sheetViews>
  <sheetFormatPr defaultRowHeight="15.75" x14ac:dyDescent="0.25"/>
  <cols>
    <col min="1" max="1" width="7.140625" style="154" customWidth="1"/>
    <col min="2" max="2" width="9.140625" style="154" customWidth="1"/>
    <col min="3" max="3" width="11.28515625" style="154" customWidth="1"/>
    <col min="4" max="20" width="9.140625" style="154"/>
    <col min="21" max="21" width="13.85546875" style="154" customWidth="1"/>
    <col min="22" max="22" width="11.28515625" style="154" customWidth="1"/>
    <col min="23" max="16384" width="9.140625" style="154"/>
  </cols>
  <sheetData>
    <row r="1" spans="1:24" ht="6" customHeight="1" thickBot="1" x14ac:dyDescent="0.3"/>
    <row r="2" spans="1:24" s="296" customFormat="1" ht="17.25" customHeight="1" thickBot="1" x14ac:dyDescent="0.3">
      <c r="A2" s="288"/>
      <c r="B2" s="288"/>
      <c r="C2" s="289"/>
      <c r="D2" s="290"/>
      <c r="E2" s="291"/>
      <c r="F2" s="291"/>
      <c r="G2" s="291"/>
      <c r="H2" s="291"/>
      <c r="I2" s="52">
        <v>653.81600000000003</v>
      </c>
      <c r="J2" s="290"/>
      <c r="K2" s="291"/>
      <c r="L2" s="291"/>
      <c r="M2" s="291"/>
      <c r="N2" s="291"/>
      <c r="O2" s="291"/>
      <c r="P2" s="292"/>
      <c r="Q2" s="293"/>
      <c r="R2" s="293"/>
      <c r="S2" s="293"/>
      <c r="T2" s="294"/>
      <c r="U2" s="295"/>
      <c r="V2" s="295"/>
      <c r="W2" s="295"/>
      <c r="X2" s="295"/>
    </row>
    <row r="3" spans="1:24" s="296" customFormat="1" ht="19.5" customHeight="1" x14ac:dyDescent="0.25">
      <c r="A3" s="288"/>
      <c r="B3" s="288"/>
      <c r="C3" s="297"/>
      <c r="D3" s="297"/>
      <c r="E3" s="288"/>
      <c r="F3" s="161"/>
      <c r="G3" s="161"/>
      <c r="H3" s="161"/>
      <c r="I3" s="161"/>
      <c r="J3" s="161"/>
      <c r="K3" s="161"/>
      <c r="L3" s="288"/>
      <c r="M3" s="288"/>
      <c r="N3" s="161"/>
      <c r="O3" s="161"/>
      <c r="P3" s="297"/>
      <c r="Q3" s="297"/>
      <c r="R3" s="297"/>
      <c r="S3" s="297"/>
      <c r="T3" s="297"/>
      <c r="U3" s="298"/>
      <c r="V3" s="295"/>
      <c r="W3" s="295"/>
      <c r="X3" s="295"/>
    </row>
    <row r="4" spans="1:24" ht="19.5" customHeight="1" thickBot="1" x14ac:dyDescent="0.3">
      <c r="D4" s="161"/>
      <c r="E4" s="342"/>
      <c r="F4" s="161"/>
      <c r="G4" s="161"/>
      <c r="H4" s="161"/>
      <c r="I4" s="161"/>
      <c r="J4" s="343"/>
      <c r="K4" s="343"/>
      <c r="L4" s="344"/>
      <c r="M4" s="343"/>
      <c r="N4" s="343"/>
      <c r="O4" s="161"/>
      <c r="P4" s="161"/>
      <c r="Q4" s="161"/>
      <c r="R4" s="161"/>
      <c r="S4" s="161"/>
      <c r="T4" s="161"/>
    </row>
    <row r="5" spans="1:24" ht="16.5" customHeight="1" x14ac:dyDescent="0.25">
      <c r="A5" s="155"/>
      <c r="B5" s="156"/>
      <c r="D5" s="161"/>
      <c r="E5" s="353"/>
      <c r="F5" s="353"/>
      <c r="G5" s="353"/>
      <c r="H5" s="353"/>
      <c r="I5" s="161"/>
      <c r="J5" s="352"/>
      <c r="K5" s="352"/>
      <c r="L5" s="345"/>
      <c r="M5" s="352"/>
      <c r="N5" s="352"/>
      <c r="O5" s="344"/>
      <c r="P5" s="161"/>
      <c r="Q5" s="161"/>
      <c r="R5" s="161"/>
      <c r="S5" s="161"/>
      <c r="T5" s="161"/>
      <c r="V5" s="157"/>
      <c r="W5" s="158"/>
    </row>
    <row r="6" spans="1:24" ht="16.5" customHeight="1" x14ac:dyDescent="0.25">
      <c r="A6" s="159"/>
      <c r="B6" s="153" t="s">
        <v>1550</v>
      </c>
      <c r="D6" s="161"/>
      <c r="E6" s="161"/>
      <c r="F6" s="161"/>
      <c r="G6" s="161"/>
      <c r="H6" s="161"/>
      <c r="I6" s="346"/>
      <c r="J6" s="344"/>
      <c r="K6" s="344"/>
      <c r="L6" s="344"/>
      <c r="M6" s="344"/>
      <c r="N6" s="344"/>
      <c r="O6" s="344"/>
      <c r="P6" s="161"/>
      <c r="Q6" s="347"/>
      <c r="R6" s="347"/>
      <c r="S6" s="347"/>
      <c r="T6" s="347"/>
      <c r="U6" s="161"/>
      <c r="V6" s="162"/>
      <c r="W6" s="163"/>
    </row>
    <row r="7" spans="1:24" ht="16.5" customHeight="1" thickBot="1" x14ac:dyDescent="0.3">
      <c r="A7" s="159"/>
      <c r="B7" s="153" t="s">
        <v>1551</v>
      </c>
      <c r="D7" s="161"/>
      <c r="E7" s="342"/>
      <c r="F7" s="354"/>
      <c r="G7" s="354"/>
      <c r="H7" s="354"/>
      <c r="I7" s="354"/>
      <c r="J7" s="354"/>
      <c r="K7" s="354"/>
      <c r="L7" s="354"/>
      <c r="M7" s="354"/>
      <c r="N7" s="354"/>
      <c r="O7" s="354"/>
      <c r="P7" s="354"/>
      <c r="Q7" s="354"/>
      <c r="R7" s="354"/>
      <c r="S7" s="354"/>
      <c r="T7" s="347"/>
      <c r="V7" s="164"/>
      <c r="W7" s="165"/>
    </row>
    <row r="8" spans="1:24" ht="16.5" thickBot="1" x14ac:dyDescent="0.3">
      <c r="A8" s="159"/>
      <c r="B8" s="166"/>
      <c r="D8" s="161"/>
      <c r="E8" s="342"/>
      <c r="F8" s="354"/>
      <c r="G8" s="354"/>
      <c r="H8" s="354"/>
      <c r="I8" s="354"/>
      <c r="J8" s="354"/>
      <c r="K8" s="354"/>
      <c r="L8" s="354"/>
      <c r="M8" s="354"/>
      <c r="N8" s="354"/>
      <c r="O8" s="354"/>
      <c r="P8" s="354"/>
      <c r="Q8" s="354"/>
      <c r="R8" s="354"/>
      <c r="S8" s="354"/>
      <c r="T8" s="347"/>
      <c r="V8" s="167"/>
      <c r="W8" s="168"/>
    </row>
    <row r="9" spans="1:24" ht="16.5" customHeight="1" thickBot="1" x14ac:dyDescent="0.3">
      <c r="A9" s="169"/>
      <c r="B9" s="170"/>
      <c r="D9" s="161"/>
      <c r="E9" s="161"/>
      <c r="F9" s="354"/>
      <c r="G9" s="354"/>
      <c r="H9" s="354"/>
      <c r="I9" s="354"/>
      <c r="J9" s="354"/>
      <c r="K9" s="354"/>
      <c r="L9" s="354"/>
      <c r="M9" s="354"/>
      <c r="N9" s="354"/>
      <c r="O9" s="354"/>
      <c r="P9" s="354"/>
      <c r="Q9" s="354"/>
      <c r="R9" s="354"/>
      <c r="S9" s="354"/>
      <c r="T9" s="347"/>
      <c r="V9" s="171"/>
      <c r="W9" s="172"/>
    </row>
    <row r="10" spans="1:24" ht="15.75" customHeight="1" x14ac:dyDescent="0.25">
      <c r="A10" s="173"/>
      <c r="B10" s="174"/>
      <c r="D10" s="161"/>
      <c r="E10" s="161"/>
      <c r="F10" s="347"/>
      <c r="G10" s="347"/>
      <c r="H10" s="347"/>
      <c r="I10" s="347"/>
      <c r="J10" s="347"/>
      <c r="K10" s="347"/>
      <c r="L10" s="347"/>
      <c r="M10" s="347"/>
      <c r="N10" s="347"/>
      <c r="O10" s="347"/>
      <c r="P10" s="347"/>
      <c r="Q10" s="347"/>
      <c r="R10" s="347"/>
      <c r="S10" s="347"/>
      <c r="T10" s="347"/>
      <c r="V10" s="175"/>
      <c r="W10" s="11" t="s">
        <v>139</v>
      </c>
    </row>
    <row r="11" spans="1:24" ht="15.75" customHeight="1" thickBot="1" x14ac:dyDescent="0.3">
      <c r="A11" s="176"/>
      <c r="B11" s="177"/>
      <c r="D11" s="161"/>
      <c r="E11" s="348"/>
      <c r="F11" s="349"/>
      <c r="G11" s="349"/>
      <c r="H11" s="349"/>
      <c r="I11" s="349"/>
      <c r="J11" s="349"/>
      <c r="K11" s="349"/>
      <c r="L11" s="349"/>
      <c r="M11" s="349"/>
      <c r="N11" s="349"/>
      <c r="O11" s="349"/>
      <c r="P11" s="201"/>
      <c r="Q11" s="201"/>
      <c r="R11" s="201"/>
      <c r="S11" s="201"/>
      <c r="T11" s="161"/>
      <c r="V11" s="178"/>
      <c r="W11" s="179"/>
    </row>
    <row r="12" spans="1:24" ht="15.75" customHeight="1" x14ac:dyDescent="0.25">
      <c r="A12" s="176"/>
      <c r="B12" s="180" t="s">
        <v>140</v>
      </c>
      <c r="D12" s="161"/>
      <c r="E12" s="348"/>
      <c r="F12" s="350"/>
      <c r="G12" s="350"/>
      <c r="H12" s="350"/>
      <c r="I12" s="350"/>
      <c r="J12" s="350"/>
      <c r="K12" s="350"/>
      <c r="L12" s="350"/>
      <c r="M12" s="350"/>
      <c r="N12" s="350"/>
      <c r="O12" s="350"/>
      <c r="P12" s="201"/>
      <c r="Q12" s="201"/>
      <c r="R12" s="201"/>
      <c r="S12" s="201"/>
      <c r="T12" s="161"/>
      <c r="V12" s="171"/>
      <c r="W12" s="172"/>
    </row>
    <row r="13" spans="1:24" ht="15.75" customHeight="1" x14ac:dyDescent="0.25">
      <c r="A13" s="176"/>
      <c r="B13" s="177"/>
      <c r="D13" s="161"/>
      <c r="E13" s="201"/>
      <c r="F13" s="201"/>
      <c r="G13" s="201"/>
      <c r="H13" s="201"/>
      <c r="I13" s="201"/>
      <c r="J13" s="201"/>
      <c r="K13" s="201"/>
      <c r="L13" s="201"/>
      <c r="M13" s="201"/>
      <c r="N13" s="201"/>
      <c r="O13" s="201"/>
      <c r="P13" s="201"/>
      <c r="Q13" s="201"/>
      <c r="R13" s="201"/>
      <c r="S13" s="201"/>
      <c r="T13" s="161"/>
      <c r="V13" s="175"/>
      <c r="W13" s="11" t="s">
        <v>207</v>
      </c>
    </row>
    <row r="14" spans="1:24" ht="15.75" customHeight="1" thickBot="1" x14ac:dyDescent="0.3">
      <c r="A14" s="176"/>
      <c r="B14" s="177"/>
      <c r="D14" s="348"/>
      <c r="E14" s="355"/>
      <c r="F14" s="355"/>
      <c r="G14" s="355"/>
      <c r="H14" s="351"/>
      <c r="I14" s="345"/>
      <c r="J14" s="350"/>
      <c r="K14" s="350"/>
      <c r="L14" s="350"/>
      <c r="M14" s="350"/>
      <c r="N14" s="350"/>
      <c r="O14" s="350"/>
      <c r="P14" s="350"/>
      <c r="Q14" s="350"/>
      <c r="R14" s="350"/>
      <c r="S14" s="350"/>
      <c r="T14" s="345"/>
      <c r="V14" s="178"/>
      <c r="W14" s="179"/>
    </row>
    <row r="15" spans="1:24" ht="15.75" customHeight="1" thickBot="1" x14ac:dyDescent="0.3">
      <c r="A15" s="173"/>
      <c r="B15" s="174"/>
      <c r="D15" s="348"/>
      <c r="E15" s="355"/>
      <c r="F15" s="355"/>
      <c r="G15" s="355"/>
      <c r="H15" s="351"/>
      <c r="I15" s="345"/>
      <c r="J15" s="350"/>
      <c r="K15" s="350"/>
      <c r="L15" s="350"/>
      <c r="M15" s="350"/>
      <c r="N15" s="350"/>
      <c r="O15" s="350"/>
      <c r="P15" s="350"/>
      <c r="Q15" s="350"/>
      <c r="R15" s="350"/>
      <c r="S15" s="350"/>
      <c r="T15" s="345"/>
      <c r="V15" s="167"/>
      <c r="W15" s="168"/>
    </row>
    <row r="16" spans="1:24" ht="17.25" customHeight="1" thickBot="1" x14ac:dyDescent="0.3">
      <c r="A16" s="185"/>
      <c r="B16" s="186"/>
      <c r="D16" s="201"/>
      <c r="E16" s="355"/>
      <c r="F16" s="355"/>
      <c r="G16" s="355"/>
      <c r="H16" s="351"/>
      <c r="I16" s="345"/>
      <c r="J16" s="350"/>
      <c r="K16" s="350"/>
      <c r="L16" s="350"/>
      <c r="M16" s="350"/>
      <c r="N16" s="350"/>
      <c r="O16" s="350"/>
      <c r="P16" s="350"/>
      <c r="Q16" s="350"/>
      <c r="R16" s="350"/>
      <c r="S16" s="350"/>
      <c r="T16" s="345"/>
    </row>
    <row r="17" spans="1:24" ht="16.5" customHeight="1" x14ac:dyDescent="0.25">
      <c r="D17" s="201"/>
      <c r="E17" s="355"/>
      <c r="F17" s="355"/>
      <c r="G17" s="355"/>
      <c r="H17" s="351"/>
      <c r="I17" s="345"/>
      <c r="J17" s="350"/>
      <c r="K17" s="350"/>
      <c r="L17" s="350"/>
      <c r="M17" s="350"/>
      <c r="N17" s="350"/>
      <c r="O17" s="350"/>
      <c r="P17" s="350"/>
      <c r="Q17" s="350"/>
      <c r="R17" s="350"/>
      <c r="S17" s="350"/>
      <c r="T17" s="345"/>
    </row>
    <row r="18" spans="1:24" ht="8.25" customHeight="1" thickBot="1" x14ac:dyDescent="0.3"/>
    <row r="19" spans="1:24" s="296" customFormat="1" ht="17.25" customHeight="1" thickBot="1" x14ac:dyDescent="0.3">
      <c r="A19" s="288"/>
      <c r="B19" s="288"/>
      <c r="C19" s="288"/>
      <c r="D19" s="290"/>
      <c r="E19" s="300"/>
      <c r="F19" s="5">
        <v>745.68499999999995</v>
      </c>
      <c r="G19" s="301"/>
      <c r="H19" s="302"/>
      <c r="I19" s="302"/>
      <c r="J19" s="302"/>
      <c r="K19" s="302"/>
      <c r="L19" s="303"/>
      <c r="M19" s="303"/>
      <c r="N19" s="304"/>
      <c r="O19" s="20">
        <v>689.11400000000003</v>
      </c>
      <c r="P19" s="305"/>
      <c r="Q19" s="51" t="s">
        <v>141</v>
      </c>
      <c r="R19" s="306"/>
      <c r="S19" s="307"/>
      <c r="T19" s="308"/>
      <c r="U19" s="309"/>
      <c r="V19" s="295"/>
      <c r="W19" s="295"/>
      <c r="X19" s="295"/>
    </row>
    <row r="20" spans="1:24" s="296" customFormat="1" ht="6.75" customHeight="1" x14ac:dyDescent="0.25">
      <c r="A20" s="288"/>
      <c r="B20" s="288"/>
      <c r="C20" s="288"/>
      <c r="D20" s="310"/>
      <c r="E20" s="311"/>
      <c r="F20" s="312"/>
      <c r="G20" s="313"/>
      <c r="H20" s="310"/>
      <c r="I20" s="310"/>
      <c r="J20" s="310"/>
      <c r="K20" s="310"/>
      <c r="L20" s="314"/>
      <c r="M20" s="314"/>
      <c r="N20" s="315"/>
      <c r="O20" s="315"/>
      <c r="P20" s="315"/>
      <c r="Q20" s="315"/>
      <c r="R20" s="316"/>
      <c r="S20" s="316"/>
      <c r="T20" s="288"/>
      <c r="U20" s="309"/>
      <c r="V20" s="295"/>
      <c r="W20" s="295"/>
      <c r="X20" s="295"/>
    </row>
    <row r="21" spans="1:24" s="182" customFormat="1" ht="15.75" customHeight="1" x14ac:dyDescent="0.25">
      <c r="B21" s="183"/>
      <c r="C21" s="183"/>
      <c r="D21" s="183"/>
      <c r="E21" s="318"/>
      <c r="F21" s="318"/>
      <c r="G21" s="318"/>
      <c r="J21" s="318"/>
      <c r="M21" s="318"/>
    </row>
    <row r="22" spans="1:24" s="182" customFormat="1" ht="15.75" customHeight="1" x14ac:dyDescent="0.25">
      <c r="B22" s="183"/>
      <c r="C22" s="183"/>
      <c r="D22" s="183"/>
      <c r="E22" s="318"/>
      <c r="F22" s="318"/>
      <c r="G22" s="318"/>
      <c r="J22" s="318"/>
      <c r="M22" s="318"/>
      <c r="U22" s="154"/>
      <c r="V22" s="154"/>
      <c r="W22" s="154"/>
    </row>
    <row r="23" spans="1:24" s="13" customFormat="1" ht="27.75" customHeight="1" x14ac:dyDescent="0.25">
      <c r="A23" s="37"/>
      <c r="B23" s="38"/>
      <c r="C23" s="38"/>
      <c r="D23" s="39"/>
      <c r="E23" s="39"/>
      <c r="F23" s="39"/>
      <c r="G23" s="39"/>
      <c r="H23" s="39"/>
      <c r="I23" s="39"/>
      <c r="J23" s="39"/>
      <c r="K23" s="39"/>
      <c r="L23" s="39"/>
      <c r="M23" s="39"/>
      <c r="N23" s="39"/>
      <c r="O23" s="39"/>
      <c r="P23" s="39"/>
      <c r="Q23" s="39"/>
      <c r="R23" s="39"/>
      <c r="S23" s="39"/>
      <c r="T23" s="39"/>
      <c r="U23" s="356"/>
      <c r="V23" s="356"/>
      <c r="W23" s="356"/>
      <c r="X23" s="40"/>
    </row>
    <row r="76" spans="21:23" ht="16.5" x14ac:dyDescent="0.25">
      <c r="U76" s="39"/>
      <c r="V76" s="39"/>
      <c r="W76" s="39"/>
    </row>
  </sheetData>
  <conditionalFormatting sqref="J6:K6">
    <cfRule type="expression" dxfId="10" priority="10">
      <formula>VLOOKUP(J5,RankLookup,3,FALSE) = 0</formula>
    </cfRule>
    <cfRule type="expression" dxfId="9" priority="11">
      <formula>VLOOKUP(J5,RankLookup,3,FALSE) &gt;= VLOOKUP(E5,PSFull,5,FALSE)</formula>
    </cfRule>
  </conditionalFormatting>
  <conditionalFormatting sqref="L6:M6">
    <cfRule type="expression" dxfId="8" priority="8">
      <formula>VLOOKUP(L5,RankLookup,3,FALSE) =0</formula>
    </cfRule>
    <cfRule type="expression" dxfId="7" priority="9">
      <formula>VLOOKUP(L5,RankLookup,3,FALSE) &gt;= VLOOKUP(E5,PSFull,3,FALSE)</formula>
    </cfRule>
  </conditionalFormatting>
  <conditionalFormatting sqref="N6:O6">
    <cfRule type="expression" dxfId="6" priority="6">
      <formula>VLOOKUP(N5,RankLookup,3,FALSE) = 0</formula>
    </cfRule>
    <cfRule type="expression" dxfId="5" priority="7">
      <formula>VLOOKUP(N5,RankLookup,3,FALSE) &gt;= VLOOKUP(E5,PSFull,7,FALSE)</formula>
    </cfRule>
  </conditionalFormatting>
  <conditionalFormatting sqref="I14:T17">
    <cfRule type="cellIs" dxfId="4" priority="5" operator="equal">
      <formula>0</formula>
    </cfRule>
  </conditionalFormatting>
  <conditionalFormatting sqref="C23">
    <cfRule type="expression" dxfId="3" priority="1">
      <formula>B23="E"</formula>
    </cfRule>
    <cfRule type="expression" dxfId="2" priority="2">
      <formula>B23="R"</formula>
    </cfRule>
    <cfRule type="expression" dxfId="1" priority="3">
      <formula>B23="U"</formula>
    </cfRule>
    <cfRule type="expression" dxfId="0" priority="4">
      <formula>B23="C"</formula>
    </cfRule>
  </conditionalFormatting>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CM11"/>
  <sheetViews>
    <sheetView topLeftCell="BD1" workbookViewId="0">
      <selection activeCell="B1" sqref="B1:CM1"/>
    </sheetView>
  </sheetViews>
  <sheetFormatPr defaultRowHeight="16.5" x14ac:dyDescent="0.25"/>
  <cols>
    <col min="1" max="1" width="9.140625" style="24"/>
    <col min="2" max="2" width="6.42578125" style="24" customWidth="1"/>
    <col min="3" max="3" width="5.85546875" style="24" customWidth="1"/>
    <col min="4" max="91" width="7.28515625" style="24" customWidth="1"/>
    <col min="92" max="92" width="0.7109375" style="24" customWidth="1"/>
    <col min="93" max="16384" width="9.140625" style="24"/>
  </cols>
  <sheetData>
    <row r="1" spans="1:91" s="31" customFormat="1" x14ac:dyDescent="0.25">
      <c r="B1" s="36">
        <f>VALUE(MID($B$7, SEARCH(" ",$B$7,B2) + 1, SEARCH(" ",$B$7,SEARCH(" ",$B$7,B2)+1) - SEARCH(" ",$B$7,B2) - 1))</f>
        <v>48</v>
      </c>
      <c r="C1" s="32">
        <f t="shared" ref="C1:P1" si="0">VALUE(MID($B$7, SEARCH(" ",$B$7,C2) + 1, SEARCH(" ",$B$7,SEARCH(" ",$B$7,C2)+1) - SEARCH(" ",$B$7,C2) - 1))</f>
        <v>192</v>
      </c>
      <c r="D1" s="32">
        <f t="shared" si="0"/>
        <v>48</v>
      </c>
      <c r="E1" s="32">
        <f t="shared" si="0"/>
        <v>52</v>
      </c>
      <c r="F1" s="32">
        <f t="shared" si="0"/>
        <v>208</v>
      </c>
      <c r="G1" s="32">
        <f t="shared" si="0"/>
        <v>52</v>
      </c>
      <c r="H1" s="32">
        <f t="shared" si="0"/>
        <v>59</v>
      </c>
      <c r="I1" s="32">
        <f t="shared" si="0"/>
        <v>235</v>
      </c>
      <c r="J1" s="32">
        <f t="shared" si="0"/>
        <v>59</v>
      </c>
      <c r="K1" s="32">
        <f t="shared" si="0"/>
        <v>67</v>
      </c>
      <c r="L1" s="32">
        <f t="shared" si="0"/>
        <v>268</v>
      </c>
      <c r="M1" s="32">
        <f t="shared" si="0"/>
        <v>67</v>
      </c>
      <c r="N1" s="32">
        <f t="shared" si="0"/>
        <v>77</v>
      </c>
      <c r="O1" s="32">
        <f t="shared" si="0"/>
        <v>306</v>
      </c>
      <c r="P1" s="32">
        <f t="shared" si="0"/>
        <v>77</v>
      </c>
      <c r="Q1" s="31">
        <f>VALUE((MID($B$8,SEARCH(" ",$B$8,Q2)+1,SEARCH(" ",$B$8,SEARCH(" ",$B$8,Q2)+1)-SEARCH(" ",$B$8,Q2)-1)))</f>
        <v>87</v>
      </c>
      <c r="R1" s="31">
        <f t="shared" ref="R1:AE1" si="1">VALUE((MID($B$8,SEARCH(" ",$B$8,R2)+1,SEARCH(" ",$B$8,SEARCH(" ",$B$8,R2)+1)-SEARCH(" ",$B$8,R2)-1)))</f>
        <v>348</v>
      </c>
      <c r="S1" s="31">
        <f t="shared" si="1"/>
        <v>87</v>
      </c>
      <c r="T1" s="31">
        <f t="shared" si="1"/>
        <v>98</v>
      </c>
      <c r="U1" s="31">
        <f t="shared" si="1"/>
        <v>393</v>
      </c>
      <c r="V1" s="31">
        <f t="shared" si="1"/>
        <v>98</v>
      </c>
      <c r="W1" s="31">
        <f t="shared" si="1"/>
        <v>110</v>
      </c>
      <c r="X1" s="31">
        <f t="shared" si="1"/>
        <v>442</v>
      </c>
      <c r="Y1" s="31">
        <f t="shared" si="1"/>
        <v>110</v>
      </c>
      <c r="Z1" s="31">
        <f t="shared" si="1"/>
        <v>123</v>
      </c>
      <c r="AA1" s="31">
        <f t="shared" si="1"/>
        <v>493</v>
      </c>
      <c r="AB1" s="31">
        <f t="shared" si="1"/>
        <v>123</v>
      </c>
      <c r="AC1" s="31">
        <f t="shared" si="1"/>
        <v>137</v>
      </c>
      <c r="AD1" s="31">
        <f t="shared" si="1"/>
        <v>547</v>
      </c>
      <c r="AE1" s="31">
        <f t="shared" si="1"/>
        <v>137</v>
      </c>
      <c r="AF1" s="31">
        <f>VALUE(MID($B$9, SEARCH(" ",$B$9,AF2) + 1, SEARCH(" ",$B$9,SEARCH(" ",$B$9,AF2)+1) - SEARCH(" ",$B$9,AF2) - 1))</f>
        <v>151</v>
      </c>
      <c r="AG1" s="31">
        <f t="shared" ref="AG1:AT1" si="2">VALUE(MID($B$9, SEARCH(" ",$B$9,AG2) + 1, SEARCH(" ",$B$9,SEARCH(" ",$B$9,AG2)+1) - SEARCH(" ",$B$9,AG2) - 1))</f>
        <v>604</v>
      </c>
      <c r="AH1" s="31">
        <f t="shared" si="2"/>
        <v>151</v>
      </c>
      <c r="AI1" s="31">
        <f t="shared" si="2"/>
        <v>166</v>
      </c>
      <c r="AJ1" s="31">
        <f t="shared" si="2"/>
        <v>662</v>
      </c>
      <c r="AK1" s="31">
        <f t="shared" si="2"/>
        <v>166</v>
      </c>
      <c r="AL1" s="31">
        <f t="shared" si="2"/>
        <v>181</v>
      </c>
      <c r="AM1" s="31">
        <f t="shared" si="2"/>
        <v>723</v>
      </c>
      <c r="AN1" s="31">
        <f t="shared" si="2"/>
        <v>181</v>
      </c>
      <c r="AO1" s="31">
        <f t="shared" si="2"/>
        <v>197</v>
      </c>
      <c r="AP1" s="31">
        <f t="shared" si="2"/>
        <v>786</v>
      </c>
      <c r="AQ1" s="31">
        <f t="shared" si="2"/>
        <v>197</v>
      </c>
      <c r="AR1" s="31">
        <f t="shared" si="2"/>
        <v>213</v>
      </c>
      <c r="AS1" s="31">
        <f t="shared" si="2"/>
        <v>851</v>
      </c>
      <c r="AT1" s="31">
        <f t="shared" si="2"/>
        <v>213</v>
      </c>
      <c r="AU1" s="31">
        <f>VALUE(MID($B$10, SEARCH(" ",$B$10,AU2) + 1, SEARCH(" ",$B$10,SEARCH(" ",$B$10,AU2)+1) - SEARCH(" ",$B$10,AU2) - 1))</f>
        <v>230</v>
      </c>
      <c r="AV1" s="31">
        <f t="shared" ref="AV1:BI1" si="3">VALUE(MID($B$10, SEARCH(" ",$B$10,AV2) + 1, SEARCH(" ",$B$10,SEARCH(" ",$B$10,AV2)+1) - SEARCH(" ",$B$10,AV2) - 1))</f>
        <v>918</v>
      </c>
      <c r="AW1" s="31">
        <f t="shared" si="3"/>
        <v>230</v>
      </c>
      <c r="AX1" s="31">
        <f t="shared" si="3"/>
        <v>247</v>
      </c>
      <c r="AY1" s="31">
        <f t="shared" si="3"/>
        <v>987</v>
      </c>
      <c r="AZ1" s="31">
        <f t="shared" si="3"/>
        <v>247</v>
      </c>
      <c r="BA1" s="31">
        <f t="shared" si="3"/>
        <v>264</v>
      </c>
      <c r="BB1" s="31">
        <f t="shared" si="3"/>
        <v>1057</v>
      </c>
      <c r="BC1" s="31">
        <f t="shared" si="3"/>
        <v>264</v>
      </c>
      <c r="BD1" s="31">
        <f t="shared" si="3"/>
        <v>282</v>
      </c>
      <c r="BE1" s="31">
        <f t="shared" si="3"/>
        <v>1129</v>
      </c>
      <c r="BF1" s="31">
        <f t="shared" si="3"/>
        <v>282</v>
      </c>
      <c r="BG1" s="31">
        <f t="shared" si="3"/>
        <v>301</v>
      </c>
      <c r="BH1" s="31">
        <f t="shared" si="3"/>
        <v>1203</v>
      </c>
      <c r="BI1" s="31">
        <f t="shared" si="3"/>
        <v>301</v>
      </c>
      <c r="BJ1" s="31">
        <f>VALUE(MID($B$11, SEARCH(" ",$B$11,BJ2) + 1, SEARCH(" ",$B$11,SEARCH(" ",$B$11,BJ2)+1) - SEARCH(" ",$B$11,BJ2) - 1))</f>
        <v>320</v>
      </c>
      <c r="BK1" s="31">
        <f t="shared" ref="BK1:CM1" si="4">VALUE(MID($B$11, SEARCH(" ",$B$11,BK2) + 1, SEARCH(" ",$B$11,SEARCH(" ",$B$11,BK2)+1) - SEARCH(" ",$B$11,BK2) - 1))</f>
        <v>1278</v>
      </c>
      <c r="BL1" s="31">
        <f t="shared" si="4"/>
        <v>320</v>
      </c>
      <c r="BM1" s="31">
        <f t="shared" si="4"/>
        <v>339</v>
      </c>
      <c r="BN1" s="31">
        <f t="shared" si="4"/>
        <v>1355</v>
      </c>
      <c r="BO1" s="31">
        <f t="shared" si="4"/>
        <v>339</v>
      </c>
      <c r="BP1" s="31">
        <f t="shared" si="4"/>
        <v>358</v>
      </c>
      <c r="BQ1" s="31">
        <f t="shared" si="4"/>
        <v>1433</v>
      </c>
      <c r="BR1" s="31">
        <f t="shared" si="4"/>
        <v>358</v>
      </c>
      <c r="BS1" s="31">
        <f t="shared" si="4"/>
        <v>378</v>
      </c>
      <c r="BT1" s="31">
        <f t="shared" si="4"/>
        <v>1513</v>
      </c>
      <c r="BU1" s="31">
        <f t="shared" si="4"/>
        <v>378</v>
      </c>
      <c r="BV1" s="31">
        <f t="shared" si="4"/>
        <v>398</v>
      </c>
      <c r="BW1" s="31">
        <f t="shared" si="4"/>
        <v>1594</v>
      </c>
      <c r="BX1" s="31">
        <f t="shared" si="4"/>
        <v>398</v>
      </c>
      <c r="BY1" s="31">
        <f t="shared" si="4"/>
        <v>419</v>
      </c>
      <c r="BZ1" s="31">
        <f t="shared" si="4"/>
        <v>1676</v>
      </c>
      <c r="CA1" s="31">
        <f t="shared" si="4"/>
        <v>419</v>
      </c>
      <c r="CB1" s="31">
        <f t="shared" si="4"/>
        <v>440</v>
      </c>
      <c r="CC1" s="31">
        <f t="shared" si="4"/>
        <v>1760</v>
      </c>
      <c r="CD1" s="31">
        <f t="shared" si="4"/>
        <v>440</v>
      </c>
      <c r="CE1" s="31">
        <f t="shared" si="4"/>
        <v>461</v>
      </c>
      <c r="CF1" s="31">
        <f t="shared" si="4"/>
        <v>1845</v>
      </c>
      <c r="CG1" s="31">
        <f t="shared" si="4"/>
        <v>461</v>
      </c>
      <c r="CH1" s="31">
        <f t="shared" si="4"/>
        <v>483</v>
      </c>
      <c r="CI1" s="31">
        <f t="shared" si="4"/>
        <v>1932</v>
      </c>
      <c r="CJ1" s="31">
        <f t="shared" si="4"/>
        <v>483</v>
      </c>
      <c r="CK1" s="31">
        <f t="shared" si="4"/>
        <v>505</v>
      </c>
      <c r="CL1" s="31">
        <f t="shared" si="4"/>
        <v>2019</v>
      </c>
      <c r="CM1" s="31">
        <f t="shared" si="4"/>
        <v>505</v>
      </c>
    </row>
    <row r="2" spans="1:91" hidden="1" x14ac:dyDescent="0.25">
      <c r="B2" s="24">
        <v>1</v>
      </c>
      <c r="C2" s="24">
        <f>SEARCH(" ",B7) + 1</f>
        <v>3</v>
      </c>
      <c r="D2" s="24">
        <f>SEARCH(" ",B7,C2) + 1</f>
        <v>6</v>
      </c>
      <c r="E2" s="24">
        <f>SEARCH(" ",B7,D5) + 1</f>
        <v>21</v>
      </c>
      <c r="F2" s="24">
        <f>SEARCH(" ",B7,E2) + 1</f>
        <v>23</v>
      </c>
      <c r="G2" s="24">
        <f>SEARCH(" ",B7,F2) + 1</f>
        <v>26</v>
      </c>
      <c r="H2" s="24">
        <f>SEARCH(" ",B7,G5) + 1</f>
        <v>41</v>
      </c>
      <c r="I2" s="24">
        <f>SEARCH(" ",B7,H2) + 1</f>
        <v>43</v>
      </c>
      <c r="J2" s="24">
        <f>SEARCH(" ",B7,I2) + 1</f>
        <v>46</v>
      </c>
      <c r="K2" s="24">
        <f>SEARCH(" ",B7,J5) + 1</f>
        <v>63</v>
      </c>
      <c r="L2" s="24">
        <f>SEARCH(" ",B7,K2) + 1</f>
        <v>65</v>
      </c>
      <c r="M2" s="24">
        <f>SEARCH(" ",B7,L2) + 1</f>
        <v>68</v>
      </c>
      <c r="N2" s="24">
        <f>SEARCH(" ",B7,M5) + 1</f>
        <v>85</v>
      </c>
      <c r="O2" s="24">
        <f>SEARCH(" ",B7,N2) + 1</f>
        <v>87</v>
      </c>
      <c r="P2" s="24">
        <f>SEARCH(" ",B7,O2) + 1</f>
        <v>90</v>
      </c>
      <c r="Q2" s="24">
        <v>1</v>
      </c>
      <c r="R2" s="24">
        <f>SEARCH(" ",B8) + 1</f>
        <v>3</v>
      </c>
      <c r="S2" s="24">
        <f>SEARCH(" ",B8,R2) + 1</f>
        <v>6</v>
      </c>
      <c r="T2" s="24">
        <f>SEARCH(" ",B8,S5) + 1</f>
        <v>23</v>
      </c>
      <c r="U2" s="24">
        <f>SEARCH(" ",B8,T2) + 1</f>
        <v>25</v>
      </c>
      <c r="V2" s="24">
        <f>SEARCH(" ",B8,U2) + 1</f>
        <v>28</v>
      </c>
      <c r="W2" s="24">
        <f>SEARCH(" ",B8,V5) + 1</f>
        <v>45</v>
      </c>
      <c r="X2" s="24">
        <f>SEARCH(" ",B8,W2) + 1</f>
        <v>47</v>
      </c>
      <c r="Y2" s="24">
        <f>SEARCH(" ",B8,X2) + 1</f>
        <v>51</v>
      </c>
      <c r="Z2" s="24">
        <f>SEARCH(" ",B8,Y5) + 1</f>
        <v>69</v>
      </c>
      <c r="AA2" s="24">
        <f>SEARCH(" ",B8,Z2) + 1</f>
        <v>71</v>
      </c>
      <c r="AB2" s="24">
        <f>SEARCH(" ",B8,AA2) + 1</f>
        <v>75</v>
      </c>
      <c r="AC2" s="24">
        <f>SEARCH(" ",B8,AB5) + 1</f>
        <v>93</v>
      </c>
      <c r="AD2" s="24">
        <f>SEARCH(" ",B8,AC2) + 1</f>
        <v>96</v>
      </c>
      <c r="AE2" s="24">
        <f>SEARCH(" ",B8,AD2) + 1</f>
        <v>100</v>
      </c>
      <c r="AF2" s="24">
        <v>1</v>
      </c>
      <c r="AG2" s="24">
        <f>SEARCH(" ",B9) + 1</f>
        <v>4</v>
      </c>
      <c r="AH2" s="24">
        <f>SEARCH(" ",B9,AG2) + 1</f>
        <v>8</v>
      </c>
      <c r="AI2" s="24">
        <f>SEARCH(" ",B9,AH5) + 1</f>
        <v>27</v>
      </c>
      <c r="AJ2" s="24">
        <f>SEARCH(" ",B9,AI2) + 1</f>
        <v>30</v>
      </c>
      <c r="AK2" s="24">
        <f>SEARCH(" ",B9,AJ2) + 1</f>
        <v>34</v>
      </c>
      <c r="AL2" s="24">
        <f>SEARCH(" ",B9,AK5) + 1</f>
        <v>53</v>
      </c>
      <c r="AM2" s="24">
        <f>SEARCH(" ",B9,AL2) + 1</f>
        <v>56</v>
      </c>
      <c r="AN2" s="24">
        <f>SEARCH(" ",B9,AM2) + 1</f>
        <v>60</v>
      </c>
      <c r="AO2" s="24">
        <f>SEARCH(" ",B9,AN5) + 1</f>
        <v>79</v>
      </c>
      <c r="AP2" s="24">
        <f>SEARCH(" ",B9,AO2) + 1</f>
        <v>82</v>
      </c>
      <c r="AQ2" s="24">
        <f>SEARCH(" ",B9,AP2) + 1</f>
        <v>86</v>
      </c>
      <c r="AR2" s="24">
        <f>SEARCH(" ",B9,AQ5) + 1</f>
        <v>105</v>
      </c>
      <c r="AS2" s="24">
        <f>SEARCH(" ",B9,AR2) + 1</f>
        <v>108</v>
      </c>
      <c r="AT2" s="24">
        <f>SEARCH(" ",B9,AS2) + 1</f>
        <v>112</v>
      </c>
      <c r="AU2" s="24">
        <v>1</v>
      </c>
      <c r="AV2" s="24">
        <f>SEARCH(" ",B10) + 1</f>
        <v>4</v>
      </c>
      <c r="AW2" s="24">
        <f>SEARCH(" ",B10,AV2) + 1</f>
        <v>8</v>
      </c>
      <c r="AX2" s="24">
        <f>SEARCH(" ",B10,AW5) + 1</f>
        <v>27</v>
      </c>
      <c r="AY2" s="24">
        <f>SEARCH(" ",B10,AX2) + 1</f>
        <v>30</v>
      </c>
      <c r="AZ2" s="24">
        <f>SEARCH(" ",B10,AY2) + 1</f>
        <v>34</v>
      </c>
      <c r="BA2" s="24">
        <f>SEARCH(" ",B10,AZ5) + 1</f>
        <v>53</v>
      </c>
      <c r="BB2" s="24">
        <f>SEARCH(" ",B10,BA2) + 1</f>
        <v>56</v>
      </c>
      <c r="BC2" s="24">
        <f>SEARCH(" ",B10,BB2) + 1</f>
        <v>60</v>
      </c>
      <c r="BD2" s="24">
        <f>SEARCH(" ",B10,BC5) + 1</f>
        <v>81</v>
      </c>
      <c r="BE2" s="24">
        <f>SEARCH(" ",B10,BD2) + 1</f>
        <v>84</v>
      </c>
      <c r="BF2" s="24">
        <f>SEARCH(" ",B10,BE2) + 1</f>
        <v>88</v>
      </c>
      <c r="BG2" s="24">
        <f>SEARCH(" ",B10,BF5) + 1</f>
        <v>109</v>
      </c>
      <c r="BH2" s="24">
        <f>SEARCH(" ",B10,BG2) + 1</f>
        <v>112</v>
      </c>
      <c r="BI2" s="24">
        <f>SEARCH(" ",B10,BH2) + 1</f>
        <v>116</v>
      </c>
      <c r="BJ2" s="24">
        <v>1</v>
      </c>
      <c r="BK2" s="24">
        <f>SEARCH(" ",B11) + 1</f>
        <v>4</v>
      </c>
      <c r="BL2" s="24">
        <f>SEARCH(" ",B11,BK2) + 1</f>
        <v>8</v>
      </c>
      <c r="BM2" s="24">
        <f>SEARCH(" ",B11,BL5) + 1</f>
        <v>32</v>
      </c>
      <c r="BN2" s="24">
        <f>SEARCH(" ",B11,BM2) + 1</f>
        <v>35</v>
      </c>
      <c r="BO2" s="24">
        <f>SEARCH(" ",B11,BN2) + 1</f>
        <v>39</v>
      </c>
      <c r="BP2" s="24">
        <f>SEARCH(" ",B11,BO5) + 1</f>
        <v>63</v>
      </c>
      <c r="BQ2" s="24">
        <f>SEARCH(" ",B11,BP2) + 1</f>
        <v>66</v>
      </c>
      <c r="BR2" s="24">
        <f>SEARCH(" ",B11,BQ2) + 1</f>
        <v>70</v>
      </c>
      <c r="BS2" s="24">
        <f>SEARCH(" ",B11,BR5) + 1</f>
        <v>94</v>
      </c>
      <c r="BT2" s="24">
        <f>SEARCH(" ",B11,BS2) + 1</f>
        <v>97</v>
      </c>
      <c r="BU2" s="24">
        <f>SEARCH(" ",B11,BT2) + 1</f>
        <v>101</v>
      </c>
      <c r="BV2" s="24">
        <f>SEARCH(" ",B11,BU5) + 1</f>
        <v>125</v>
      </c>
      <c r="BW2" s="24">
        <f>SEARCH(" ",B11,BV2) + 1</f>
        <v>128</v>
      </c>
      <c r="BX2" s="24">
        <f>SEARCH(" ",B11,BW2) + 1</f>
        <v>132</v>
      </c>
      <c r="BY2" s="24">
        <f>SEARCH(" ",B11,BX5) + 1</f>
        <v>156</v>
      </c>
      <c r="BZ2" s="24">
        <f>SEARCH(" ",B11,BY2) + 1</f>
        <v>159</v>
      </c>
      <c r="CA2" s="24">
        <f>SEARCH(" ",B11,BZ2) + 1</f>
        <v>163</v>
      </c>
      <c r="CB2" s="24">
        <f>SEARCH(" ",B11,CA5) + 1</f>
        <v>187</v>
      </c>
      <c r="CC2" s="24">
        <f>SEARCH(" ",B11,CB2) + 1</f>
        <v>190</v>
      </c>
      <c r="CD2" s="24">
        <f>SEARCH(" ",B11,CC2) + 1</f>
        <v>194</v>
      </c>
      <c r="CE2" s="24">
        <f>SEARCH(" ",B11,CD5) + 1</f>
        <v>218</v>
      </c>
      <c r="CF2" s="24">
        <f>SEARCH(" ",B11,CE2) + 1</f>
        <v>221</v>
      </c>
      <c r="CG2" s="24">
        <f>SEARCH(" ",B11,CF2) + 1</f>
        <v>225</v>
      </c>
      <c r="CH2" s="24">
        <f>SEARCH(" ",B11,CG5) + 1</f>
        <v>249</v>
      </c>
      <c r="CI2" s="24">
        <f>SEARCH(" ",B11,CH2) + 1</f>
        <v>252</v>
      </c>
      <c r="CJ2" s="24">
        <f>SEARCH(" ",B11,CI2) + 1</f>
        <v>256</v>
      </c>
      <c r="CK2" s="24">
        <f>SEARCH(" ",B11,CJ5) + 1</f>
        <v>280</v>
      </c>
      <c r="CL2" s="24">
        <f>SEARCH(" ",B11,CK2) + 1</f>
        <v>283</v>
      </c>
      <c r="CM2" s="24">
        <f>SEARCH(" ",B11,CL2) + 1</f>
        <v>287</v>
      </c>
    </row>
    <row r="3" spans="1:91" hidden="1" x14ac:dyDescent="0.25">
      <c r="D3" s="24">
        <f>SEARCH(" ",B7,D2) + 1</f>
        <v>10</v>
      </c>
      <c r="G3" s="24">
        <f>SEARCH(" ",B7,G2) + 1</f>
        <v>30</v>
      </c>
      <c r="J3" s="24">
        <f>SEARCH(" ",B7,J2) + 1</f>
        <v>50</v>
      </c>
      <c r="M3" s="24">
        <f>SEARCH(" ",B7,M2) + 1</f>
        <v>72</v>
      </c>
      <c r="P3" s="24">
        <f>SEARCH(" ",B7,P2) + 1</f>
        <v>94</v>
      </c>
      <c r="S3" s="24">
        <f>SEARCH(" ",B8,S2) + 1</f>
        <v>10</v>
      </c>
      <c r="V3" s="24">
        <f>SEARCH(" ",B8,V2) + 1</f>
        <v>32</v>
      </c>
      <c r="Y3" s="24">
        <f>SEARCH(" ",B8,Y2) + 1</f>
        <v>55</v>
      </c>
      <c r="AB3" s="24">
        <f>SEARCH(" ",B8,AB2) + 1</f>
        <v>79</v>
      </c>
      <c r="AE3" s="24">
        <f>SEARCH(" ",B8,AE2) + 1</f>
        <v>104</v>
      </c>
      <c r="AH3" s="24">
        <f>SEARCH(" ",B9,AH2) + 1</f>
        <v>12</v>
      </c>
      <c r="AK3" s="24">
        <f>SEARCH(" ",B9,AK2) + 1</f>
        <v>38</v>
      </c>
      <c r="AN3" s="24">
        <f>SEARCH(" ",B9,AN2) + 1</f>
        <v>64</v>
      </c>
      <c r="AQ3" s="24">
        <f>SEARCH(" ",B9,AQ2) + 1</f>
        <v>90</v>
      </c>
      <c r="AT3" s="24">
        <f>SEARCH(" ",B9,AT2) + 1</f>
        <v>116</v>
      </c>
      <c r="AW3" s="24">
        <f>SEARCH(" ",B10,AW2) + 1</f>
        <v>12</v>
      </c>
      <c r="AZ3" s="24">
        <f>SEARCH(" ",B10,AZ2) + 1</f>
        <v>38</v>
      </c>
      <c r="BC3" s="24">
        <f>SEARCH(" ",B10,BC2) + 1</f>
        <v>66</v>
      </c>
      <c r="BF3" s="24">
        <f>SEARCH(" ",B10,BF2) + 1</f>
        <v>94</v>
      </c>
      <c r="BI3" s="24">
        <f>SEARCH(" ",B10,BI2) + 1</f>
        <v>122</v>
      </c>
      <c r="BL3" s="24">
        <f>SEARCH(" ",B11,BL2) + 1</f>
        <v>14</v>
      </c>
      <c r="BO3" s="24">
        <f>SEARCH(" ",B11,BO2) + 1</f>
        <v>45</v>
      </c>
      <c r="BR3" s="24">
        <f>SEARCH(" ",B11,BR2) + 1</f>
        <v>76</v>
      </c>
      <c r="BU3" s="24">
        <f>SEARCH(" ",B11,BU2) + 1</f>
        <v>107</v>
      </c>
      <c r="BX3" s="24">
        <f>SEARCH(" ",B11,BX2) + 1</f>
        <v>138</v>
      </c>
      <c r="CA3" s="24">
        <f>SEARCH(" ",B11,CA2) + 1</f>
        <v>169</v>
      </c>
      <c r="CD3" s="24">
        <f>SEARCH(" ",B11,CD2) + 1</f>
        <v>200</v>
      </c>
      <c r="CG3" s="24">
        <f>SEARCH(" ",B11,CG2) + 1</f>
        <v>231</v>
      </c>
      <c r="CJ3" s="24">
        <f>SEARCH(" ",B11,CJ2) + 1</f>
        <v>262</v>
      </c>
      <c r="CM3" s="24">
        <f>SEARCH(" ",B11,CM2) + 1</f>
        <v>293</v>
      </c>
    </row>
    <row r="4" spans="1:91" hidden="1" x14ac:dyDescent="0.25">
      <c r="D4" s="24">
        <f>SEARCH(" ",B7,D3) + 1</f>
        <v>13</v>
      </c>
      <c r="G4" s="24">
        <f>SEARCH(" ",B7,G3) + 1</f>
        <v>33</v>
      </c>
      <c r="J4" s="24">
        <f>SEARCH(" ",B7,J3) + 1</f>
        <v>53</v>
      </c>
      <c r="M4" s="24">
        <f>SEARCH(" ",B7,M3) + 1</f>
        <v>75</v>
      </c>
      <c r="P4" s="24">
        <f>SEARCH(" ",B7,P3) + 1</f>
        <v>97</v>
      </c>
      <c r="S4" s="24">
        <f>SEARCH(" ",B8,S3) + 1</f>
        <v>13</v>
      </c>
      <c r="V4" s="24">
        <f>SEARCH(" ",B8,V3) + 1</f>
        <v>35</v>
      </c>
      <c r="Y4" s="24">
        <f>SEARCH(" ",B8,Y3) + 1</f>
        <v>59</v>
      </c>
      <c r="AB4" s="24">
        <f>SEARCH(" ",B8,AB3) + 1</f>
        <v>83</v>
      </c>
      <c r="AE4" s="24">
        <f>SEARCH(" ",B8,AE3) + 1</f>
        <v>108</v>
      </c>
      <c r="AH4" s="24">
        <f>SEARCH(" ",B9,AH3) + 1</f>
        <v>16</v>
      </c>
      <c r="AK4" s="24">
        <f>SEARCH(" ",B9,AK3) + 1</f>
        <v>42</v>
      </c>
      <c r="AN4" s="24">
        <f>SEARCH(" ",B9,AN3) + 1</f>
        <v>68</v>
      </c>
      <c r="AQ4" s="24">
        <f>SEARCH(" ",B9,AQ3) + 1</f>
        <v>94</v>
      </c>
      <c r="AT4" s="24">
        <f>SEARCH(" ",B9,AT3) + 1</f>
        <v>120</v>
      </c>
      <c r="AW4" s="24">
        <f>SEARCH(" ",B10,AW3) + 1</f>
        <v>16</v>
      </c>
      <c r="AZ4" s="24">
        <f>SEARCH(" ",B10,AZ3) + 1</f>
        <v>42</v>
      </c>
      <c r="BC4" s="24">
        <f>SEARCH(" ",B10,BC3) + 1</f>
        <v>70</v>
      </c>
      <c r="BF4" s="24">
        <f>SEARCH(" ",B10,BF3) + 1</f>
        <v>98</v>
      </c>
      <c r="BI4" s="24">
        <f>SEARCH(" ",B10,BI3) + 1</f>
        <v>126</v>
      </c>
      <c r="BL4" s="24">
        <f>SEARCH(" ",B11,BL3) + 1</f>
        <v>18</v>
      </c>
      <c r="BO4" s="24">
        <f>SEARCH(" ",B11,BO3) + 1</f>
        <v>49</v>
      </c>
      <c r="BR4" s="24">
        <f>SEARCH(" ",B11,BR3) + 1</f>
        <v>80</v>
      </c>
      <c r="BU4" s="24">
        <f>SEARCH(" ",B11,BU3) + 1</f>
        <v>111</v>
      </c>
      <c r="BX4" s="24">
        <f>SEARCH(" ",B11,BX3) + 1</f>
        <v>142</v>
      </c>
      <c r="CA4" s="24">
        <f>SEARCH(" ",B11,CA3) + 1</f>
        <v>173</v>
      </c>
      <c r="CD4" s="24">
        <f>SEARCH(" ",B11,CD3) + 1</f>
        <v>204</v>
      </c>
      <c r="CG4" s="24">
        <f>SEARCH(" ",B11,CG3) + 1</f>
        <v>235</v>
      </c>
      <c r="CJ4" s="24">
        <f>SEARCH(" ",B11,CJ3) + 1</f>
        <v>266</v>
      </c>
      <c r="CM4" s="24">
        <f>SEARCH(" ",B11,CM3) + 1</f>
        <v>297</v>
      </c>
    </row>
    <row r="5" spans="1:91" hidden="1" x14ac:dyDescent="0.25">
      <c r="D5" s="24">
        <f>SEARCH(" ",B7,D4) + 1</f>
        <v>17</v>
      </c>
      <c r="G5" s="24">
        <f>SEARCH(" ",B7,G4) + 1</f>
        <v>37</v>
      </c>
      <c r="J5" s="24">
        <f>SEARCH(" ",B7,J4) + 1</f>
        <v>57</v>
      </c>
      <c r="M5" s="24">
        <f>SEARCH(" ",B7,M4) + 1</f>
        <v>79</v>
      </c>
      <c r="P5" s="24">
        <f>SEARCH(" ",B7,P4) + 1</f>
        <v>101</v>
      </c>
      <c r="S5" s="24">
        <f>SEARCH(" ",B8,S4) + 1</f>
        <v>19</v>
      </c>
      <c r="V5" s="24">
        <f>SEARCH(" ",B8,V4) + 1</f>
        <v>41</v>
      </c>
      <c r="Y5" s="24">
        <f>SEARCH(" ",B8,Y4) + 1</f>
        <v>65</v>
      </c>
      <c r="AB5" s="24">
        <f>SEARCH(" ",B8,AB4) + 1</f>
        <v>89</v>
      </c>
      <c r="AE5" s="24">
        <f>SEARCH(" ",B8,AE4) + 1</f>
        <v>114</v>
      </c>
      <c r="AH5" s="24">
        <f>SEARCH(" ",B9,AH4) + 1</f>
        <v>22</v>
      </c>
      <c r="AK5" s="24">
        <f>SEARCH(" ",B9,AK4) + 1</f>
        <v>48</v>
      </c>
      <c r="AN5" s="24">
        <f>SEARCH(" ",B9,AN4) + 1</f>
        <v>74</v>
      </c>
      <c r="AQ5" s="24">
        <f>SEARCH(" ",B9,AQ4) + 1</f>
        <v>100</v>
      </c>
      <c r="AT5" s="24">
        <f>SEARCH(" ",B9,AT4) + 1</f>
        <v>126</v>
      </c>
      <c r="AW5" s="24">
        <f>SEARCH(" ",B10,AW4) + 1</f>
        <v>22</v>
      </c>
      <c r="AZ5" s="24">
        <f>SEARCH(" ",B10,AZ4) + 1</f>
        <v>48</v>
      </c>
      <c r="BC5" s="24">
        <f>SEARCH(" ",B10,BC4) + 1</f>
        <v>76</v>
      </c>
      <c r="BF5" s="24">
        <f>SEARCH(" ",B10,BF4) + 1</f>
        <v>104</v>
      </c>
      <c r="BI5" s="24">
        <f>SEARCH(" ",B10,BI4) + 1</f>
        <v>132</v>
      </c>
      <c r="BL5" s="24">
        <f>SEARCH(" ",B11,BL4) + 1</f>
        <v>25</v>
      </c>
      <c r="BO5" s="24">
        <f>SEARCH(" ",B11,BO4) + 1</f>
        <v>56</v>
      </c>
      <c r="BR5" s="24">
        <f>SEARCH(" ",B11,BR4) + 1</f>
        <v>87</v>
      </c>
      <c r="BU5" s="24">
        <f>SEARCH(" ",B11,BU4) + 1</f>
        <v>118</v>
      </c>
      <c r="BX5" s="24">
        <f>SEARCH(" ",B11,BX4) + 1</f>
        <v>149</v>
      </c>
      <c r="CA5" s="24">
        <f>SEARCH(" ",B11,CA4) + 1</f>
        <v>180</v>
      </c>
      <c r="CD5" s="24">
        <f>SEARCH(" ",B11,CD4) + 1</f>
        <v>211</v>
      </c>
      <c r="CG5" s="24">
        <f>SEARCH(" ",B11,CG4) + 1</f>
        <v>242</v>
      </c>
      <c r="CJ5" s="24">
        <f>SEARCH(" ",B11,CJ4) + 1</f>
        <v>273</v>
      </c>
      <c r="CM5" s="24">
        <f>SEARCH(" ",B11,CM4) + 1</f>
        <v>304</v>
      </c>
    </row>
    <row r="6" spans="1:91" ht="24" customHeight="1" x14ac:dyDescent="0.25">
      <c r="A6" s="25" t="s">
        <v>116</v>
      </c>
    </row>
    <row r="7" spans="1:91" x14ac:dyDescent="0.25">
      <c r="A7" s="26" t="s">
        <v>117</v>
      </c>
      <c r="B7" s="55" t="s">
        <v>754</v>
      </c>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c r="CC7" s="27"/>
      <c r="CD7" s="27"/>
      <c r="CE7" s="27"/>
      <c r="CF7" s="27"/>
      <c r="CG7" s="27"/>
      <c r="CH7" s="27"/>
      <c r="CI7" s="27"/>
      <c r="CJ7" s="27"/>
      <c r="CK7" s="27"/>
      <c r="CL7" s="27"/>
      <c r="CM7" s="27"/>
    </row>
    <row r="8" spans="1:91" x14ac:dyDescent="0.25">
      <c r="A8" s="26" t="s">
        <v>118</v>
      </c>
      <c r="B8" s="55" t="s">
        <v>755</v>
      </c>
      <c r="C8" s="27"/>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row>
    <row r="9" spans="1:91" x14ac:dyDescent="0.25">
      <c r="A9" s="26" t="s">
        <v>119</v>
      </c>
      <c r="B9" s="55" t="s">
        <v>756</v>
      </c>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row>
    <row r="10" spans="1:91" x14ac:dyDescent="0.25">
      <c r="A10" s="26" t="s">
        <v>121</v>
      </c>
      <c r="B10" s="55" t="s">
        <v>757</v>
      </c>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c r="BY10" s="27"/>
      <c r="BZ10" s="27"/>
      <c r="CA10" s="27"/>
      <c r="CB10" s="27"/>
      <c r="CC10" s="27"/>
      <c r="CD10" s="27"/>
      <c r="CE10" s="27"/>
      <c r="CF10" s="27"/>
      <c r="CG10" s="27"/>
      <c r="CH10" s="27"/>
      <c r="CI10" s="27"/>
      <c r="CJ10" s="27"/>
      <c r="CK10" s="27"/>
      <c r="CL10" s="27"/>
      <c r="CM10" s="27"/>
    </row>
    <row r="11" spans="1:91" x14ac:dyDescent="0.25">
      <c r="A11" s="26" t="s">
        <v>120</v>
      </c>
      <c r="B11" s="55" t="s">
        <v>758</v>
      </c>
      <c r="C11" s="27"/>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27"/>
      <c r="BY11" s="27"/>
      <c r="BZ11" s="27"/>
      <c r="CA11" s="27"/>
      <c r="CB11" s="27"/>
      <c r="CC11" s="27"/>
      <c r="CD11" s="27"/>
      <c r="CE11" s="27"/>
      <c r="CF11" s="27"/>
      <c r="CG11" s="27"/>
      <c r="CH11" s="27"/>
      <c r="CI11" s="27"/>
      <c r="CJ11" s="27"/>
      <c r="CK11" s="27"/>
      <c r="CL11" s="27"/>
      <c r="CM11" s="2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105</vt:i4>
      </vt:variant>
    </vt:vector>
  </HeadingPairs>
  <TitlesOfParts>
    <vt:vector size="129" baseType="lpstr">
      <vt:lpstr>Roster</vt:lpstr>
      <vt:lpstr>All Docks</vt:lpstr>
      <vt:lpstr>Pre-Set Crews</vt:lpstr>
      <vt:lpstr>Ships</vt:lpstr>
      <vt:lpstr>ATA Overview</vt:lpstr>
      <vt:lpstr>ATA Analysis</vt:lpstr>
      <vt:lpstr>ATA Planning</vt:lpstr>
      <vt:lpstr>Instructions</vt:lpstr>
      <vt:lpstr>Migration</vt:lpstr>
      <vt:lpstr>Change Log</vt:lpstr>
      <vt:lpstr>AM Lookup</vt:lpstr>
      <vt:lpstr>Pre-Set Lookup</vt:lpstr>
      <vt:lpstr>References</vt:lpstr>
      <vt:lpstr>LoadoutTracking</vt:lpstr>
      <vt:lpstr>RosterIndirect</vt:lpstr>
      <vt:lpstr>Officer Skills</vt:lpstr>
      <vt:lpstr>Officer Stats</vt:lpstr>
      <vt:lpstr>Officer Scores</vt:lpstr>
      <vt:lpstr>Ship Stats</vt:lpstr>
      <vt:lpstr>Ship Weapons</vt:lpstr>
      <vt:lpstr>StatCalc</vt:lpstr>
      <vt:lpstr>New Release Steps</vt:lpstr>
      <vt:lpstr>Page Template</vt:lpstr>
      <vt:lpstr>LCARS Import</vt:lpstr>
      <vt:lpstr>Abilities</vt:lpstr>
      <vt:lpstr>AcademyBonus</vt:lpstr>
      <vt:lpstr>AOEApply</vt:lpstr>
      <vt:lpstr>AOEValue</vt:lpstr>
      <vt:lpstr>ApplyBonus</vt:lpstr>
      <vt:lpstr>AwayMissionOfficerMatch</vt:lpstr>
      <vt:lpstr>AwayMissionRewards</vt:lpstr>
      <vt:lpstr>AwayMissionRewardsAll</vt:lpstr>
      <vt:lpstr>AwayMissionsFull</vt:lpstr>
      <vt:lpstr>AwayMissionsNames</vt:lpstr>
      <vt:lpstr>AwayMissionTraits</vt:lpstr>
      <vt:lpstr>AwayMissionTraitsAll</vt:lpstr>
      <vt:lpstr>AwayMissionTraitsTotals</vt:lpstr>
      <vt:lpstr>EasterEggs</vt:lpstr>
      <vt:lpstr>ImportBonusLevel</vt:lpstr>
      <vt:lpstr>ImportBonusList</vt:lpstr>
      <vt:lpstr>ImportShipLevel</vt:lpstr>
      <vt:lpstr>ImportShipList</vt:lpstr>
      <vt:lpstr>ImportTraits1</vt:lpstr>
      <vt:lpstr>ImportTraits2</vt:lpstr>
      <vt:lpstr>ImportTraits3</vt:lpstr>
      <vt:lpstr>MaxLevel</vt:lpstr>
      <vt:lpstr>OAEApply</vt:lpstr>
      <vt:lpstr>ODEApply</vt:lpstr>
      <vt:lpstr>OEApply</vt:lpstr>
      <vt:lpstr>OfficerBonusA</vt:lpstr>
      <vt:lpstr>OfficerBonusAB</vt:lpstr>
      <vt:lpstr>OfficerBonusAC</vt:lpstr>
      <vt:lpstr>OfficerBonusD</vt:lpstr>
      <vt:lpstr>OfficerBonusDB</vt:lpstr>
      <vt:lpstr>OfficerBonusDC</vt:lpstr>
      <vt:lpstr>OfficerBonusH</vt:lpstr>
      <vt:lpstr>OfficerBonusHB</vt:lpstr>
      <vt:lpstr>OfficerBonusHC</vt:lpstr>
      <vt:lpstr>OfficerList</vt:lpstr>
      <vt:lpstr>OfficerScores</vt:lpstr>
      <vt:lpstr>OfficerSkillsFull</vt:lpstr>
      <vt:lpstr>OfficerSkillsOfficers</vt:lpstr>
      <vt:lpstr>OfficerStats</vt:lpstr>
      <vt:lpstr>OpsLevel</vt:lpstr>
      <vt:lpstr>OrionAttack</vt:lpstr>
      <vt:lpstr>OrionDefence</vt:lpstr>
      <vt:lpstr>OrionHealth</vt:lpstr>
      <vt:lpstr>OrionLevel</vt:lpstr>
      <vt:lpstr>Planning10Match</vt:lpstr>
      <vt:lpstr>Planning1Match</vt:lpstr>
      <vt:lpstr>Planning2Match</vt:lpstr>
      <vt:lpstr>Planning3Match</vt:lpstr>
      <vt:lpstr>Planning4Match</vt:lpstr>
      <vt:lpstr>Planning5Match</vt:lpstr>
      <vt:lpstr>Planning6Match</vt:lpstr>
      <vt:lpstr>Planning7Match</vt:lpstr>
      <vt:lpstr>Planning8Match</vt:lpstr>
      <vt:lpstr>Planning9Match</vt:lpstr>
      <vt:lpstr>PSArmBor</vt:lpstr>
      <vt:lpstr>PSArmEcl</vt:lpstr>
      <vt:lpstr>PSArmNorm</vt:lpstr>
      <vt:lpstr>PSArmSwa</vt:lpstr>
      <vt:lpstr>PSBases</vt:lpstr>
      <vt:lpstr>PSEclipse</vt:lpstr>
      <vt:lpstr>PSForBat</vt:lpstr>
      <vt:lpstr>PSForExp</vt:lpstr>
      <vt:lpstr>PSForInt</vt:lpstr>
      <vt:lpstr>PSFull</vt:lpstr>
      <vt:lpstr>PSHostile</vt:lpstr>
      <vt:lpstr>PSMBoss</vt:lpstr>
      <vt:lpstr>PSMining</vt:lpstr>
      <vt:lpstr>PSProbes</vt:lpstr>
      <vt:lpstr>PSPvP</vt:lpstr>
      <vt:lpstr>PSSwarms</vt:lpstr>
      <vt:lpstr>PSVsBat</vt:lpstr>
      <vt:lpstr>PSVsExp</vt:lpstr>
      <vt:lpstr>PSVsInt</vt:lpstr>
      <vt:lpstr>PSVsSur</vt:lpstr>
      <vt:lpstr>PSXP</vt:lpstr>
      <vt:lpstr>RankLookup</vt:lpstr>
      <vt:lpstr>RosterAttack</vt:lpstr>
      <vt:lpstr>RosterDefence</vt:lpstr>
      <vt:lpstr>RosterHealth</vt:lpstr>
      <vt:lpstr>RosterLevel</vt:lpstr>
      <vt:lpstr>RosterOfficer</vt:lpstr>
      <vt:lpstr>RosterRank</vt:lpstr>
      <vt:lpstr>Scores</vt:lpstr>
      <vt:lpstr>SelectedShip</vt:lpstr>
      <vt:lpstr>SelectedShipA</vt:lpstr>
      <vt:lpstr>SelectedShipB</vt:lpstr>
      <vt:lpstr>SelectedShipC</vt:lpstr>
      <vt:lpstr>SelectedShipD</vt:lpstr>
      <vt:lpstr>SelectedShipE</vt:lpstr>
      <vt:lpstr>SelectedShipF</vt:lpstr>
      <vt:lpstr>SelectedShipG</vt:lpstr>
      <vt:lpstr>ShipLevels</vt:lpstr>
      <vt:lpstr>ShipList</vt:lpstr>
      <vt:lpstr>ShipNames</vt:lpstr>
      <vt:lpstr>ShipWeapons</vt:lpstr>
      <vt:lpstr>StatBaseline</vt:lpstr>
      <vt:lpstr>Top_Officers</vt:lpstr>
      <vt:lpstr>Top_Traits</vt:lpstr>
      <vt:lpstr>TopATAScores</vt:lpstr>
      <vt:lpstr>TotalTraitsAppearance</vt:lpstr>
      <vt:lpstr>TraitCosts</vt:lpstr>
      <vt:lpstr>TraitCostsPoints</vt:lpstr>
      <vt:lpstr>TraitFull</vt:lpstr>
      <vt:lpstr>TraitNames</vt:lpstr>
      <vt:lpstr>TraitOfficers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StewieDoo</dc:creator>
  <cp:lastModifiedBy>StewieDoo</cp:lastModifiedBy>
  <dcterms:created xsi:type="dcterms:W3CDTF">2020-12-11T01:27:10Z</dcterms:created>
  <dcterms:modified xsi:type="dcterms:W3CDTF">2022-04-13T01:45:05Z</dcterms:modified>
</cp:coreProperties>
</file>