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rthur/Desktop/"/>
    </mc:Choice>
  </mc:AlternateContent>
  <xr:revisionPtr revIDLastSave="0" documentId="8_{B3071B21-8EBE-2046-B2AA-D26CD7D9896B}" xr6:coauthVersionLast="32" xr6:coauthVersionMax="32" xr10:uidLastSave="{00000000-0000-0000-0000-000000000000}"/>
  <bookViews>
    <workbookView xWindow="1180" yWindow="1460" windowWidth="27240" windowHeight="16040" xr2:uid="{9A567C3F-7E97-D041-A8E6-7ABAC42017C1}"/>
  </bookViews>
  <sheets>
    <sheet name="Hotel K-Cup" sheetId="1" r:id="rId1"/>
    <sheet name="Hotel Filter" sheetId="2" r:id="rId2"/>
  </sheets>
  <externalReferences>
    <externalReference r:id="rId3"/>
  </externalReferences>
  <definedNames>
    <definedName name="_xlnm.Print_Area" localSheetId="0">'Hotel K-Cup'!$A$1:$AL$29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I2" i="2"/>
  <c r="K2" i="2"/>
  <c r="L2" i="2"/>
  <c r="M2" i="2"/>
  <c r="O2" i="2"/>
  <c r="Q2" i="2"/>
  <c r="R2" i="2"/>
  <c r="U2" i="2"/>
  <c r="D3" i="2"/>
  <c r="F3" i="2"/>
  <c r="I3" i="2"/>
  <c r="K3" i="2"/>
  <c r="L3" i="2"/>
  <c r="M3" i="2"/>
  <c r="U3" i="2"/>
  <c r="D4" i="2"/>
  <c r="F4" i="2" s="1"/>
  <c r="I4" i="2"/>
  <c r="L4" i="2"/>
  <c r="M4" i="2"/>
  <c r="U4" i="2"/>
  <c r="D5" i="2"/>
  <c r="F5" i="2"/>
  <c r="I5" i="2"/>
  <c r="K5" i="2" s="1"/>
  <c r="O5" i="2" s="1"/>
  <c r="Q5" i="2" s="1"/>
  <c r="L5" i="2"/>
  <c r="M5" i="2"/>
  <c r="U5" i="2"/>
  <c r="D6" i="2"/>
  <c r="F6" i="2" s="1"/>
  <c r="I6" i="2"/>
  <c r="K6" i="2" s="1"/>
  <c r="L6" i="2"/>
  <c r="M6" i="2"/>
  <c r="U6" i="2"/>
  <c r="D7" i="2"/>
  <c r="F7" i="2"/>
  <c r="I7" i="2"/>
  <c r="K7" i="2"/>
  <c r="L7" i="2"/>
  <c r="M7" i="2"/>
  <c r="U7" i="2"/>
  <c r="F9" i="2"/>
  <c r="I9" i="2"/>
  <c r="L9" i="2"/>
  <c r="M9" i="2"/>
  <c r="D10" i="2"/>
  <c r="F10" i="2"/>
  <c r="I10" i="2"/>
  <c r="K10" i="2"/>
  <c r="U10" i="2" s="1"/>
  <c r="L10" i="2"/>
  <c r="M10" i="2"/>
  <c r="D11" i="2"/>
  <c r="F11" i="2"/>
  <c r="I11" i="2"/>
  <c r="L11" i="2"/>
  <c r="M11" i="2"/>
  <c r="D12" i="2"/>
  <c r="F12" i="2" s="1"/>
  <c r="K12" i="2" s="1"/>
  <c r="U12" i="2" s="1"/>
  <c r="I12" i="2"/>
  <c r="L12" i="2"/>
  <c r="M12" i="2"/>
  <c r="D13" i="2"/>
  <c r="F13" i="2"/>
  <c r="I13" i="2"/>
  <c r="L13" i="2"/>
  <c r="M13" i="2"/>
  <c r="D14" i="2"/>
  <c r="F14" i="2"/>
  <c r="I14" i="2"/>
  <c r="K14" i="2"/>
  <c r="L14" i="2"/>
  <c r="M14" i="2"/>
  <c r="F16" i="2"/>
  <c r="I16" i="2"/>
  <c r="K16" i="2" s="1"/>
  <c r="L16" i="2"/>
  <c r="M16" i="2"/>
  <c r="D17" i="2"/>
  <c r="F17" i="2"/>
  <c r="I17" i="2"/>
  <c r="K17" i="2"/>
  <c r="U17" i="2" s="1"/>
  <c r="L17" i="2"/>
  <c r="M17" i="2"/>
  <c r="D18" i="2"/>
  <c r="F18" i="2"/>
  <c r="I18" i="2"/>
  <c r="K18" i="2" s="1"/>
  <c r="L18" i="2"/>
  <c r="M18" i="2"/>
  <c r="D19" i="2"/>
  <c r="F19" i="2" s="1"/>
  <c r="K19" i="2" s="1"/>
  <c r="U19" i="2" s="1"/>
  <c r="I19" i="2"/>
  <c r="L19" i="2"/>
  <c r="M19" i="2"/>
  <c r="D20" i="2"/>
  <c r="F20" i="2"/>
  <c r="I20" i="2"/>
  <c r="K20" i="2" s="1"/>
  <c r="U20" i="2" s="1"/>
  <c r="L20" i="2"/>
  <c r="M20" i="2"/>
  <c r="D21" i="2"/>
  <c r="F21" i="2"/>
  <c r="I21" i="2"/>
  <c r="K21" i="2"/>
  <c r="L21" i="2"/>
  <c r="M21" i="2"/>
  <c r="F23" i="2"/>
  <c r="I23" i="2"/>
  <c r="K23" i="2"/>
  <c r="L23" i="2"/>
  <c r="M23" i="2"/>
  <c r="D24" i="2"/>
  <c r="F24" i="2" s="1"/>
  <c r="I24" i="2"/>
  <c r="L24" i="2"/>
  <c r="M24" i="2"/>
  <c r="D25" i="2"/>
  <c r="F25" i="2"/>
  <c r="I25" i="2"/>
  <c r="K25" i="2"/>
  <c r="L25" i="2"/>
  <c r="M25" i="2"/>
  <c r="D26" i="2"/>
  <c r="F26" i="2" s="1"/>
  <c r="I26" i="2"/>
  <c r="L26" i="2"/>
  <c r="M26" i="2"/>
  <c r="D27" i="2"/>
  <c r="F27" i="2"/>
  <c r="I27" i="2"/>
  <c r="K27" i="2"/>
  <c r="U27" i="2" s="1"/>
  <c r="O27" i="2" s="1"/>
  <c r="L27" i="2"/>
  <c r="M27" i="2"/>
  <c r="D28" i="2"/>
  <c r="F28" i="2"/>
  <c r="I28" i="2"/>
  <c r="K28" i="2"/>
  <c r="L28" i="2"/>
  <c r="M28" i="2"/>
  <c r="B36" i="2"/>
  <c r="C36" i="2"/>
  <c r="D36" i="2"/>
  <c r="E36" i="2"/>
  <c r="F36" i="2"/>
  <c r="B39" i="2"/>
  <c r="C39" i="2"/>
  <c r="D39" i="2"/>
  <c r="E39" i="2"/>
  <c r="F39" i="2"/>
  <c r="F3" i="1"/>
  <c r="H3" i="1"/>
  <c r="J3" i="1"/>
  <c r="L3" i="1"/>
  <c r="T3" i="1" s="1"/>
  <c r="U3" i="1" s="1"/>
  <c r="X3" i="1" s="1"/>
  <c r="Z3" i="1" s="1"/>
  <c r="P3" i="1"/>
  <c r="Q3" i="1"/>
  <c r="R3" i="1"/>
  <c r="V3" i="1"/>
  <c r="F4" i="1"/>
  <c r="H4" i="1"/>
  <c r="J4" i="1"/>
  <c r="L4" i="1"/>
  <c r="P4" i="1"/>
  <c r="Q4" i="1"/>
  <c r="R4" i="1"/>
  <c r="V4" i="1"/>
  <c r="F5" i="1"/>
  <c r="H5" i="1"/>
  <c r="J5" i="1"/>
  <c r="L5" i="1"/>
  <c r="T5" i="1" s="1"/>
  <c r="U5" i="1" s="1"/>
  <c r="X5" i="1" s="1"/>
  <c r="Z5" i="1" s="1"/>
  <c r="P5" i="1"/>
  <c r="Q5" i="1"/>
  <c r="R5" i="1"/>
  <c r="V5" i="1"/>
  <c r="F6" i="1"/>
  <c r="H6" i="1"/>
  <c r="J6" i="1"/>
  <c r="L6" i="1"/>
  <c r="T6" i="1" s="1"/>
  <c r="U6" i="1" s="1"/>
  <c r="X6" i="1" s="1"/>
  <c r="Z6" i="1" s="1"/>
  <c r="P6" i="1"/>
  <c r="Q6" i="1"/>
  <c r="R6" i="1"/>
  <c r="V6" i="1"/>
  <c r="F8" i="1"/>
  <c r="H8" i="1"/>
  <c r="J8" i="1"/>
  <c r="L8" i="1"/>
  <c r="T8" i="1" s="1"/>
  <c r="U8" i="1" s="1"/>
  <c r="X8" i="1" s="1"/>
  <c r="Z8" i="1" s="1"/>
  <c r="P8" i="1"/>
  <c r="Q8" i="1"/>
  <c r="R8" i="1"/>
  <c r="V8" i="1"/>
  <c r="F10" i="1"/>
  <c r="H10" i="1"/>
  <c r="J10" i="1"/>
  <c r="L10" i="1" s="1"/>
  <c r="T10" i="1" s="1"/>
  <c r="U10" i="1" s="1"/>
  <c r="X10" i="1" s="1"/>
  <c r="Z10" i="1" s="1"/>
  <c r="P10" i="1"/>
  <c r="Q10" i="1"/>
  <c r="R10" i="1"/>
  <c r="V10" i="1"/>
  <c r="F11" i="1"/>
  <c r="H11" i="1"/>
  <c r="J11" i="1"/>
  <c r="L11" i="1" s="1"/>
  <c r="T11" i="1" s="1"/>
  <c r="U11" i="1" s="1"/>
  <c r="X11" i="1" s="1"/>
  <c r="Z11" i="1" s="1"/>
  <c r="P11" i="1"/>
  <c r="Q11" i="1"/>
  <c r="R11" i="1"/>
  <c r="V11" i="1"/>
  <c r="F12" i="1"/>
  <c r="H12" i="1"/>
  <c r="J12" i="1" s="1"/>
  <c r="L12" i="1" s="1"/>
  <c r="T12" i="1" s="1"/>
  <c r="U12" i="1" s="1"/>
  <c r="X12" i="1" s="1"/>
  <c r="Z12" i="1" s="1"/>
  <c r="P12" i="1"/>
  <c r="Q12" i="1"/>
  <c r="R12" i="1"/>
  <c r="V12" i="1"/>
  <c r="F14" i="1"/>
  <c r="H14" i="1"/>
  <c r="J14" i="1" s="1"/>
  <c r="L14" i="1" s="1"/>
  <c r="T14" i="1" s="1"/>
  <c r="U14" i="1" s="1"/>
  <c r="X14" i="1" s="1"/>
  <c r="Z14" i="1" s="1"/>
  <c r="P14" i="1"/>
  <c r="Q14" i="1"/>
  <c r="R14" i="1"/>
  <c r="V14" i="1"/>
  <c r="F15" i="1"/>
  <c r="H15" i="1"/>
  <c r="J15" i="1"/>
  <c r="L15" i="1"/>
  <c r="P15" i="1"/>
  <c r="Q15" i="1"/>
  <c r="R15" i="1"/>
  <c r="V15" i="1"/>
  <c r="F16" i="1"/>
  <c r="H16" i="1"/>
  <c r="J16" i="1"/>
  <c r="L16" i="1"/>
  <c r="P16" i="1"/>
  <c r="Q16" i="1"/>
  <c r="R16" i="1"/>
  <c r="T16" i="1"/>
  <c r="U16" i="1" s="1"/>
  <c r="V16" i="1"/>
  <c r="F17" i="1"/>
  <c r="H17" i="1"/>
  <c r="J17" i="1"/>
  <c r="L17" i="1"/>
  <c r="P17" i="1"/>
  <c r="Q17" i="1"/>
  <c r="R17" i="1"/>
  <c r="V17" i="1"/>
  <c r="F19" i="1"/>
  <c r="H19" i="1"/>
  <c r="J19" i="1"/>
  <c r="L19" i="1"/>
  <c r="P19" i="1"/>
  <c r="Q19" i="1"/>
  <c r="R19" i="1"/>
  <c r="T19" i="1"/>
  <c r="U19" i="1" s="1"/>
  <c r="X19" i="1" s="1"/>
  <c r="Z19" i="1" s="1"/>
  <c r="V19" i="1"/>
  <c r="T4" i="1" l="1"/>
  <c r="U4" i="1" s="1"/>
  <c r="X4" i="1" s="1"/>
  <c r="Z4" i="1" s="1"/>
  <c r="U28" i="2"/>
  <c r="O28" i="2" s="1"/>
  <c r="O6" i="2"/>
  <c r="Q6" i="2" s="1"/>
  <c r="K13" i="2"/>
  <c r="U13" i="2" s="1"/>
  <c r="O13" i="2" s="1"/>
  <c r="U21" i="2"/>
  <c r="U14" i="2"/>
  <c r="U18" i="2"/>
  <c r="T17" i="1"/>
  <c r="U17" i="1" s="1"/>
  <c r="X17" i="1" s="1"/>
  <c r="Z17" i="1" s="1"/>
  <c r="K11" i="2"/>
  <c r="U11" i="2" s="1"/>
  <c r="U23" i="2"/>
  <c r="O23" i="2" s="1"/>
  <c r="X16" i="1"/>
  <c r="Z16" i="1" s="1"/>
  <c r="K24" i="2"/>
  <c r="U24" i="2" s="1"/>
  <c r="O24" i="2" s="1"/>
  <c r="U25" i="2"/>
  <c r="O25" i="2" s="1"/>
  <c r="Q25" i="2" s="1"/>
  <c r="R25" i="2" s="1"/>
  <c r="O3" i="2"/>
  <c r="Q3" i="2" s="1"/>
  <c r="R3" i="2" s="1"/>
  <c r="K26" i="2"/>
  <c r="U26" i="2" s="1"/>
  <c r="O26" i="2" s="1"/>
  <c r="U16" i="2"/>
  <c r="O16" i="2" s="1"/>
  <c r="K4" i="2"/>
  <c r="O4" i="2" s="1"/>
  <c r="Q4" i="2" s="1"/>
  <c r="O7" i="2"/>
  <c r="Q7" i="2" s="1"/>
  <c r="V2" i="2"/>
  <c r="W2" i="2" s="1"/>
  <c r="T15" i="1"/>
  <c r="U15" i="1" s="1"/>
  <c r="X15" i="1" s="1"/>
  <c r="Z15" i="1" s="1"/>
  <c r="K9" i="2"/>
  <c r="U9" i="2" s="1"/>
  <c r="W27" i="2"/>
  <c r="Q27" i="2"/>
  <c r="R27" i="2" s="1"/>
  <c r="O17" i="2"/>
  <c r="O10" i="2"/>
  <c r="W28" i="2"/>
  <c r="Q28" i="2"/>
  <c r="R28" i="2" s="1"/>
  <c r="O21" i="2"/>
  <c r="V6" i="2"/>
  <c r="W6" i="2" s="1"/>
  <c r="R6" i="2"/>
  <c r="W25" i="2"/>
  <c r="R7" i="2"/>
  <c r="V7" i="2"/>
  <c r="W7" i="2" s="1"/>
  <c r="W23" i="2"/>
  <c r="Q23" i="2"/>
  <c r="R23" i="2" s="1"/>
  <c r="O12" i="2"/>
  <c r="W26" i="2"/>
  <c r="Q26" i="2"/>
  <c r="R26" i="2" s="1"/>
  <c r="V4" i="2"/>
  <c r="W4" i="2" s="1"/>
  <c r="R4" i="2"/>
  <c r="O20" i="2"/>
  <c r="W24" i="2"/>
  <c r="Q24" i="2"/>
  <c r="R24" i="2" s="1"/>
  <c r="O14" i="2"/>
  <c r="O18" i="2"/>
  <c r="O11" i="2"/>
  <c r="O19" i="2"/>
  <c r="O9" i="2"/>
  <c r="V5" i="2"/>
  <c r="W5" i="2" s="1"/>
  <c r="R5" i="2"/>
  <c r="V3" i="2" l="1"/>
  <c r="W3" i="2" s="1"/>
  <c r="W11" i="2"/>
  <c r="Q11" i="2"/>
  <c r="W13" i="2"/>
  <c r="Q13" i="2"/>
  <c r="W20" i="2"/>
  <c r="Q20" i="2"/>
  <c r="W12" i="2"/>
  <c r="Q12" i="2"/>
  <c r="Q10" i="2"/>
  <c r="W10" i="2"/>
  <c r="W9" i="2"/>
  <c r="Q9" i="2"/>
  <c r="W18" i="2"/>
  <c r="Q18" i="2"/>
  <c r="Q21" i="2"/>
  <c r="W21" i="2"/>
  <c r="Q17" i="2"/>
  <c r="W17" i="2"/>
  <c r="Q19" i="2"/>
  <c r="W19" i="2"/>
  <c r="W16" i="2"/>
  <c r="Q16" i="2"/>
  <c r="W14" i="2"/>
  <c r="Q14" i="2"/>
  <c r="R14" i="2" l="1"/>
  <c r="V14" i="2"/>
  <c r="R12" i="2"/>
  <c r="V12" i="2"/>
  <c r="R21" i="2"/>
  <c r="V21" i="2"/>
  <c r="R16" i="2"/>
  <c r="V16" i="2"/>
  <c r="R18" i="2"/>
  <c r="V18" i="2"/>
  <c r="R20" i="2"/>
  <c r="V20" i="2"/>
  <c r="R9" i="2"/>
  <c r="V9" i="2"/>
  <c r="R13" i="2"/>
  <c r="V13" i="2"/>
  <c r="R19" i="2"/>
  <c r="V19" i="2"/>
  <c r="R11" i="2"/>
  <c r="V11" i="2"/>
  <c r="R17" i="2"/>
  <c r="V17" i="2"/>
  <c r="R10" i="2"/>
  <c r="V10" i="2"/>
</calcChain>
</file>

<file path=xl/sharedStrings.xml><?xml version="1.0" encoding="utf-8"?>
<sst xmlns="http://schemas.openxmlformats.org/spreadsheetml/2006/main" count="100" uniqueCount="67">
  <si>
    <t>Info@AlpineCoffee.com</t>
  </si>
  <si>
    <t>303-761-2500 X 0</t>
  </si>
  <si>
    <t>Englewood, CO 80110</t>
  </si>
  <si>
    <t>2860 South Tejon</t>
  </si>
  <si>
    <t>Alpine Coffee</t>
  </si>
  <si>
    <t>Cocoa</t>
  </si>
  <si>
    <t>Steamers</t>
  </si>
  <si>
    <t>Sumatra</t>
  </si>
  <si>
    <t>Kona Island Blend</t>
  </si>
  <si>
    <t>Costa</t>
  </si>
  <si>
    <t>Colombian Supremo</t>
  </si>
  <si>
    <t>Premium Blends</t>
  </si>
  <si>
    <t>French Vanilla</t>
  </si>
  <si>
    <t>Jamacian Nuts</t>
  </si>
  <si>
    <t>Hazelnut</t>
  </si>
  <si>
    <t>Flavored</t>
  </si>
  <si>
    <t>Columbia Decaf</t>
  </si>
  <si>
    <t>Decaf</t>
  </si>
  <si>
    <t>French Roast</t>
  </si>
  <si>
    <t>Dark Estate</t>
  </si>
  <si>
    <t>BreakFast Blend</t>
  </si>
  <si>
    <t>Donut Blend</t>
  </si>
  <si>
    <t>Favorites</t>
  </si>
  <si>
    <t>Retail</t>
  </si>
  <si>
    <t>Rounding</t>
  </si>
  <si>
    <t>Freight</t>
  </si>
  <si>
    <t>Cost per Cup</t>
  </si>
  <si>
    <t>Out Box</t>
  </si>
  <si>
    <t>100 Cnt Box</t>
  </si>
  <si>
    <t xml:space="preserve">Label </t>
  </si>
  <si>
    <t>Lid</t>
  </si>
  <si>
    <t>Welded Cup / Filter</t>
  </si>
  <si>
    <t>Coffee cost per K-Cup</t>
  </si>
  <si>
    <t>Roasted LB</t>
  </si>
  <si>
    <t>Flavoring</t>
  </si>
  <si>
    <t>Blend Cost LB</t>
  </si>
  <si>
    <t>Cs Weight LBS</t>
  </si>
  <si>
    <t>Case Cnt</t>
  </si>
  <si>
    <t>Weight GR.</t>
  </si>
  <si>
    <t>Product Name K Cups</t>
  </si>
  <si>
    <t>3 Crm, 3 Sug, 2 S&amp;L, 4 Stix</t>
  </si>
  <si>
    <t>2 Crm, 2 Sug, 1 S&amp;L, 2 Stix</t>
  </si>
  <si>
    <t xml:space="preserve">1 Crm, 1 Sug, 1 S&amp;L 1 Stick </t>
  </si>
  <si>
    <t>Profit</t>
  </si>
  <si>
    <t>Labor</t>
  </si>
  <si>
    <t>Stix</t>
  </si>
  <si>
    <t>S&amp;L</t>
  </si>
  <si>
    <t>Crm</t>
  </si>
  <si>
    <t>Sug</t>
  </si>
  <si>
    <t>2 Crm, 2 Sug, 1 S&amp;L, 1 Stix</t>
  </si>
  <si>
    <t>1 Crm, 1 Sug, 1 S&amp;L, 1 Stix</t>
  </si>
  <si>
    <t>Columbian Molina</t>
  </si>
  <si>
    <t>Cost each</t>
  </si>
  <si>
    <t>Total Cost per Case With Condiments</t>
  </si>
  <si>
    <t>Total Condiment Cost per Case</t>
  </si>
  <si>
    <t>Condiment Cost</t>
  </si>
  <si>
    <t>Condiments</t>
  </si>
  <si>
    <t>Cost per unit</t>
  </si>
  <si>
    <t>150 Count Retail</t>
  </si>
  <si>
    <t>150 count case COST</t>
  </si>
  <si>
    <t>Film / Bags</t>
  </si>
  <si>
    <t>Filter Pac Film</t>
  </si>
  <si>
    <t>Case Roasted Coffee</t>
  </si>
  <si>
    <t>Weight Gr</t>
  </si>
  <si>
    <t>Weight per Pac Ounces</t>
  </si>
  <si>
    <t>Cups per pack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</si>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</sst>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"/>
    <numFmt numFmtId="166" formatCode="#,##0.000"/>
    <numFmt numFmtId="167" formatCode="0.0000000000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Black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rgb="FF00B0F0"/>
      <name val="Arial"/>
      <family val="2"/>
    </font>
    <font>
      <sz val="8"/>
      <color rgb="FF800000"/>
      <name val="Arial"/>
      <family val="2"/>
    </font>
    <font>
      <sz val="8"/>
      <color rgb="FF99660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8"/>
      <color rgb="FF0BCBE5"/>
      <name val="Arial"/>
      <family val="2"/>
    </font>
    <font>
      <b/>
      <sz val="8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0" fontId="3" fillId="0" borderId="0" xfId="1"/>
    <xf numFmtId="16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1" applyFont="1"/>
    <xf numFmtId="166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4" fontId="1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4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1" fillId="3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Fill="1"/>
    <xf numFmtId="165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5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/>
    <xf numFmtId="164" fontId="9" fillId="0" borderId="0" xfId="0" applyNumberFormat="1" applyFont="1" applyFill="1"/>
    <xf numFmtId="0" fontId="11" fillId="4" borderId="0" xfId="0" applyFont="1" applyFill="1"/>
    <xf numFmtId="0" fontId="9" fillId="4" borderId="0" xfId="0" applyFont="1" applyFill="1"/>
    <xf numFmtId="165" fontId="9" fillId="4" borderId="0" xfId="0" applyNumberFormat="1" applyFont="1" applyFill="1"/>
    <xf numFmtId="164" fontId="9" fillId="4" borderId="0" xfId="0" applyNumberFormat="1" applyFont="1" applyFill="1"/>
    <xf numFmtId="4" fontId="9" fillId="4" borderId="0" xfId="0" applyNumberFormat="1" applyFont="1" applyFill="1"/>
    <xf numFmtId="0" fontId="9" fillId="4" borderId="0" xfId="0" applyFont="1" applyFill="1" applyAlignment="1">
      <alignment horizontal="center"/>
    </xf>
    <xf numFmtId="164" fontId="10" fillId="0" borderId="0" xfId="0" applyNumberFormat="1" applyFont="1"/>
    <xf numFmtId="2" fontId="10" fillId="0" borderId="0" xfId="0" applyNumberFormat="1" applyFont="1"/>
    <xf numFmtId="165" fontId="10" fillId="0" borderId="0" xfId="0" applyNumberFormat="1" applyFont="1"/>
    <xf numFmtId="164" fontId="7" fillId="0" borderId="0" xfId="0" applyNumberFormat="1" applyFont="1"/>
    <xf numFmtId="4" fontId="10" fillId="3" borderId="0" xfId="0" applyNumberFormat="1" applyFont="1" applyFill="1"/>
    <xf numFmtId="4" fontId="10" fillId="0" borderId="0" xfId="0" applyNumberFormat="1" applyFont="1"/>
    <xf numFmtId="0" fontId="10" fillId="0" borderId="0" xfId="0" applyFont="1" applyAlignment="1">
      <alignment horizontal="center"/>
    </xf>
    <xf numFmtId="0" fontId="11" fillId="0" borderId="0" xfId="0" applyFont="1"/>
    <xf numFmtId="0" fontId="9" fillId="0" borderId="0" xfId="0" applyFont="1"/>
    <xf numFmtId="164" fontId="11" fillId="0" borderId="0" xfId="0" applyNumberFormat="1" applyFont="1"/>
    <xf numFmtId="2" fontId="12" fillId="4" borderId="0" xfId="0" applyNumberFormat="1" applyFont="1" applyFill="1"/>
    <xf numFmtId="0" fontId="12" fillId="4" borderId="0" xfId="0" applyFont="1" applyFill="1"/>
    <xf numFmtId="165" fontId="12" fillId="4" borderId="0" xfId="0" applyNumberFormat="1" applyFont="1" applyFill="1"/>
    <xf numFmtId="164" fontId="12" fillId="4" borderId="0" xfId="0" applyNumberFormat="1" applyFont="1" applyFill="1"/>
    <xf numFmtId="4" fontId="12" fillId="4" borderId="0" xfId="0" applyNumberFormat="1" applyFont="1" applyFill="1"/>
    <xf numFmtId="0" fontId="12" fillId="4" borderId="0" xfId="0" applyFont="1" applyFill="1" applyAlignment="1">
      <alignment horizontal="center"/>
    </xf>
    <xf numFmtId="164" fontId="9" fillId="0" borderId="0" xfId="0" applyNumberFormat="1" applyFont="1"/>
    <xf numFmtId="2" fontId="9" fillId="0" borderId="0" xfId="0" applyNumberFormat="1" applyFont="1"/>
    <xf numFmtId="165" fontId="7" fillId="0" borderId="0" xfId="0" applyNumberFormat="1" applyFont="1"/>
    <xf numFmtId="165" fontId="9" fillId="0" borderId="0" xfId="0" applyNumberFormat="1" applyFont="1"/>
    <xf numFmtId="4" fontId="9" fillId="3" borderId="0" xfId="0" applyNumberFormat="1" applyFont="1" applyFill="1"/>
    <xf numFmtId="4" fontId="9" fillId="0" borderId="0" xfId="0" applyNumberFormat="1" applyFont="1"/>
    <xf numFmtId="0" fontId="9" fillId="0" borderId="0" xfId="0" applyFont="1" applyAlignment="1">
      <alignment horizontal="center"/>
    </xf>
    <xf numFmtId="2" fontId="11" fillId="0" borderId="0" xfId="0" applyNumberFormat="1" applyFont="1"/>
    <xf numFmtId="165" fontId="11" fillId="0" borderId="0" xfId="0" applyNumberFormat="1" applyFont="1"/>
    <xf numFmtId="4" fontId="11" fillId="3" borderId="0" xfId="0" applyNumberFormat="1" applyFont="1" applyFill="1"/>
    <xf numFmtId="4" fontId="11" fillId="0" borderId="0" xfId="0" applyNumberFormat="1" applyFont="1"/>
    <xf numFmtId="0" fontId="11" fillId="0" borderId="0" xfId="0" applyFont="1" applyAlignment="1">
      <alignment horizontal="center"/>
    </xf>
    <xf numFmtId="2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164" fontId="1" fillId="4" borderId="0" xfId="0" applyNumberFormat="1" applyFont="1" applyFill="1"/>
    <xf numFmtId="165" fontId="1" fillId="4" borderId="0" xfId="0" applyNumberFormat="1" applyFont="1" applyFill="1"/>
    <xf numFmtId="4" fontId="1" fillId="4" borderId="0" xfId="0" applyNumberFormat="1" applyFont="1" applyFill="1"/>
    <xf numFmtId="0" fontId="1" fillId="4" borderId="0" xfId="0" applyFont="1" applyFill="1" applyAlignment="1">
      <alignment horizontal="center"/>
    </xf>
    <xf numFmtId="2" fontId="7" fillId="0" borderId="0" xfId="0" applyNumberFormat="1" applyFont="1"/>
    <xf numFmtId="4" fontId="7" fillId="3" borderId="0" xfId="0" applyNumberFormat="1" applyFont="1" applyFill="1"/>
    <xf numFmtId="4" fontId="7" fillId="0" borderId="0" xfId="0" applyNumberFormat="1" applyFont="1"/>
    <xf numFmtId="0" fontId="7" fillId="0" borderId="0" xfId="0" applyFont="1" applyAlignment="1">
      <alignment horizontal="center"/>
    </xf>
    <xf numFmtId="167" fontId="7" fillId="0" borderId="0" xfId="0" applyNumberFormat="1" applyFont="1"/>
    <xf numFmtId="0" fontId="13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 wrapText="1"/>
    </xf>
    <xf numFmtId="4" fontId="6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15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jpe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320040</xdr:rowOff>
    </xdr:from>
    <xdr:ext cx="495300" cy="480060"/>
    <xdr:pic>
      <xdr:nvPicPr>
        <xdr:cNvPr id="2" name="Picture 1">
          <a:extLst>
            <a:ext uri="{FF2B5EF4-FFF2-40B4-BE49-F238E27FC236}">
              <a16:creationId xmlns:a16="http://schemas.microsoft.com/office/drawing/2014/main" id="{C6BCFA26-38A7-C145-955F-9A4CAF411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764540"/>
          <a:ext cx="495300" cy="480060"/>
        </a:xfrm>
        <a:prstGeom prst="rect">
          <a:avLst/>
        </a:prstGeom>
      </xdr:spPr>
    </xdr:pic>
    <xdr:clientData/>
  </xdr:oneCellAnchor>
  <xdr:oneCellAnchor>
    <xdr:from>
      <xdr:col>1</xdr:col>
      <xdr:colOff>7620</xdr:colOff>
      <xdr:row>10</xdr:row>
      <xdr:rowOff>304800</xdr:rowOff>
    </xdr:from>
    <xdr:ext cx="495300" cy="490220"/>
    <xdr:pic>
      <xdr:nvPicPr>
        <xdr:cNvPr id="3" name="Picture 2">
          <a:extLst>
            <a:ext uri="{FF2B5EF4-FFF2-40B4-BE49-F238E27FC236}">
              <a16:creationId xmlns:a16="http://schemas.microsoft.com/office/drawing/2014/main" id="{E3746964-5D01-1F46-A1E3-2CE727E8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4777">
          <a:off x="490220" y="2095500"/>
          <a:ext cx="495300" cy="4902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289560</xdr:rowOff>
    </xdr:from>
    <xdr:ext cx="502920" cy="527424"/>
    <xdr:pic>
      <xdr:nvPicPr>
        <xdr:cNvPr id="4" name="Picture 3">
          <a:extLst>
            <a:ext uri="{FF2B5EF4-FFF2-40B4-BE49-F238E27FC236}">
              <a16:creationId xmlns:a16="http://schemas.microsoft.com/office/drawing/2014/main" id="{1906148B-1B0D-7846-BADE-45ABF1CBF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3045460"/>
          <a:ext cx="502920" cy="52742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327660</xdr:rowOff>
    </xdr:from>
    <xdr:ext cx="495300" cy="480060"/>
    <xdr:pic>
      <xdr:nvPicPr>
        <xdr:cNvPr id="5" name="Picture 4">
          <a:extLst>
            <a:ext uri="{FF2B5EF4-FFF2-40B4-BE49-F238E27FC236}">
              <a16:creationId xmlns:a16="http://schemas.microsoft.com/office/drawing/2014/main" id="{1F9015B6-04AB-D74C-96ED-00D84D20A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568960"/>
          <a:ext cx="495300" cy="480060"/>
        </a:xfrm>
        <a:prstGeom prst="rect">
          <a:avLst/>
        </a:prstGeom>
      </xdr:spPr>
    </xdr:pic>
    <xdr:clientData/>
  </xdr:oneCellAnchor>
  <xdr:oneCellAnchor>
    <xdr:from>
      <xdr:col>1</xdr:col>
      <xdr:colOff>7620</xdr:colOff>
      <xdr:row>17</xdr:row>
      <xdr:rowOff>259080</xdr:rowOff>
    </xdr:from>
    <xdr:ext cx="495300" cy="490220"/>
    <xdr:pic>
      <xdr:nvPicPr>
        <xdr:cNvPr id="6" name="Picture 5">
          <a:extLst>
            <a:ext uri="{FF2B5EF4-FFF2-40B4-BE49-F238E27FC236}">
              <a16:creationId xmlns:a16="http://schemas.microsoft.com/office/drawing/2014/main" id="{38FDF5BC-F866-FB47-800D-E90BF2C1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" y="3434080"/>
          <a:ext cx="495300" cy="490220"/>
        </a:xfrm>
        <a:prstGeom prst="rect">
          <a:avLst/>
        </a:prstGeom>
      </xdr:spPr>
    </xdr:pic>
    <xdr:clientData/>
  </xdr:oneCellAnchor>
  <xdr:oneCellAnchor>
    <xdr:from>
      <xdr:col>1</xdr:col>
      <xdr:colOff>53340</xdr:colOff>
      <xdr:row>6</xdr:row>
      <xdr:rowOff>220980</xdr:rowOff>
    </xdr:from>
    <xdr:ext cx="464820" cy="459740"/>
    <xdr:pic>
      <xdr:nvPicPr>
        <xdr:cNvPr id="7" name="Picture 6">
          <a:extLst>
            <a:ext uri="{FF2B5EF4-FFF2-40B4-BE49-F238E27FC236}">
              <a16:creationId xmlns:a16="http://schemas.microsoft.com/office/drawing/2014/main" id="{F8E6CED1-602A-894D-8D6A-E51E141C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" y="1338580"/>
          <a:ext cx="464820" cy="459740"/>
        </a:xfrm>
        <a:prstGeom prst="rect">
          <a:avLst/>
        </a:prstGeom>
      </xdr:spPr>
    </xdr:pic>
    <xdr:clientData/>
  </xdr:oneCellAnchor>
  <xdr:oneCellAnchor>
    <xdr:from>
      <xdr:col>1</xdr:col>
      <xdr:colOff>22860</xdr:colOff>
      <xdr:row>9</xdr:row>
      <xdr:rowOff>220980</xdr:rowOff>
    </xdr:from>
    <xdr:ext cx="487680" cy="482600"/>
    <xdr:pic>
      <xdr:nvPicPr>
        <xdr:cNvPr id="8" name="Picture 7">
          <a:extLst>
            <a:ext uri="{FF2B5EF4-FFF2-40B4-BE49-F238E27FC236}">
              <a16:creationId xmlns:a16="http://schemas.microsoft.com/office/drawing/2014/main" id="{8DE57A22-8D93-F349-8B16-EB6040AB0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60" y="1910080"/>
          <a:ext cx="487680" cy="482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381000</xdr:rowOff>
    </xdr:from>
    <xdr:ext cx="518160" cy="502920"/>
    <xdr:pic>
      <xdr:nvPicPr>
        <xdr:cNvPr id="9" name="Picture 8">
          <a:extLst>
            <a:ext uri="{FF2B5EF4-FFF2-40B4-BE49-F238E27FC236}">
              <a16:creationId xmlns:a16="http://schemas.microsoft.com/office/drawing/2014/main" id="{9EFDBC49-0D63-0640-9754-B52C594E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52500"/>
          <a:ext cx="518160" cy="50292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13</xdr:row>
      <xdr:rowOff>297180</xdr:rowOff>
    </xdr:from>
    <xdr:ext cx="495300" cy="490220"/>
    <xdr:pic>
      <xdr:nvPicPr>
        <xdr:cNvPr id="10" name="Picture 9">
          <a:extLst>
            <a:ext uri="{FF2B5EF4-FFF2-40B4-BE49-F238E27FC236}">
              <a16:creationId xmlns:a16="http://schemas.microsoft.com/office/drawing/2014/main" id="{0757AF5D-EAB3-6B49-9488-D40BC300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40" y="2672080"/>
          <a:ext cx="495300" cy="4902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220980</xdr:rowOff>
    </xdr:from>
    <xdr:ext cx="518160" cy="528320"/>
    <xdr:pic>
      <xdr:nvPicPr>
        <xdr:cNvPr id="11" name="Picture 10">
          <a:extLst>
            <a:ext uri="{FF2B5EF4-FFF2-40B4-BE49-F238E27FC236}">
              <a16:creationId xmlns:a16="http://schemas.microsoft.com/office/drawing/2014/main" id="{6AC7F3AF-66FB-8845-A4BA-098D3672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2481580"/>
          <a:ext cx="518160" cy="52832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</xdr:row>
      <xdr:rowOff>76200</xdr:rowOff>
    </xdr:from>
    <xdr:ext cx="480060" cy="464820"/>
    <xdr:pic>
      <xdr:nvPicPr>
        <xdr:cNvPr id="12" name="Picture 11">
          <a:extLst>
            <a:ext uri="{FF2B5EF4-FFF2-40B4-BE49-F238E27FC236}">
              <a16:creationId xmlns:a16="http://schemas.microsoft.com/office/drawing/2014/main" id="{E13A0FBC-144D-E24A-B4BF-DE4E37A55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40" y="266700"/>
          <a:ext cx="480060" cy="46482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8</xdr:row>
      <xdr:rowOff>106680</xdr:rowOff>
    </xdr:from>
    <xdr:ext cx="502920" cy="500380"/>
    <xdr:pic>
      <xdr:nvPicPr>
        <xdr:cNvPr id="13" name="Picture 12">
          <a:extLst>
            <a:ext uri="{FF2B5EF4-FFF2-40B4-BE49-F238E27FC236}">
              <a16:creationId xmlns:a16="http://schemas.microsoft.com/office/drawing/2014/main" id="{241536C9-6D15-E247-8944-091898521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40" y="1630680"/>
          <a:ext cx="502920" cy="500380"/>
        </a:xfrm>
        <a:prstGeom prst="rect">
          <a:avLst/>
        </a:prstGeom>
      </xdr:spPr>
    </xdr:pic>
    <xdr:clientData/>
  </xdr:oneCellAnchor>
  <xdr:oneCellAnchor>
    <xdr:from>
      <xdr:col>34</xdr:col>
      <xdr:colOff>144780</xdr:colOff>
      <xdr:row>6</xdr:row>
      <xdr:rowOff>137160</xdr:rowOff>
    </xdr:from>
    <xdr:ext cx="1422400" cy="1277620"/>
    <xdr:pic>
      <xdr:nvPicPr>
        <xdr:cNvPr id="14" name="Picture 13">
          <a:extLst>
            <a:ext uri="{FF2B5EF4-FFF2-40B4-BE49-F238E27FC236}">
              <a16:creationId xmlns:a16="http://schemas.microsoft.com/office/drawing/2014/main" id="{966C7466-64C4-5245-9FEB-899E2E6FC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3180" y="1280160"/>
          <a:ext cx="1422400" cy="127762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11</xdr:row>
      <xdr:rowOff>259080</xdr:rowOff>
    </xdr:from>
    <xdr:ext cx="2748280" cy="2479040"/>
    <xdr:pic>
      <xdr:nvPicPr>
        <xdr:cNvPr id="15" name="Picture 14">
          <a:extLst>
            <a:ext uri="{FF2B5EF4-FFF2-40B4-BE49-F238E27FC236}">
              <a16:creationId xmlns:a16="http://schemas.microsoft.com/office/drawing/2014/main" id="{C517AB00-29F4-BB47-83D6-D7EAB6904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2291080"/>
          <a:ext cx="2748280" cy="2479040"/>
        </a:xfrm>
        <a:prstGeom prst="rect">
          <a:avLst/>
        </a:prstGeom>
      </xdr:spPr>
    </xdr:pic>
    <xdr:clientData/>
  </xdr:oneCellAnchor>
  <xdr:oneCellAnchor>
    <xdr:from>
      <xdr:col>31</xdr:col>
      <xdr:colOff>22860</xdr:colOff>
      <xdr:row>0</xdr:row>
      <xdr:rowOff>0</xdr:rowOff>
    </xdr:from>
    <xdr:ext cx="1470660" cy="1336040"/>
    <xdr:pic>
      <xdr:nvPicPr>
        <xdr:cNvPr id="16" name="Picture 15">
          <a:extLst>
            <a:ext uri="{FF2B5EF4-FFF2-40B4-BE49-F238E27FC236}">
              <a16:creationId xmlns:a16="http://schemas.microsoft.com/office/drawing/2014/main" id="{B26B49EF-0C26-B74A-83A4-DE4F8C7A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3460" y="0"/>
          <a:ext cx="1470660" cy="13360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335282</xdr:colOff>
      <xdr:row>2</xdr:row>
      <xdr:rowOff>45721</xdr:rowOff>
    </xdr:from>
    <xdr:ext cx="573390" cy="1059180"/>
    <xdr:pic>
      <xdr:nvPicPr>
        <xdr:cNvPr id="2" name="Picture 1">
          <a:extLst>
            <a:ext uri="{FF2B5EF4-FFF2-40B4-BE49-F238E27FC236}">
              <a16:creationId xmlns:a16="http://schemas.microsoft.com/office/drawing/2014/main" id="{AE2AAFDD-FB09-8445-9BFA-69C63930B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2" y="426721"/>
          <a:ext cx="573390" cy="1059180"/>
        </a:xfrm>
        <a:prstGeom prst="rect">
          <a:avLst/>
        </a:prstGeom>
      </xdr:spPr>
    </xdr:pic>
    <xdr:clientData/>
  </xdr:oneCellAnchor>
  <xdr:oneCellAnchor>
    <xdr:from>
      <xdr:col>0</xdr:col>
      <xdr:colOff>350521</xdr:colOff>
      <xdr:row>9</xdr:row>
      <xdr:rowOff>91440</xdr:rowOff>
    </xdr:from>
    <xdr:ext cx="601458" cy="1112520"/>
    <xdr:pic>
      <xdr:nvPicPr>
        <xdr:cNvPr id="3" name="Picture 2">
          <a:extLst>
            <a:ext uri="{FF2B5EF4-FFF2-40B4-BE49-F238E27FC236}">
              <a16:creationId xmlns:a16="http://schemas.microsoft.com/office/drawing/2014/main" id="{386D6337-2FB0-D743-87B7-7B3591474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1" y="1805940"/>
          <a:ext cx="601458" cy="1112520"/>
        </a:xfrm>
        <a:prstGeom prst="rect">
          <a:avLst/>
        </a:prstGeom>
      </xdr:spPr>
    </xdr:pic>
    <xdr:clientData/>
  </xdr:oneCellAnchor>
  <xdr:oneCellAnchor>
    <xdr:from>
      <xdr:col>0</xdr:col>
      <xdr:colOff>320041</xdr:colOff>
      <xdr:row>16</xdr:row>
      <xdr:rowOff>45720</xdr:rowOff>
    </xdr:from>
    <xdr:ext cx="621506" cy="1150620"/>
    <xdr:pic>
      <xdr:nvPicPr>
        <xdr:cNvPr id="4" name="Picture 3">
          <a:extLst>
            <a:ext uri="{FF2B5EF4-FFF2-40B4-BE49-F238E27FC236}">
              <a16:creationId xmlns:a16="http://schemas.microsoft.com/office/drawing/2014/main" id="{4A4097F0-F92B-6D40-9E7A-2AE94928D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1" y="3093720"/>
          <a:ext cx="621506" cy="1150620"/>
        </a:xfrm>
        <a:prstGeom prst="rect">
          <a:avLst/>
        </a:prstGeom>
      </xdr:spPr>
    </xdr:pic>
    <xdr:clientData/>
  </xdr:oneCellAnchor>
  <xdr:oneCellAnchor>
    <xdr:from>
      <xdr:col>0</xdr:col>
      <xdr:colOff>365760</xdr:colOff>
      <xdr:row>23</xdr:row>
      <xdr:rowOff>99060</xdr:rowOff>
    </xdr:from>
    <xdr:ext cx="633535" cy="1173480"/>
    <xdr:pic>
      <xdr:nvPicPr>
        <xdr:cNvPr id="5" name="Picture 4">
          <a:extLst>
            <a:ext uri="{FF2B5EF4-FFF2-40B4-BE49-F238E27FC236}">
              <a16:creationId xmlns:a16="http://schemas.microsoft.com/office/drawing/2014/main" id="{638E63C0-7C9D-8E41-8DB4-3924C38C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4480560"/>
          <a:ext cx="633535" cy="1173480"/>
        </a:xfrm>
        <a:prstGeom prst="rect">
          <a:avLst/>
        </a:prstGeom>
      </xdr:spPr>
    </xdr:pic>
    <xdr:clientData/>
  </xdr:oneCellAnchor>
  <xdr:oneCellAnchor>
    <xdr:from>
      <xdr:col>23</xdr:col>
      <xdr:colOff>121920</xdr:colOff>
      <xdr:row>22</xdr:row>
      <xdr:rowOff>68581</xdr:rowOff>
    </xdr:from>
    <xdr:ext cx="3111500" cy="1832260"/>
    <xdr:pic>
      <xdr:nvPicPr>
        <xdr:cNvPr id="6" name="Picture 5">
          <a:extLst>
            <a:ext uri="{FF2B5EF4-FFF2-40B4-BE49-F238E27FC236}">
              <a16:creationId xmlns:a16="http://schemas.microsoft.com/office/drawing/2014/main" id="{1F789528-E02B-0441-82E7-70FECFAA3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220" y="4259581"/>
          <a:ext cx="3111500" cy="1832260"/>
        </a:xfrm>
        <a:prstGeom prst="rect">
          <a:avLst/>
        </a:prstGeom>
      </xdr:spPr>
    </xdr:pic>
    <xdr:clientData/>
  </xdr:oneCellAnchor>
  <xdr:oneCellAnchor>
    <xdr:from>
      <xdr:col>23</xdr:col>
      <xdr:colOff>38100</xdr:colOff>
      <xdr:row>7</xdr:row>
      <xdr:rowOff>228600</xdr:rowOff>
    </xdr:from>
    <xdr:ext cx="2898140" cy="1937721"/>
    <xdr:pic>
      <xdr:nvPicPr>
        <xdr:cNvPr id="7" name="Picture 6">
          <a:extLst>
            <a:ext uri="{FF2B5EF4-FFF2-40B4-BE49-F238E27FC236}">
              <a16:creationId xmlns:a16="http://schemas.microsoft.com/office/drawing/2014/main" id="{52134719-8CEF-D947-9D7D-84DEEBC41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9400" y="1524000"/>
          <a:ext cx="2898140" cy="1937721"/>
        </a:xfrm>
        <a:prstGeom prst="rect">
          <a:avLst/>
        </a:prstGeom>
      </xdr:spPr>
    </xdr:pic>
    <xdr:clientData/>
  </xdr:oneCellAnchor>
  <xdr:oneCellAnchor>
    <xdr:from>
      <xdr:col>24</xdr:col>
      <xdr:colOff>182880</xdr:colOff>
      <xdr:row>0</xdr:row>
      <xdr:rowOff>0</xdr:rowOff>
    </xdr:from>
    <xdr:ext cx="1498600" cy="1338580"/>
    <xdr:pic>
      <xdr:nvPicPr>
        <xdr:cNvPr id="8" name="Picture 7">
          <a:extLst>
            <a:ext uri="{FF2B5EF4-FFF2-40B4-BE49-F238E27FC236}">
              <a16:creationId xmlns:a16="http://schemas.microsoft.com/office/drawing/2014/main" id="{45CED654-0BD9-C446-8A0C-D222AF70A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7280" y="0"/>
          <a:ext cx="1498600" cy="1338580"/>
        </a:xfrm>
        <a:prstGeom prst="rect">
          <a:avLst/>
        </a:prstGeom>
      </xdr:spPr>
    </xdr:pic>
    <xdr:clientData/>
  </xdr:oneCellAnchor>
  <xdr:oneCellAnchor>
    <xdr:from>
      <xdr:col>24</xdr:col>
      <xdr:colOff>182880</xdr:colOff>
      <xdr:row>31</xdr:row>
      <xdr:rowOff>0</xdr:rowOff>
    </xdr:from>
    <xdr:ext cx="1356360" cy="1356360"/>
    <xdr:pic>
      <xdr:nvPicPr>
        <xdr:cNvPr id="9" name="Picture 8">
          <a:extLst>
            <a:ext uri="{FF2B5EF4-FFF2-40B4-BE49-F238E27FC236}">
              <a16:creationId xmlns:a16="http://schemas.microsoft.com/office/drawing/2014/main" id="{D936AB44-6022-5549-B97A-A3D84DA80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7280" y="5905500"/>
          <a:ext cx="1356360" cy="13563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marthur/Downloads/K%20cup%20prices%2010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S"/>
      <sheetName val="Wholesale K-Cup"/>
      <sheetName val="Amazon"/>
      <sheetName val="Blends"/>
    </sheetNames>
    <sheetDataSet>
      <sheetData sheetId="0"/>
      <sheetData sheetId="1"/>
      <sheetData sheetId="2"/>
      <sheetData sheetId="3">
        <row r="6">
          <cell r="B6">
            <v>1.5249999999999999</v>
          </cell>
        </row>
        <row r="7">
          <cell r="B7">
            <v>1.5249999999999999</v>
          </cell>
        </row>
        <row r="9">
          <cell r="B9">
            <v>1.5249999999999999</v>
          </cell>
        </row>
        <row r="10">
          <cell r="O10">
            <v>1.875</v>
          </cell>
        </row>
        <row r="12">
          <cell r="B12">
            <v>1.5249999999999999</v>
          </cell>
        </row>
        <row r="14">
          <cell r="B14">
            <v>1.5249999999999999</v>
          </cell>
        </row>
        <row r="15">
          <cell r="O15">
            <v>2.5500000000000003</v>
          </cell>
        </row>
        <row r="16">
          <cell r="O16">
            <v>2.8375000000000004</v>
          </cell>
        </row>
        <row r="17">
          <cell r="O17">
            <v>2.4812500000000002</v>
          </cell>
        </row>
        <row r="20">
          <cell r="O20">
            <v>2.2949999999999999</v>
          </cell>
        </row>
        <row r="25">
          <cell r="N25">
            <v>2.97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lpineCoffe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3301-A5EB-9749-8713-34EDCCF16C44}">
  <dimension ref="C1:AN84"/>
  <sheetViews>
    <sheetView tabSelected="1" workbookViewId="0">
      <selection activeCell="AI33" sqref="AI33"/>
    </sheetView>
  </sheetViews>
  <sheetFormatPr baseColWidth="10" defaultColWidth="6.33203125" defaultRowHeight="15" x14ac:dyDescent="0.2"/>
  <cols>
    <col min="1" max="1" width="8" customWidth="1"/>
    <col min="2" max="2" width="7.6640625" customWidth="1"/>
    <col min="3" max="3" width="11.33203125" customWidth="1"/>
    <col min="6" max="6" width="6.33203125" hidden="1" customWidth="1"/>
    <col min="7" max="7" width="1.5" hidden="1" customWidth="1"/>
    <col min="8" max="8" width="0" style="3" hidden="1" customWidth="1"/>
    <col min="9" max="9" width="7.6640625" hidden="1" customWidth="1"/>
    <col min="10" max="10" width="0" hidden="1" customWidth="1"/>
    <col min="11" max="11" width="1.83203125" hidden="1" customWidth="1"/>
    <col min="12" max="12" width="0" hidden="1" customWidth="1"/>
    <col min="13" max="13" width="7.5" hidden="1" customWidth="1"/>
    <col min="14" max="14" width="0.83203125" hidden="1" customWidth="1"/>
    <col min="15" max="15" width="5.1640625" hidden="1" customWidth="1"/>
    <col min="16" max="18" width="0" hidden="1" customWidth="1"/>
    <col min="19" max="19" width="1.6640625" hidden="1" customWidth="1"/>
    <col min="20" max="20" width="0" hidden="1" customWidth="1"/>
    <col min="21" max="21" width="6.6640625" style="1" hidden="1" customWidth="1"/>
    <col min="22" max="22" width="0" style="1" hidden="1" customWidth="1"/>
    <col min="23" max="23" width="1.1640625" customWidth="1"/>
    <col min="24" max="24" width="7.5" style="2" customWidth="1"/>
    <col min="25" max="25" width="1.33203125" style="1" customWidth="1"/>
    <col min="26" max="26" width="8.5" hidden="1" customWidth="1"/>
    <col min="27" max="27" width="1.33203125" hidden="1" customWidth="1"/>
    <col min="28" max="28" width="8.33203125" customWidth="1"/>
    <col min="30" max="30" width="1.1640625" customWidth="1"/>
    <col min="31" max="31" width="5.83203125" style="1" customWidth="1"/>
    <col min="32" max="32" width="1" style="1" customWidth="1"/>
    <col min="34" max="34" width="1.83203125" customWidth="1"/>
    <col min="35" max="35" width="6.33203125" style="1"/>
    <col min="36" max="36" width="5" customWidth="1"/>
    <col min="38" max="38" width="6.33203125" customWidth="1"/>
    <col min="40" max="40" width="7.33203125" style="1" customWidth="1"/>
  </cols>
  <sheetData>
    <row r="1" spans="3:40" s="23" customFormat="1" ht="44.5" customHeight="1" x14ac:dyDescent="0.15">
      <c r="C1" s="23" t="s">
        <v>39</v>
      </c>
      <c r="D1" s="23" t="s">
        <v>38</v>
      </c>
      <c r="E1" s="23" t="s">
        <v>37</v>
      </c>
      <c r="F1" s="23" t="s">
        <v>36</v>
      </c>
      <c r="H1" s="27" t="s">
        <v>35</v>
      </c>
      <c r="I1" s="23" t="s">
        <v>34</v>
      </c>
      <c r="J1" s="26" t="s">
        <v>33</v>
      </c>
      <c r="K1" s="26"/>
      <c r="L1" s="26" t="s">
        <v>32</v>
      </c>
      <c r="M1" s="23" t="s">
        <v>31</v>
      </c>
      <c r="O1" s="23" t="s">
        <v>30</v>
      </c>
      <c r="P1" s="23" t="s">
        <v>29</v>
      </c>
      <c r="Q1" s="23" t="s">
        <v>28</v>
      </c>
      <c r="R1" s="23" t="s">
        <v>27</v>
      </c>
      <c r="T1" s="25" t="s">
        <v>26</v>
      </c>
      <c r="U1" s="23" t="s">
        <v>23</v>
      </c>
      <c r="V1" s="23" t="s">
        <v>25</v>
      </c>
      <c r="X1" s="24" t="s">
        <v>23</v>
      </c>
      <c r="Z1" s="23" t="s">
        <v>24</v>
      </c>
      <c r="AB1" s="23" t="s">
        <v>23</v>
      </c>
    </row>
    <row r="2" spans="3:40" s="23" customFormat="1" ht="12.75" customHeight="1" x14ac:dyDescent="0.15">
      <c r="C2" s="28" t="s">
        <v>22</v>
      </c>
      <c r="H2" s="27"/>
      <c r="J2" s="26"/>
      <c r="K2" s="26"/>
      <c r="L2" s="26"/>
      <c r="T2" s="25"/>
      <c r="X2" s="24"/>
    </row>
    <row r="3" spans="3:40" s="1" customFormat="1" ht="30.5" customHeight="1" x14ac:dyDescent="0.15">
      <c r="C3" s="1" t="s">
        <v>21</v>
      </c>
      <c r="D3" s="1">
        <v>10</v>
      </c>
      <c r="E3" s="1">
        <v>96</v>
      </c>
      <c r="F3" s="1">
        <f>D3/453*E3</f>
        <v>2.1192052980132452</v>
      </c>
      <c r="H3" s="4">
        <f>[1]Blends!B7</f>
        <v>1.5249999999999999</v>
      </c>
      <c r="J3" s="15">
        <f>SUM(H3:I3)/0.85</f>
        <v>1.7941176470588234</v>
      </c>
      <c r="K3" s="15"/>
      <c r="L3" s="15">
        <f>J3/453*D3</f>
        <v>3.9605246071938709E-2</v>
      </c>
      <c r="M3" s="1">
        <v>0.04</v>
      </c>
      <c r="O3" s="1">
        <v>1.4999999999999999E-2</v>
      </c>
      <c r="P3" s="1">
        <f>0.11/96</f>
        <v>1.1458333333333333E-3</v>
      </c>
      <c r="Q3" s="1">
        <f>0.42/100</f>
        <v>4.1999999999999997E-3</v>
      </c>
      <c r="R3" s="1">
        <f>1.25/1000</f>
        <v>1.25E-3</v>
      </c>
      <c r="T3" s="6">
        <f>SUM(L3:R3)</f>
        <v>0.10120107940527204</v>
      </c>
      <c r="U3" s="1">
        <f>T3/0.4</f>
        <v>0.25300269851318008</v>
      </c>
      <c r="V3" s="1">
        <f>40/1000</f>
        <v>0.04</v>
      </c>
      <c r="X3" s="14">
        <f>SUM(U3:V3)*E3</f>
        <v>28.128259057265286</v>
      </c>
      <c r="Y3" s="13"/>
      <c r="Z3" s="1">
        <f>AB3-X3</f>
        <v>-27.838259057265287</v>
      </c>
      <c r="AB3" s="1">
        <v>0.28999999999999998</v>
      </c>
      <c r="AC3" s="13"/>
      <c r="AN3" s="4"/>
    </row>
    <row r="4" spans="3:40" s="1" customFormat="1" ht="30.5" customHeight="1" x14ac:dyDescent="0.15">
      <c r="C4" s="1" t="s">
        <v>20</v>
      </c>
      <c r="D4" s="1">
        <v>10</v>
      </c>
      <c r="E4" s="1">
        <v>96</v>
      </c>
      <c r="F4" s="1">
        <f>D4/453*E4</f>
        <v>2.1192052980132452</v>
      </c>
      <c r="H4" s="4">
        <f>[1]Blends!B6</f>
        <v>1.5249999999999999</v>
      </c>
      <c r="J4" s="15">
        <f>SUM(H4:I4)/0.85</f>
        <v>1.7941176470588234</v>
      </c>
      <c r="K4" s="15"/>
      <c r="L4" s="15">
        <f>J4/453*D4</f>
        <v>3.9605246071938709E-2</v>
      </c>
      <c r="M4" s="1">
        <v>0.04</v>
      </c>
      <c r="O4" s="1">
        <v>1.4999999999999999E-2</v>
      </c>
      <c r="P4" s="1">
        <f>0.11/96</f>
        <v>1.1458333333333333E-3</v>
      </c>
      <c r="Q4" s="1">
        <f>0.42/100</f>
        <v>4.1999999999999997E-3</v>
      </c>
      <c r="R4" s="1">
        <f>1.25/1000</f>
        <v>1.25E-3</v>
      </c>
      <c r="T4" s="6">
        <f>SUM(L4:R4)</f>
        <v>0.10120107940527204</v>
      </c>
      <c r="U4" s="1">
        <f>T4/0.4</f>
        <v>0.25300269851318008</v>
      </c>
      <c r="V4" s="1">
        <f>40/1000</f>
        <v>0.04</v>
      </c>
      <c r="X4" s="14">
        <f>SUM(U4:V4)*E4</f>
        <v>28.128259057265286</v>
      </c>
      <c r="Y4" s="13"/>
      <c r="Z4" s="1">
        <f>AB4-X4</f>
        <v>-27.838259057265287</v>
      </c>
      <c r="AB4" s="1">
        <v>0.28999999999999998</v>
      </c>
      <c r="AC4" s="13"/>
      <c r="AN4" s="4"/>
    </row>
    <row r="5" spans="3:40" s="1" customFormat="1" ht="30.5" customHeight="1" x14ac:dyDescent="0.15">
      <c r="C5" s="1" t="s">
        <v>19</v>
      </c>
      <c r="D5" s="1">
        <v>10</v>
      </c>
      <c r="E5" s="1">
        <v>96</v>
      </c>
      <c r="F5" s="1">
        <f>D5/453*E5</f>
        <v>2.1192052980132452</v>
      </c>
      <c r="H5" s="4">
        <f>[1]Blends!B9</f>
        <v>1.5249999999999999</v>
      </c>
      <c r="J5" s="15">
        <f>SUM(H5:I5)/0.82</f>
        <v>1.8597560975609757</v>
      </c>
      <c r="K5" s="15"/>
      <c r="L5" s="15">
        <f>J5/453*D5</f>
        <v>4.1054218489204763E-2</v>
      </c>
      <c r="M5" s="1">
        <v>0.04</v>
      </c>
      <c r="O5" s="1">
        <v>1.4999999999999999E-2</v>
      </c>
      <c r="P5" s="1">
        <f>0.11/96</f>
        <v>1.1458333333333333E-3</v>
      </c>
      <c r="Q5" s="1">
        <f>0.42/100</f>
        <v>4.1999999999999997E-3</v>
      </c>
      <c r="R5" s="1">
        <f>1.25/1000</f>
        <v>1.25E-3</v>
      </c>
      <c r="T5" s="6">
        <f>SUM(L5:R5)</f>
        <v>0.1026500518225381</v>
      </c>
      <c r="U5" s="1">
        <f>T5/0.4</f>
        <v>0.25662512955634526</v>
      </c>
      <c r="V5" s="1">
        <f>40/1000</f>
        <v>0.04</v>
      </c>
      <c r="X5" s="14">
        <f>SUM(U5:V5)*E5</f>
        <v>28.476012437409143</v>
      </c>
      <c r="Y5" s="13"/>
      <c r="Z5" s="1">
        <f>AB5-X5</f>
        <v>-28.186012437409143</v>
      </c>
      <c r="AB5" s="1">
        <v>0.28999999999999998</v>
      </c>
      <c r="AC5" s="13"/>
      <c r="AN5" s="4"/>
    </row>
    <row r="6" spans="3:40" s="1" customFormat="1" ht="30.5" customHeight="1" x14ac:dyDescent="0.15">
      <c r="C6" s="1" t="s">
        <v>18</v>
      </c>
      <c r="D6" s="1">
        <v>10</v>
      </c>
      <c r="E6" s="1">
        <v>96</v>
      </c>
      <c r="F6" s="1">
        <f>D6/453*E6</f>
        <v>2.1192052980132452</v>
      </c>
      <c r="H6" s="4">
        <f>[1]Blends!B12</f>
        <v>1.5249999999999999</v>
      </c>
      <c r="J6" s="15">
        <f>SUM(H6:I6)/0.8</f>
        <v>1.9062499999999998</v>
      </c>
      <c r="K6" s="15"/>
      <c r="L6" s="15">
        <f>J6/453*D6</f>
        <v>4.2080573951434878E-2</v>
      </c>
      <c r="M6" s="1">
        <v>0.04</v>
      </c>
      <c r="O6" s="1">
        <v>1.4999999999999999E-2</v>
      </c>
      <c r="P6" s="1">
        <f>0.11/96</f>
        <v>1.1458333333333333E-3</v>
      </c>
      <c r="Q6" s="1">
        <f>0.42/100</f>
        <v>4.1999999999999997E-3</v>
      </c>
      <c r="R6" s="1">
        <f>1.25/1000</f>
        <v>1.25E-3</v>
      </c>
      <c r="T6" s="6">
        <f>SUM(L6:R6)</f>
        <v>0.10367640728476821</v>
      </c>
      <c r="U6" s="1">
        <f>T6/0.4</f>
        <v>0.25919101821192048</v>
      </c>
      <c r="V6" s="1">
        <f>40/1000</f>
        <v>0.04</v>
      </c>
      <c r="X6" s="14">
        <f>SUM(U6:V6)*E6</f>
        <v>28.722337748344366</v>
      </c>
      <c r="Y6" s="13"/>
      <c r="Z6" s="1">
        <f>AB6-X6</f>
        <v>-28.432337748344366</v>
      </c>
      <c r="AB6" s="1">
        <v>0.28999999999999998</v>
      </c>
      <c r="AC6" s="13"/>
      <c r="AD6" s="1">
        <v>450</v>
      </c>
      <c r="AN6" s="4"/>
    </row>
    <row r="7" spans="3:40" ht="25.25" customHeight="1" x14ac:dyDescent="0.2">
      <c r="C7" s="22" t="s">
        <v>17</v>
      </c>
    </row>
    <row r="8" spans="3:40" s="1" customFormat="1" ht="25.25" customHeight="1" x14ac:dyDescent="0.15">
      <c r="C8" s="1" t="s">
        <v>16</v>
      </c>
      <c r="D8" s="1">
        <v>10</v>
      </c>
      <c r="E8" s="1">
        <v>96</v>
      </c>
      <c r="F8" s="1">
        <f>D8/453*E8</f>
        <v>2.1192052980132452</v>
      </c>
      <c r="H8" s="4">
        <f>[1]Blends!O10</f>
        <v>1.875</v>
      </c>
      <c r="J8" s="15">
        <f>SUM(H8:I8)/0.85</f>
        <v>2.2058823529411766</v>
      </c>
      <c r="K8" s="15"/>
      <c r="L8" s="15">
        <f>J8/453*10</f>
        <v>4.8694974678613168E-2</v>
      </c>
      <c r="M8" s="1">
        <v>0.04</v>
      </c>
      <c r="O8" s="1">
        <v>0.01</v>
      </c>
      <c r="P8" s="1">
        <f>0.11/96</f>
        <v>1.1458333333333333E-3</v>
      </c>
      <c r="Q8" s="1">
        <f>0.42/100</f>
        <v>4.1999999999999997E-3</v>
      </c>
      <c r="R8" s="1">
        <f>1.25/1000</f>
        <v>1.25E-3</v>
      </c>
      <c r="T8" s="6">
        <f>SUM(L8:R8)</f>
        <v>0.1052908080119465</v>
      </c>
      <c r="U8" s="1">
        <f>T8/0.4</f>
        <v>0.26322702002986625</v>
      </c>
      <c r="V8" s="1">
        <f>40/1000</f>
        <v>0.04</v>
      </c>
      <c r="X8" s="14">
        <f>SUM(U8:V8)*E8</f>
        <v>29.109793922867158</v>
      </c>
      <c r="Y8" s="13"/>
      <c r="Z8" s="1">
        <f>AB8-X8</f>
        <v>-28.819793922867159</v>
      </c>
      <c r="AB8" s="1">
        <v>0.28999999999999998</v>
      </c>
      <c r="AN8" s="4"/>
    </row>
    <row r="9" spans="3:40" s="1" customFormat="1" ht="25.25" customHeight="1" x14ac:dyDescent="0.15">
      <c r="C9" s="22" t="s">
        <v>15</v>
      </c>
      <c r="H9" s="4"/>
      <c r="J9" s="15"/>
      <c r="K9" s="15"/>
      <c r="L9" s="15"/>
      <c r="T9" s="6"/>
      <c r="X9" s="14"/>
      <c r="AN9" s="4"/>
    </row>
    <row r="10" spans="3:40" s="1" customFormat="1" ht="25.25" customHeight="1" x14ac:dyDescent="0.15">
      <c r="C10" s="1" t="s">
        <v>14</v>
      </c>
      <c r="D10" s="1">
        <v>10</v>
      </c>
      <c r="E10" s="1">
        <v>96</v>
      </c>
      <c r="F10" s="1">
        <f>D10/453*E10</f>
        <v>2.1192052980132452</v>
      </c>
      <c r="H10" s="4">
        <f>[1]Blends!B14</f>
        <v>1.5249999999999999</v>
      </c>
      <c r="I10" s="1">
        <v>0.3</v>
      </c>
      <c r="J10" s="15">
        <f>SUM(H10:I10)/0.85</f>
        <v>2.1470588235294117</v>
      </c>
      <c r="K10" s="15"/>
      <c r="L10" s="15">
        <f>J10/453*10</f>
        <v>4.7396442020516814E-2</v>
      </c>
      <c r="M10" s="1">
        <v>0.04</v>
      </c>
      <c r="O10" s="1">
        <v>0.01</v>
      </c>
      <c r="P10" s="1">
        <f>0.11/96</f>
        <v>1.1458333333333333E-3</v>
      </c>
      <c r="Q10" s="1">
        <f>0.42/100</f>
        <v>4.1999999999999997E-3</v>
      </c>
      <c r="R10" s="1">
        <f>1.25/1000</f>
        <v>1.25E-3</v>
      </c>
      <c r="T10" s="6">
        <f>SUM(L10:R10)</f>
        <v>0.10399227535385014</v>
      </c>
      <c r="U10" s="1">
        <f>T10/0.4</f>
        <v>0.25998068838462535</v>
      </c>
      <c r="V10" s="1">
        <f>40/1000</f>
        <v>0.04</v>
      </c>
      <c r="X10" s="14">
        <f>SUM(U10:V10)*E10</f>
        <v>28.798146084924031</v>
      </c>
      <c r="Y10" s="13"/>
      <c r="Z10" s="1">
        <f>AB10-X10</f>
        <v>-28.458146084924032</v>
      </c>
      <c r="AB10" s="1">
        <v>0.34</v>
      </c>
      <c r="AN10" s="4"/>
    </row>
    <row r="11" spans="3:40" s="1" customFormat="1" ht="25.25" customHeight="1" x14ac:dyDescent="0.15">
      <c r="C11" s="1" t="s">
        <v>13</v>
      </c>
      <c r="D11" s="1">
        <v>10</v>
      </c>
      <c r="E11" s="1">
        <v>96</v>
      </c>
      <c r="F11" s="1">
        <f>D11/453*E11</f>
        <v>2.1192052980132452</v>
      </c>
      <c r="H11" s="4">
        <f>[1]Blends!B14</f>
        <v>1.5249999999999999</v>
      </c>
      <c r="I11" s="1">
        <v>0.42</v>
      </c>
      <c r="J11" s="15">
        <f>SUM(H11:I11)/0.85</f>
        <v>2.2882352941176469</v>
      </c>
      <c r="K11" s="15"/>
      <c r="L11" s="15">
        <f>J11/453*10</f>
        <v>5.0512920399948057E-2</v>
      </c>
      <c r="M11" s="1">
        <v>0.04</v>
      </c>
      <c r="O11" s="1">
        <v>0.01</v>
      </c>
      <c r="P11" s="1">
        <f>0.11/96</f>
        <v>1.1458333333333333E-3</v>
      </c>
      <c r="Q11" s="1">
        <f>0.42/100</f>
        <v>4.1999999999999997E-3</v>
      </c>
      <c r="R11" s="1">
        <f>1.25/1000</f>
        <v>1.25E-3</v>
      </c>
      <c r="T11" s="6">
        <f>SUM(L11:R11)</f>
        <v>0.10710875373328138</v>
      </c>
      <c r="U11" s="1">
        <f>T11/0.4</f>
        <v>0.26777188433320342</v>
      </c>
      <c r="V11" s="1">
        <f>40/1000</f>
        <v>0.04</v>
      </c>
      <c r="X11" s="14">
        <f>SUM(U11:V11)*E11</f>
        <v>29.546100895987529</v>
      </c>
      <c r="Y11" s="13"/>
      <c r="Z11" s="1">
        <f>AB11-X11</f>
        <v>-29.206100895987529</v>
      </c>
      <c r="AB11" s="1">
        <v>0.34</v>
      </c>
      <c r="AN11" s="4"/>
    </row>
    <row r="12" spans="3:40" s="1" customFormat="1" ht="25.25" customHeight="1" x14ac:dyDescent="0.15">
      <c r="C12" s="1" t="s">
        <v>12</v>
      </c>
      <c r="D12" s="1">
        <v>10</v>
      </c>
      <c r="E12" s="1">
        <v>96</v>
      </c>
      <c r="F12" s="1">
        <f>D12/453*E12</f>
        <v>2.1192052980132452</v>
      </c>
      <c r="H12" s="4">
        <f>[1]Blends!B14</f>
        <v>1.5249999999999999</v>
      </c>
      <c r="I12" s="1">
        <v>0.35</v>
      </c>
      <c r="J12" s="15">
        <f>SUM(H12:I12)/0.85</f>
        <v>2.2058823529411766</v>
      </c>
      <c r="K12" s="15"/>
      <c r="L12" s="15">
        <f>J12/453*10</f>
        <v>4.8694974678613168E-2</v>
      </c>
      <c r="M12" s="1">
        <v>0.04</v>
      </c>
      <c r="O12" s="1">
        <v>0.01</v>
      </c>
      <c r="P12" s="1">
        <f>0.11/96</f>
        <v>1.1458333333333333E-3</v>
      </c>
      <c r="Q12" s="1">
        <f>0.42/100</f>
        <v>4.1999999999999997E-3</v>
      </c>
      <c r="R12" s="1">
        <f>1.25/1000</f>
        <v>1.25E-3</v>
      </c>
      <c r="T12" s="6">
        <f>SUM(L12:R12)</f>
        <v>0.1052908080119465</v>
      </c>
      <c r="U12" s="1">
        <f>T12/0.4</f>
        <v>0.26322702002986625</v>
      </c>
      <c r="V12" s="1">
        <f>40/1000</f>
        <v>0.04</v>
      </c>
      <c r="X12" s="14">
        <f>SUM(U12:V12)*E12</f>
        <v>29.109793922867158</v>
      </c>
      <c r="Y12" s="13"/>
      <c r="Z12" s="1">
        <f>AB12-X12</f>
        <v>-28.769793922867159</v>
      </c>
      <c r="AB12" s="1">
        <v>0.34</v>
      </c>
      <c r="AN12" s="4"/>
    </row>
    <row r="13" spans="3:40" s="1" customFormat="1" ht="31.25" customHeight="1" x14ac:dyDescent="0.15">
      <c r="C13" s="22" t="s">
        <v>11</v>
      </c>
      <c r="H13" s="4"/>
      <c r="J13" s="15"/>
      <c r="K13" s="15"/>
      <c r="L13" s="15"/>
      <c r="T13" s="6"/>
      <c r="X13" s="14"/>
      <c r="AN13" s="4"/>
    </row>
    <row r="14" spans="3:40" s="1" customFormat="1" ht="25.25" customHeight="1" x14ac:dyDescent="0.15">
      <c r="C14" s="1" t="s">
        <v>10</v>
      </c>
      <c r="D14" s="1">
        <v>10</v>
      </c>
      <c r="E14" s="1">
        <v>96</v>
      </c>
      <c r="F14" s="1">
        <f>D14/453*E14</f>
        <v>2.1192052980132452</v>
      </c>
      <c r="H14" s="4">
        <f>[1]Blends!O17</f>
        <v>2.4812500000000002</v>
      </c>
      <c r="J14" s="15">
        <f>SUM(H14:I14)/0.85</f>
        <v>2.9191176470588238</v>
      </c>
      <c r="K14" s="15"/>
      <c r="L14" s="15">
        <f>J14/453*10</f>
        <v>6.4439683158031433E-2</v>
      </c>
      <c r="M14" s="1">
        <v>0.04</v>
      </c>
      <c r="O14" s="1">
        <v>0.01</v>
      </c>
      <c r="P14" s="1">
        <f>0.11/96</f>
        <v>1.1458333333333333E-3</v>
      </c>
      <c r="Q14" s="1">
        <f>0.42/100</f>
        <v>4.1999999999999997E-3</v>
      </c>
      <c r="R14" s="1">
        <f>1.25/1000</f>
        <v>1.25E-3</v>
      </c>
      <c r="T14" s="6">
        <f>SUM(L14:R14)</f>
        <v>0.12103551649136475</v>
      </c>
      <c r="U14" s="1">
        <f>T14/0.4</f>
        <v>0.30258879122841187</v>
      </c>
      <c r="V14" s="1">
        <f>40/1000</f>
        <v>0.04</v>
      </c>
      <c r="X14" s="14">
        <f>SUM(U14:V14)*E14</f>
        <v>32.888523957927539</v>
      </c>
      <c r="Y14" s="13"/>
      <c r="Z14" s="1">
        <f>AB14-X14</f>
        <v>-32.548523957927536</v>
      </c>
      <c r="AB14" s="1">
        <v>0.34</v>
      </c>
      <c r="AN14" s="4"/>
    </row>
    <row r="15" spans="3:40" s="1" customFormat="1" ht="25.25" customHeight="1" x14ac:dyDescent="0.15">
      <c r="C15" s="1" t="s">
        <v>9</v>
      </c>
      <c r="D15" s="1">
        <v>10</v>
      </c>
      <c r="E15" s="1">
        <v>96</v>
      </c>
      <c r="F15" s="1">
        <f>D15/453*E15</f>
        <v>2.1192052980132452</v>
      </c>
      <c r="H15" s="4">
        <f>[1]Blends!O15</f>
        <v>2.5500000000000003</v>
      </c>
      <c r="I15" s="1">
        <v>0</v>
      </c>
      <c r="J15" s="15">
        <f>SUM(H15:I15)/0.85</f>
        <v>3.0000000000000004</v>
      </c>
      <c r="K15" s="15"/>
      <c r="L15" s="15">
        <f>J15/453*10</f>
        <v>6.6225165562913912E-2</v>
      </c>
      <c r="M15" s="1">
        <v>0.04</v>
      </c>
      <c r="O15" s="1">
        <v>0.01</v>
      </c>
      <c r="P15" s="1">
        <f>0.11/96</f>
        <v>1.1458333333333333E-3</v>
      </c>
      <c r="Q15" s="1">
        <f>0.42/100</f>
        <v>4.1999999999999997E-3</v>
      </c>
      <c r="R15" s="1">
        <f>1.25/1000</f>
        <v>1.25E-3</v>
      </c>
      <c r="T15" s="6">
        <f>SUM(L15:R15)</f>
        <v>0.12282099889624724</v>
      </c>
      <c r="U15" s="1">
        <f>T15/0.4</f>
        <v>0.30705249724061812</v>
      </c>
      <c r="V15" s="1">
        <f>40/1000</f>
        <v>0.04</v>
      </c>
      <c r="X15" s="14">
        <f>SUM(U15:V15)*E15</f>
        <v>33.317039735099335</v>
      </c>
      <c r="Y15" s="13"/>
      <c r="Z15" s="1">
        <f>AB15-X15</f>
        <v>-32.977039735099332</v>
      </c>
      <c r="AB15" s="1">
        <v>0.34</v>
      </c>
      <c r="AN15" s="4"/>
    </row>
    <row r="16" spans="3:40" s="1" customFormat="1" ht="25.25" customHeight="1" x14ac:dyDescent="0.15">
      <c r="C16" s="1" t="s">
        <v>8</v>
      </c>
      <c r="D16" s="1">
        <v>10</v>
      </c>
      <c r="E16" s="1">
        <v>96</v>
      </c>
      <c r="F16" s="1">
        <f>D16/453*E16</f>
        <v>2.1192052980132452</v>
      </c>
      <c r="H16" s="4">
        <f>[1]Blends!O16</f>
        <v>2.8375000000000004</v>
      </c>
      <c r="I16" s="1">
        <v>0</v>
      </c>
      <c r="J16" s="15">
        <f>SUM(H16:I16)/0.85</f>
        <v>3.3382352941176476</v>
      </c>
      <c r="K16" s="15"/>
      <c r="L16" s="15">
        <f>J16/453*10</f>
        <v>7.3691728346967939E-2</v>
      </c>
      <c r="M16" s="1">
        <v>0.04</v>
      </c>
      <c r="O16" s="1">
        <v>0.01</v>
      </c>
      <c r="P16" s="1">
        <f>0.11/96</f>
        <v>1.1458333333333333E-3</v>
      </c>
      <c r="Q16" s="1">
        <f>0.42/100</f>
        <v>4.1999999999999997E-3</v>
      </c>
      <c r="R16" s="1">
        <f>1.25/1000</f>
        <v>1.25E-3</v>
      </c>
      <c r="T16" s="6">
        <f>SUM(L16:R16)</f>
        <v>0.13028756168030128</v>
      </c>
      <c r="U16" s="1">
        <f>T16/0.4</f>
        <v>0.32571890420075317</v>
      </c>
      <c r="V16" s="1">
        <f>40/1000</f>
        <v>0.04</v>
      </c>
      <c r="X16" s="14">
        <f>SUM(U16:V16)*E16</f>
        <v>35.109014803272302</v>
      </c>
      <c r="Y16" s="13"/>
      <c r="Z16" s="1">
        <f>AB16-X16</f>
        <v>-34.769014803272299</v>
      </c>
      <c r="AB16" s="1">
        <v>0.34</v>
      </c>
      <c r="AN16" s="4"/>
    </row>
    <row r="17" spans="3:40" s="1" customFormat="1" ht="25.25" customHeight="1" x14ac:dyDescent="0.15">
      <c r="C17" s="1" t="s">
        <v>7</v>
      </c>
      <c r="D17" s="1">
        <v>10</v>
      </c>
      <c r="E17" s="1">
        <v>96</v>
      </c>
      <c r="F17" s="1">
        <f>D17/453*E17</f>
        <v>2.1192052980132452</v>
      </c>
      <c r="H17" s="4">
        <f>[1]Blends!O20</f>
        <v>2.2949999999999999</v>
      </c>
      <c r="J17" s="15">
        <f>SUM(H17:I17)/0.85</f>
        <v>2.7</v>
      </c>
      <c r="K17" s="15"/>
      <c r="L17" s="15">
        <f>J17/453*10</f>
        <v>5.9602649006622523E-2</v>
      </c>
      <c r="M17" s="1">
        <v>0.04</v>
      </c>
      <c r="O17" s="1">
        <v>0.01</v>
      </c>
      <c r="P17" s="1">
        <f>0.11/96</f>
        <v>1.1458333333333333E-3</v>
      </c>
      <c r="Q17" s="1">
        <f>0.42/100</f>
        <v>4.1999999999999997E-3</v>
      </c>
      <c r="R17" s="1">
        <f>1.25/1000</f>
        <v>1.25E-3</v>
      </c>
      <c r="T17" s="6">
        <f>SUM(L17:R17)</f>
        <v>0.11619848233995585</v>
      </c>
      <c r="U17" s="1">
        <f>T17/0.4</f>
        <v>0.29049620584988961</v>
      </c>
      <c r="V17" s="1">
        <f>40/1000</f>
        <v>0.04</v>
      </c>
      <c r="X17" s="14">
        <f>SUM(U17:V17)*E17</f>
        <v>31.727635761589401</v>
      </c>
      <c r="Y17" s="13"/>
      <c r="Z17" s="1">
        <f>AB17-X17</f>
        <v>-31.387635761589401</v>
      </c>
      <c r="AB17" s="1">
        <v>0.34</v>
      </c>
      <c r="AN17" s="4"/>
    </row>
    <row r="18" spans="3:40" ht="25.25" customHeight="1" x14ac:dyDescent="0.2">
      <c r="C18" s="21" t="s">
        <v>6</v>
      </c>
    </row>
    <row r="19" spans="3:40" ht="25.25" customHeight="1" x14ac:dyDescent="0.2">
      <c r="C19" s="1" t="s">
        <v>5</v>
      </c>
      <c r="D19" s="1">
        <v>15</v>
      </c>
      <c r="E19" s="1">
        <v>96</v>
      </c>
      <c r="F19" s="1">
        <f>D19/453*E19</f>
        <v>3.1788079470198678</v>
      </c>
      <c r="G19" s="1"/>
      <c r="H19" s="4">
        <f>[1]Blends!N25</f>
        <v>2.97</v>
      </c>
      <c r="I19" s="1">
        <v>0</v>
      </c>
      <c r="J19" s="15">
        <f>H19</f>
        <v>2.97</v>
      </c>
      <c r="K19" s="15"/>
      <c r="L19" s="15">
        <f>J19/453*D19</f>
        <v>9.8344370860927149E-2</v>
      </c>
      <c r="M19" s="1">
        <v>1.7999999999999999E-2</v>
      </c>
      <c r="N19" s="1"/>
      <c r="O19" s="1">
        <v>0.01</v>
      </c>
      <c r="P19" s="1">
        <f>0.11/96</f>
        <v>1.1458333333333333E-3</v>
      </c>
      <c r="Q19" s="1">
        <f>0.42/100</f>
        <v>4.1999999999999997E-3</v>
      </c>
      <c r="R19" s="1">
        <f>1.25/1000</f>
        <v>1.25E-3</v>
      </c>
      <c r="S19" s="1"/>
      <c r="T19" s="6">
        <f>SUM(L19:R19)</f>
        <v>0.1329402041942605</v>
      </c>
      <c r="U19" s="1">
        <f>T19/0.4</f>
        <v>0.33235051048565123</v>
      </c>
      <c r="V19" s="1">
        <f>40/1000</f>
        <v>0.04</v>
      </c>
      <c r="W19" s="1"/>
      <c r="X19" s="14">
        <f>SUM(U19:V19)*E19</f>
        <v>35.745649006622514</v>
      </c>
      <c r="Y19" s="13"/>
      <c r="Z19" s="1">
        <f>AB19-X19</f>
        <v>-35.405649006622511</v>
      </c>
      <c r="AA19" s="1"/>
      <c r="AB19" s="1">
        <v>0.34</v>
      </c>
      <c r="AH19" s="1"/>
      <c r="AN19" s="4"/>
    </row>
    <row r="20" spans="3:40" x14ac:dyDescent="0.2">
      <c r="AN20" s="4"/>
    </row>
    <row r="21" spans="3:40" s="16" customFormat="1" ht="13.25" customHeight="1" x14ac:dyDescent="0.15">
      <c r="H21" s="17"/>
      <c r="J21" s="20"/>
      <c r="K21" s="20"/>
      <c r="L21" s="20"/>
      <c r="T21" s="19"/>
      <c r="X21" s="18"/>
      <c r="AN21" s="17"/>
    </row>
    <row r="22" spans="3:40" x14ac:dyDescent="0.2">
      <c r="AN22" s="4"/>
    </row>
    <row r="23" spans="3:40" s="1" customFormat="1" ht="25.75" customHeight="1" x14ac:dyDescent="0.15">
      <c r="H23" s="4"/>
      <c r="J23" s="15"/>
      <c r="K23" s="15"/>
      <c r="L23" s="15"/>
      <c r="T23" s="6"/>
      <c r="X23" s="14"/>
      <c r="Y23" s="13"/>
      <c r="AN23" s="4"/>
    </row>
    <row r="24" spans="3:40" ht="15" customHeight="1" x14ac:dyDescent="0.25">
      <c r="D24" s="12" t="s">
        <v>4</v>
      </c>
      <c r="E24" s="9"/>
      <c r="F24" s="9"/>
      <c r="G24" s="9"/>
      <c r="H24" s="11"/>
      <c r="I24" s="9"/>
      <c r="J24" s="10"/>
      <c r="K24" s="1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8"/>
    </row>
    <row r="25" spans="3:40" ht="17" x14ac:dyDescent="0.25">
      <c r="D25" s="9" t="s">
        <v>3</v>
      </c>
      <c r="E25" s="9"/>
      <c r="F25" s="9"/>
      <c r="G25" s="9"/>
      <c r="H25" s="11"/>
      <c r="I25" s="9"/>
      <c r="J25" s="10"/>
      <c r="K25" s="1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8"/>
      <c r="AN25" s="4"/>
    </row>
    <row r="26" spans="3:40" ht="17" x14ac:dyDescent="0.25">
      <c r="D26" s="9" t="s">
        <v>2</v>
      </c>
      <c r="E26" s="9"/>
      <c r="F26" s="9"/>
      <c r="G26" s="9"/>
      <c r="H26" s="11"/>
      <c r="I26" s="9"/>
      <c r="J26" s="10"/>
      <c r="K26" s="1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8"/>
      <c r="AN26" s="4"/>
    </row>
    <row r="27" spans="3:40" ht="17" x14ac:dyDescent="0.25">
      <c r="D27" s="9" t="s">
        <v>1</v>
      </c>
      <c r="E27" s="9"/>
      <c r="F27" s="9"/>
      <c r="G27" s="9"/>
      <c r="H27" s="11"/>
      <c r="I27" s="9"/>
      <c r="J27" s="10"/>
      <c r="K27" s="1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8"/>
      <c r="AN27" s="4"/>
    </row>
    <row r="28" spans="3:40" x14ac:dyDescent="0.2">
      <c r="D28" s="7" t="s">
        <v>0</v>
      </c>
      <c r="J28" s="6"/>
      <c r="K28" s="6"/>
      <c r="AN28" s="4"/>
    </row>
    <row r="29" spans="3:40" x14ac:dyDescent="0.2">
      <c r="J29" s="6"/>
      <c r="K29" s="6"/>
    </row>
    <row r="30" spans="3:40" x14ac:dyDescent="0.2">
      <c r="J30" s="6"/>
      <c r="K30" s="6"/>
      <c r="AN30" s="4"/>
    </row>
    <row r="31" spans="3:40" x14ac:dyDescent="0.2">
      <c r="J31" s="6"/>
      <c r="K31" s="6"/>
      <c r="Y31" s="5"/>
      <c r="AE31" s="5"/>
      <c r="AF31" s="5"/>
      <c r="AI31" s="5"/>
      <c r="AN31" s="4"/>
    </row>
    <row r="32" spans="3:40" x14ac:dyDescent="0.2">
      <c r="J32" s="6"/>
      <c r="K32" s="6"/>
      <c r="Y32" s="5"/>
      <c r="AE32" s="5"/>
      <c r="AF32" s="5"/>
      <c r="AI32" s="5"/>
      <c r="AN32" s="4"/>
    </row>
    <row r="33" spans="25:40" x14ac:dyDescent="0.2">
      <c r="Y33" s="5"/>
      <c r="AE33" s="5"/>
      <c r="AF33" s="5"/>
      <c r="AI33" s="5"/>
      <c r="AN33" s="4"/>
    </row>
    <row r="34" spans="25:40" x14ac:dyDescent="0.2">
      <c r="Y34" s="5"/>
      <c r="AE34" s="5"/>
      <c r="AF34" s="5"/>
      <c r="AI34" s="5"/>
      <c r="AN34" s="4"/>
    </row>
    <row r="36" spans="25:40" x14ac:dyDescent="0.2">
      <c r="AN36" s="4"/>
    </row>
    <row r="37" spans="25:40" x14ac:dyDescent="0.2">
      <c r="Y37" s="5"/>
      <c r="AE37" s="5"/>
      <c r="AF37" s="5"/>
      <c r="AI37" s="5"/>
      <c r="AN37" s="4"/>
    </row>
    <row r="38" spans="25:40" x14ac:dyDescent="0.2">
      <c r="Y38" s="5"/>
      <c r="AE38" s="5"/>
      <c r="AF38" s="5"/>
      <c r="AI38" s="5"/>
      <c r="AN38" s="4"/>
    </row>
    <row r="39" spans="25:40" x14ac:dyDescent="0.2">
      <c r="Y39" s="5"/>
      <c r="AE39" s="5"/>
      <c r="AF39" s="5"/>
      <c r="AI39" s="5"/>
      <c r="AN39" s="4"/>
    </row>
    <row r="40" spans="25:40" x14ac:dyDescent="0.2">
      <c r="Y40" s="5"/>
      <c r="AE40" s="5"/>
      <c r="AF40" s="5"/>
      <c r="AI40" s="5"/>
      <c r="AN40" s="4"/>
    </row>
    <row r="44" spans="25:40" x14ac:dyDescent="0.2">
      <c r="AN44" s="4"/>
    </row>
    <row r="45" spans="25:40" x14ac:dyDescent="0.2">
      <c r="AN45" s="4"/>
    </row>
    <row r="46" spans="25:40" x14ac:dyDescent="0.2">
      <c r="AN46" s="4"/>
    </row>
    <row r="47" spans="25:40" x14ac:dyDescent="0.2">
      <c r="AN47" s="4"/>
    </row>
    <row r="48" spans="25:40" x14ac:dyDescent="0.2">
      <c r="AN48" s="4"/>
    </row>
    <row r="50" spans="40:40" x14ac:dyDescent="0.2">
      <c r="AN50" s="4"/>
    </row>
    <row r="51" spans="40:40" x14ac:dyDescent="0.2">
      <c r="AN51" s="4"/>
    </row>
    <row r="52" spans="40:40" x14ac:dyDescent="0.2">
      <c r="AN52" s="4"/>
    </row>
    <row r="53" spans="40:40" x14ac:dyDescent="0.2">
      <c r="AN53" s="4"/>
    </row>
    <row r="54" spans="40:40" x14ac:dyDescent="0.2">
      <c r="AN54" s="4"/>
    </row>
    <row r="56" spans="40:40" x14ac:dyDescent="0.2">
      <c r="AN56" s="4"/>
    </row>
    <row r="57" spans="40:40" x14ac:dyDescent="0.2">
      <c r="AN57" s="4"/>
    </row>
    <row r="58" spans="40:40" x14ac:dyDescent="0.2">
      <c r="AN58" s="4"/>
    </row>
    <row r="59" spans="40:40" x14ac:dyDescent="0.2">
      <c r="AN59" s="4"/>
    </row>
    <row r="60" spans="40:40" x14ac:dyDescent="0.2">
      <c r="AN60" s="4"/>
    </row>
    <row r="62" spans="40:40" x14ac:dyDescent="0.2">
      <c r="AN62" s="4"/>
    </row>
    <row r="63" spans="40:40" x14ac:dyDescent="0.2">
      <c r="AN63" s="4"/>
    </row>
    <row r="64" spans="40:40" x14ac:dyDescent="0.2">
      <c r="AN64" s="4"/>
    </row>
    <row r="65" spans="25:40" x14ac:dyDescent="0.2">
      <c r="AN65" s="4"/>
    </row>
    <row r="66" spans="25:40" x14ac:dyDescent="0.2">
      <c r="AN66" s="4"/>
    </row>
    <row r="68" spans="25:40" x14ac:dyDescent="0.2">
      <c r="AN68" s="4"/>
    </row>
    <row r="69" spans="25:40" x14ac:dyDescent="0.2">
      <c r="AN69" s="4"/>
    </row>
    <row r="70" spans="25:40" x14ac:dyDescent="0.2">
      <c r="AN70" s="4"/>
    </row>
    <row r="71" spans="25:40" x14ac:dyDescent="0.2">
      <c r="AN71" s="4"/>
    </row>
    <row r="72" spans="25:40" x14ac:dyDescent="0.2">
      <c r="AN72" s="4"/>
    </row>
    <row r="74" spans="25:40" x14ac:dyDescent="0.2">
      <c r="AN74" s="4"/>
    </row>
    <row r="75" spans="25:40" x14ac:dyDescent="0.2">
      <c r="Y75" s="5"/>
      <c r="AE75" s="5"/>
      <c r="AF75" s="5"/>
      <c r="AI75" s="5"/>
      <c r="AN75" s="4"/>
    </row>
    <row r="76" spans="25:40" x14ac:dyDescent="0.2">
      <c r="Y76" s="5"/>
      <c r="AE76" s="5"/>
      <c r="AF76" s="5"/>
      <c r="AI76" s="5"/>
      <c r="AN76" s="4"/>
    </row>
    <row r="77" spans="25:40" x14ac:dyDescent="0.2">
      <c r="Y77" s="5"/>
      <c r="AE77" s="5"/>
      <c r="AF77" s="5"/>
      <c r="AI77" s="5"/>
      <c r="AN77" s="4"/>
    </row>
    <row r="78" spans="25:40" x14ac:dyDescent="0.2">
      <c r="Y78" s="5"/>
      <c r="AE78" s="5"/>
      <c r="AF78" s="5"/>
      <c r="AI78" s="5"/>
      <c r="AN78" s="4"/>
    </row>
    <row r="80" spans="25:40" x14ac:dyDescent="0.2">
      <c r="AN80" s="4"/>
    </row>
    <row r="81" spans="25:40" x14ac:dyDescent="0.2">
      <c r="Y81" s="5"/>
      <c r="AE81" s="5"/>
      <c r="AF81" s="5"/>
      <c r="AI81" s="5"/>
      <c r="AN81" s="4"/>
    </row>
    <row r="82" spans="25:40" x14ac:dyDescent="0.2">
      <c r="Y82" s="5"/>
      <c r="AE82" s="5"/>
      <c r="AF82" s="5"/>
      <c r="AI82" s="5"/>
      <c r="AN82" s="4"/>
    </row>
    <row r="83" spans="25:40" x14ac:dyDescent="0.2">
      <c r="Y83" s="5"/>
      <c r="AE83" s="5"/>
      <c r="AF83" s="5"/>
      <c r="AI83" s="5"/>
      <c r="AN83" s="4"/>
    </row>
    <row r="84" spans="25:40" x14ac:dyDescent="0.2">
      <c r="Y84" s="5"/>
      <c r="AE84" s="5"/>
      <c r="AF84" s="5"/>
      <c r="AI84" s="5"/>
      <c r="AN84" s="4"/>
    </row>
  </sheetData>
  <hyperlinks>
    <hyperlink ref="D28" r:id="rId1" xr:uid="{00000000-0004-0000-0300-000000000000}"/>
  </hyperlinks>
  <pageMargins left="0.25" right="0.25" top="0.75" bottom="0.75" header="0.3" footer="0.3"/>
  <pageSetup orientation="portrait" horizontalDpi="0" verticalDpi="0" r:id="rId2"/>
  <headerFooter>
    <oddHeader>&amp;C&amp;18Hotel K Cup Prices including Free Freight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F5B9-921F-C348-9425-9BAD4EA687FC}">
  <dimension ref="A1:Y72"/>
  <sheetViews>
    <sheetView workbookViewId="0">
      <pane xSplit="6400" ySplit="1160" topLeftCell="K1" activePane="bottomLeft"/>
      <selection pane="topRight" activeCell="W1" sqref="W1:X1048576"/>
      <selection pane="bottomLeft" activeCell="C43" sqref="C43"/>
      <selection pane="bottomRight" activeCell="V3" sqref="V3"/>
    </sheetView>
  </sheetViews>
  <sheetFormatPr baseColWidth="10" defaultColWidth="8.83203125" defaultRowHeight="15" x14ac:dyDescent="0.2"/>
  <cols>
    <col min="1" max="1" width="21.83203125" style="1" customWidth="1"/>
    <col min="2" max="2" width="7.33203125" style="30" customWidth="1"/>
    <col min="3" max="5" width="9.1640625" style="30" customWidth="1"/>
    <col min="6" max="8" width="9.1640625" style="1" customWidth="1"/>
    <col min="9" max="9" width="9.1640625" style="15" customWidth="1"/>
    <col min="10" max="10" width="9.1640625" style="29" customWidth="1"/>
    <col min="11" max="12" width="9.1640625" style="6" customWidth="1"/>
    <col min="13" max="14" width="9.1640625" style="1" customWidth="1"/>
    <col min="15" max="15" width="9.1640625" style="14" customWidth="1"/>
    <col min="16" max="16" width="1.5" style="14" customWidth="1"/>
    <col min="17" max="17" width="9.1640625" style="14" customWidth="1"/>
    <col min="18" max="18" width="7.83203125" style="14" customWidth="1"/>
    <col min="19" max="19" width="20.5" style="1" customWidth="1"/>
    <col min="20" max="20" width="8.33203125" style="1" customWidth="1"/>
    <col min="21" max="21" width="9.1640625" customWidth="1"/>
    <col min="22" max="22" width="9" style="1" customWidth="1"/>
    <col min="23" max="23" width="9.1640625" style="4" customWidth="1"/>
    <col min="24" max="24" width="10.33203125" style="14" customWidth="1"/>
    <col min="25" max="25" width="10.33203125" style="1" customWidth="1"/>
    <col min="26" max="16384" width="8.83203125" style="1"/>
  </cols>
  <sheetData>
    <row r="1" spans="1:25" s="23" customFormat="1" ht="43.5" customHeight="1" thickBot="1" x14ac:dyDescent="0.2">
      <c r="A1" s="96" t="s">
        <v>66</v>
      </c>
      <c r="B1" s="96" t="s">
        <v>65</v>
      </c>
      <c r="C1" s="96" t="s">
        <v>64</v>
      </c>
      <c r="D1" s="96" t="s">
        <v>63</v>
      </c>
      <c r="E1" s="96" t="s">
        <v>37</v>
      </c>
      <c r="F1" s="96" t="s">
        <v>36</v>
      </c>
      <c r="G1" s="96" t="s">
        <v>35</v>
      </c>
      <c r="H1" s="96" t="s">
        <v>34</v>
      </c>
      <c r="I1" s="100" t="s">
        <v>33</v>
      </c>
      <c r="J1" s="99"/>
      <c r="K1" s="98" t="s">
        <v>62</v>
      </c>
      <c r="L1" s="98" t="s">
        <v>61</v>
      </c>
      <c r="M1" s="96" t="s">
        <v>60</v>
      </c>
      <c r="N1" s="96" t="s">
        <v>27</v>
      </c>
      <c r="O1" s="97" t="s">
        <v>59</v>
      </c>
      <c r="P1" s="97"/>
      <c r="Q1" s="97" t="s">
        <v>58</v>
      </c>
      <c r="R1" s="97" t="s">
        <v>57</v>
      </c>
      <c r="S1" s="96" t="s">
        <v>56</v>
      </c>
      <c r="T1" s="96" t="s">
        <v>55</v>
      </c>
      <c r="U1" s="96" t="s">
        <v>54</v>
      </c>
      <c r="V1" s="96" t="s">
        <v>53</v>
      </c>
      <c r="W1" s="95" t="s">
        <v>52</v>
      </c>
      <c r="X1" s="24"/>
    </row>
    <row r="2" spans="1:25" s="38" customFormat="1" ht="21.5" customHeight="1" thickTop="1" x14ac:dyDescent="0.15">
      <c r="A2" s="92" t="s">
        <v>20</v>
      </c>
      <c r="B2" s="92">
        <v>2</v>
      </c>
      <c r="C2" s="92">
        <v>0.5</v>
      </c>
      <c r="D2" s="92">
        <v>14</v>
      </c>
      <c r="E2" s="92">
        <v>150</v>
      </c>
      <c r="F2" s="38">
        <f t="shared" ref="F2:F7" si="0">D2*E2/453</f>
        <v>4.6357615894039732</v>
      </c>
      <c r="G2" s="38">
        <v>1.5</v>
      </c>
      <c r="H2" s="38">
        <v>0</v>
      </c>
      <c r="I2" s="91">
        <f t="shared" ref="I2:I7" si="1">G2/0.85</f>
        <v>1.7647058823529411</v>
      </c>
      <c r="J2" s="90"/>
      <c r="K2" s="72">
        <f t="shared" ref="K2:K7" si="2">I2*F2</f>
        <v>8.1807557460070122</v>
      </c>
      <c r="L2" s="72">
        <f t="shared" ref="L2:L7" si="3">0.01*E2</f>
        <v>1.5</v>
      </c>
      <c r="M2" s="38">
        <f t="shared" ref="M2:M7" si="4">0.022*E2</f>
        <v>3.3</v>
      </c>
      <c r="N2" s="38">
        <v>0.95</v>
      </c>
      <c r="O2" s="57">
        <f t="shared" ref="O2:O7" si="5">SUM(K2:N2)</f>
        <v>13.930755746007012</v>
      </c>
      <c r="P2" s="57"/>
      <c r="Q2" s="57">
        <f t="shared" ref="Q2:Q7" si="6">O2*2</f>
        <v>27.861511492014024</v>
      </c>
      <c r="R2" s="57">
        <f t="shared" ref="R2:R7" si="7">Q2/E2</f>
        <v>0.18574340994676017</v>
      </c>
      <c r="S2" s="38" t="s">
        <v>42</v>
      </c>
      <c r="T2" s="38">
        <v>0.15</v>
      </c>
      <c r="U2" s="72">
        <f t="shared" ref="U2:U7" si="8">T2*E2</f>
        <v>22.5</v>
      </c>
      <c r="V2" s="72">
        <f>SUM(U2,K2:R2)</f>
        <v>78.408766393974801</v>
      </c>
      <c r="W2" s="89">
        <f t="shared" ref="W2:W7" si="9">V2/E2</f>
        <v>0.52272510929316529</v>
      </c>
      <c r="X2" s="57"/>
    </row>
    <row r="3" spans="1:25" s="38" customFormat="1" ht="21.5" customHeight="1" x14ac:dyDescent="0.15">
      <c r="B3" s="92">
        <v>4</v>
      </c>
      <c r="C3" s="92">
        <v>0.75</v>
      </c>
      <c r="D3" s="92">
        <f>453/16*C3</f>
        <v>21.234375</v>
      </c>
      <c r="E3" s="92">
        <v>150</v>
      </c>
      <c r="F3" s="38">
        <f t="shared" si="0"/>
        <v>7.03125</v>
      </c>
      <c r="G3" s="38">
        <v>1.5</v>
      </c>
      <c r="H3" s="38">
        <v>0</v>
      </c>
      <c r="I3" s="91">
        <f t="shared" si="1"/>
        <v>1.7647058823529411</v>
      </c>
      <c r="J3" s="90"/>
      <c r="K3" s="72">
        <f t="shared" si="2"/>
        <v>12.408088235294118</v>
      </c>
      <c r="L3" s="72">
        <f t="shared" si="3"/>
        <v>1.5</v>
      </c>
      <c r="M3" s="38">
        <f t="shared" si="4"/>
        <v>3.3</v>
      </c>
      <c r="N3" s="38">
        <v>0.95</v>
      </c>
      <c r="O3" s="57">
        <f t="shared" si="5"/>
        <v>18.158088235294116</v>
      </c>
      <c r="P3" s="57"/>
      <c r="Q3" s="57">
        <f t="shared" si="6"/>
        <v>36.316176470588232</v>
      </c>
      <c r="R3" s="57">
        <f t="shared" si="7"/>
        <v>0.24210784313725489</v>
      </c>
      <c r="S3" s="38" t="s">
        <v>41</v>
      </c>
      <c r="T3" s="38">
        <v>0.18</v>
      </c>
      <c r="U3" s="72">
        <f t="shared" si="8"/>
        <v>27</v>
      </c>
      <c r="V3" s="72">
        <f>SUM(U3,Q3)</f>
        <v>63.316176470588232</v>
      </c>
      <c r="W3" s="89">
        <f t="shared" si="9"/>
        <v>0.42210784313725486</v>
      </c>
      <c r="X3" s="57"/>
      <c r="Y3" s="94"/>
    </row>
    <row r="4" spans="1:25" s="38" customFormat="1" ht="21.5" customHeight="1" x14ac:dyDescent="0.15">
      <c r="B4" s="92">
        <v>12</v>
      </c>
      <c r="C4" s="92">
        <v>1.25</v>
      </c>
      <c r="D4" s="92">
        <f>453/16*C4</f>
        <v>35.390625</v>
      </c>
      <c r="E4" s="92">
        <v>150</v>
      </c>
      <c r="F4" s="38">
        <f t="shared" si="0"/>
        <v>11.71875</v>
      </c>
      <c r="G4" s="38">
        <v>1.5</v>
      </c>
      <c r="H4" s="38">
        <v>0</v>
      </c>
      <c r="I4" s="91">
        <f t="shared" si="1"/>
        <v>1.7647058823529411</v>
      </c>
      <c r="J4" s="90"/>
      <c r="K4" s="72">
        <f t="shared" si="2"/>
        <v>20.680147058823529</v>
      </c>
      <c r="L4" s="72">
        <f t="shared" si="3"/>
        <v>1.5</v>
      </c>
      <c r="M4" s="38">
        <f t="shared" si="4"/>
        <v>3.3</v>
      </c>
      <c r="N4" s="38">
        <v>0.95</v>
      </c>
      <c r="O4" s="57">
        <f t="shared" si="5"/>
        <v>26.430147058823529</v>
      </c>
      <c r="P4" s="57"/>
      <c r="Q4" s="57">
        <f t="shared" si="6"/>
        <v>52.860294117647058</v>
      </c>
      <c r="R4" s="57">
        <f t="shared" si="7"/>
        <v>0.35240196078431374</v>
      </c>
      <c r="S4" s="38" t="s">
        <v>40</v>
      </c>
      <c r="T4" s="38">
        <v>0.24</v>
      </c>
      <c r="U4" s="72">
        <f t="shared" si="8"/>
        <v>36</v>
      </c>
      <c r="V4" s="72">
        <f>SUM(U4,Q4)</f>
        <v>88.860294117647058</v>
      </c>
      <c r="W4" s="89">
        <f t="shared" si="9"/>
        <v>0.59240196078431373</v>
      </c>
      <c r="X4" s="57"/>
    </row>
    <row r="5" spans="1:25" s="38" customFormat="1" ht="21.5" customHeight="1" x14ac:dyDescent="0.15">
      <c r="B5" s="92">
        <v>12</v>
      </c>
      <c r="C5" s="92">
        <v>1.5</v>
      </c>
      <c r="D5" s="92">
        <f>453/16*C5</f>
        <v>42.46875</v>
      </c>
      <c r="E5" s="92">
        <v>150</v>
      </c>
      <c r="F5" s="38">
        <f t="shared" si="0"/>
        <v>14.0625</v>
      </c>
      <c r="G5" s="38">
        <v>1.5</v>
      </c>
      <c r="H5" s="38">
        <v>0</v>
      </c>
      <c r="I5" s="91">
        <f t="shared" si="1"/>
        <v>1.7647058823529411</v>
      </c>
      <c r="J5" s="90"/>
      <c r="K5" s="72">
        <f t="shared" si="2"/>
        <v>24.816176470588236</v>
      </c>
      <c r="L5" s="72">
        <f t="shared" si="3"/>
        <v>1.5</v>
      </c>
      <c r="M5" s="38">
        <f t="shared" si="4"/>
        <v>3.3</v>
      </c>
      <c r="N5" s="38">
        <v>0.95</v>
      </c>
      <c r="O5" s="57">
        <f t="shared" si="5"/>
        <v>30.566176470588236</v>
      </c>
      <c r="P5" s="57"/>
      <c r="Q5" s="57">
        <f t="shared" si="6"/>
        <v>61.132352941176471</v>
      </c>
      <c r="R5" s="57">
        <f t="shared" si="7"/>
        <v>0.40754901960784312</v>
      </c>
      <c r="S5" s="38" t="s">
        <v>40</v>
      </c>
      <c r="T5" s="38">
        <v>0.24</v>
      </c>
      <c r="U5" s="72">
        <f t="shared" si="8"/>
        <v>36</v>
      </c>
      <c r="V5" s="72">
        <f>SUM(U5,Q5)</f>
        <v>97.132352941176464</v>
      </c>
      <c r="W5" s="89">
        <f t="shared" si="9"/>
        <v>0.64754901960784306</v>
      </c>
      <c r="X5" s="57"/>
      <c r="Y5" s="93"/>
    </row>
    <row r="6" spans="1:25" s="38" customFormat="1" ht="21.5" customHeight="1" x14ac:dyDescent="0.15">
      <c r="B6" s="92">
        <v>12</v>
      </c>
      <c r="C6" s="92">
        <v>1.75</v>
      </c>
      <c r="D6" s="92">
        <f>453/16*C6</f>
        <v>49.546875</v>
      </c>
      <c r="E6" s="92">
        <v>100</v>
      </c>
      <c r="F6" s="38">
        <f t="shared" si="0"/>
        <v>10.9375</v>
      </c>
      <c r="G6" s="38">
        <v>1.5</v>
      </c>
      <c r="H6" s="38">
        <v>0</v>
      </c>
      <c r="I6" s="91">
        <f t="shared" si="1"/>
        <v>1.7647058823529411</v>
      </c>
      <c r="J6" s="90"/>
      <c r="K6" s="72">
        <f t="shared" si="2"/>
        <v>19.301470588235293</v>
      </c>
      <c r="L6" s="72">
        <f t="shared" si="3"/>
        <v>1</v>
      </c>
      <c r="M6" s="38">
        <f t="shared" si="4"/>
        <v>2.1999999999999997</v>
      </c>
      <c r="N6" s="38">
        <v>0.95</v>
      </c>
      <c r="O6" s="57">
        <f t="shared" si="5"/>
        <v>23.451470588235292</v>
      </c>
      <c r="P6" s="57"/>
      <c r="Q6" s="57">
        <f t="shared" si="6"/>
        <v>46.902941176470584</v>
      </c>
      <c r="R6" s="57">
        <f t="shared" si="7"/>
        <v>0.46902941176470586</v>
      </c>
      <c r="S6" s="38" t="s">
        <v>40</v>
      </c>
      <c r="T6" s="38">
        <v>0.24</v>
      </c>
      <c r="U6" s="72">
        <f t="shared" si="8"/>
        <v>24</v>
      </c>
      <c r="V6" s="72">
        <f>SUM(U6,Q6)</f>
        <v>70.902941176470591</v>
      </c>
      <c r="W6" s="89">
        <f t="shared" si="9"/>
        <v>0.70902941176470591</v>
      </c>
      <c r="X6" s="57"/>
    </row>
    <row r="7" spans="1:25" s="38" customFormat="1" ht="21.5" customHeight="1" x14ac:dyDescent="0.15">
      <c r="B7" s="92">
        <v>12</v>
      </c>
      <c r="C7" s="92">
        <v>2</v>
      </c>
      <c r="D7" s="92">
        <f>453/16*C7</f>
        <v>56.625</v>
      </c>
      <c r="E7" s="92">
        <v>100</v>
      </c>
      <c r="F7" s="38">
        <f t="shared" si="0"/>
        <v>12.5</v>
      </c>
      <c r="G7" s="38">
        <v>1.5</v>
      </c>
      <c r="H7" s="38">
        <v>0</v>
      </c>
      <c r="I7" s="91">
        <f t="shared" si="1"/>
        <v>1.7647058823529411</v>
      </c>
      <c r="J7" s="90"/>
      <c r="K7" s="72">
        <f t="shared" si="2"/>
        <v>22.058823529411764</v>
      </c>
      <c r="L7" s="72">
        <f t="shared" si="3"/>
        <v>1</v>
      </c>
      <c r="M7" s="38">
        <f t="shared" si="4"/>
        <v>2.1999999999999997</v>
      </c>
      <c r="N7" s="38">
        <v>0.95</v>
      </c>
      <c r="O7" s="57">
        <f t="shared" si="5"/>
        <v>26.208823529411763</v>
      </c>
      <c r="P7" s="57"/>
      <c r="Q7" s="57">
        <f t="shared" si="6"/>
        <v>52.417647058823526</v>
      </c>
      <c r="R7" s="57">
        <f t="shared" si="7"/>
        <v>0.52417647058823524</v>
      </c>
      <c r="S7" s="38" t="s">
        <v>40</v>
      </c>
      <c r="T7" s="38">
        <v>0.24</v>
      </c>
      <c r="U7" s="72">
        <f t="shared" si="8"/>
        <v>24</v>
      </c>
      <c r="V7" s="72">
        <f>SUM(U7,Q7)</f>
        <v>76.417647058823519</v>
      </c>
      <c r="W7" s="89">
        <f t="shared" si="9"/>
        <v>0.76417647058823523</v>
      </c>
      <c r="X7" s="57"/>
    </row>
    <row r="8" spans="1:25" ht="21.5" customHeight="1" x14ac:dyDescent="0.2">
      <c r="A8" s="88"/>
      <c r="B8" s="88"/>
      <c r="C8" s="88"/>
      <c r="D8" s="88"/>
      <c r="E8" s="88"/>
      <c r="F8" s="83"/>
      <c r="G8" s="83"/>
      <c r="H8" s="83"/>
      <c r="I8" s="87"/>
      <c r="J8" s="87"/>
      <c r="K8" s="86"/>
      <c r="L8" s="86"/>
      <c r="M8" s="83"/>
      <c r="N8" s="83"/>
      <c r="O8" s="85"/>
      <c r="P8" s="85"/>
      <c r="Q8" s="85"/>
      <c r="R8" s="85"/>
      <c r="S8" s="83"/>
      <c r="T8" s="83"/>
      <c r="U8" s="84"/>
      <c r="V8" s="83"/>
      <c r="W8" s="82"/>
    </row>
    <row r="9" spans="1:25" s="61" customFormat="1" ht="21.5" customHeight="1" x14ac:dyDescent="0.15">
      <c r="A9" s="81" t="s">
        <v>51</v>
      </c>
      <c r="B9" s="81">
        <v>2</v>
      </c>
      <c r="C9" s="81">
        <v>0.5</v>
      </c>
      <c r="D9" s="81">
        <v>14</v>
      </c>
      <c r="E9" s="81">
        <v>150</v>
      </c>
      <c r="F9" s="61">
        <f t="shared" ref="F9:F14" si="10">D9*E9/453</f>
        <v>4.6357615894039732</v>
      </c>
      <c r="G9" s="61">
        <v>2</v>
      </c>
      <c r="H9" s="61">
        <v>0</v>
      </c>
      <c r="I9" s="80">
        <f t="shared" ref="I9:I14" si="11">G9/0.85</f>
        <v>2.3529411764705883</v>
      </c>
      <c r="J9" s="79"/>
      <c r="K9" s="78">
        <f t="shared" ref="K9:K14" si="12">I9*F9</f>
        <v>10.90767432800935</v>
      </c>
      <c r="L9" s="78">
        <f t="shared" ref="L9:L14" si="13">0.01*E9</f>
        <v>1.5</v>
      </c>
      <c r="M9" s="61">
        <f t="shared" ref="M9:M14" si="14">0.022*E9</f>
        <v>3.3</v>
      </c>
      <c r="N9" s="61">
        <v>0.95</v>
      </c>
      <c r="O9" s="63">
        <f t="shared" ref="O9:O14" si="15">U9*2.25</f>
        <v>37.47976723802104</v>
      </c>
      <c r="P9" s="63"/>
      <c r="Q9" s="57">
        <f t="shared" ref="Q9:Q14" si="16">O9*2</f>
        <v>74.95953447604208</v>
      </c>
      <c r="R9" s="57">
        <f t="shared" ref="R9:R14" si="17">Q9/E9</f>
        <v>0.49973022984028054</v>
      </c>
      <c r="S9" s="61" t="s">
        <v>50</v>
      </c>
      <c r="T9" s="38">
        <v>0.15</v>
      </c>
      <c r="U9" s="78">
        <f t="shared" ref="U9:U14" si="18">SUM(K9:N9)</f>
        <v>16.65767432800935</v>
      </c>
      <c r="V9" s="72">
        <f t="shared" ref="V9:V14" si="19">SUM(U9,Q9)</f>
        <v>91.61720880405143</v>
      </c>
      <c r="W9" s="77">
        <f t="shared" ref="W9:W14" si="20">O9/E9</f>
        <v>0.24986511492014027</v>
      </c>
      <c r="X9" s="63"/>
    </row>
    <row r="10" spans="1:25" s="61" customFormat="1" ht="21.5" customHeight="1" x14ac:dyDescent="0.15">
      <c r="B10" s="81">
        <v>4</v>
      </c>
      <c r="C10" s="81">
        <v>0.75</v>
      </c>
      <c r="D10" s="81">
        <f>453/16*C10</f>
        <v>21.234375</v>
      </c>
      <c r="E10" s="81">
        <v>150</v>
      </c>
      <c r="F10" s="61">
        <f t="shared" si="10"/>
        <v>7.03125</v>
      </c>
      <c r="G10" s="61">
        <v>2</v>
      </c>
      <c r="H10" s="61">
        <v>0</v>
      </c>
      <c r="I10" s="80">
        <f t="shared" si="11"/>
        <v>2.3529411764705883</v>
      </c>
      <c r="J10" s="79"/>
      <c r="K10" s="78">
        <f t="shared" si="12"/>
        <v>16.544117647058822</v>
      </c>
      <c r="L10" s="78">
        <f t="shared" si="13"/>
        <v>1.5</v>
      </c>
      <c r="M10" s="61">
        <f t="shared" si="14"/>
        <v>3.3</v>
      </c>
      <c r="N10" s="61">
        <v>0.95</v>
      </c>
      <c r="O10" s="63">
        <f t="shared" si="15"/>
        <v>50.161764705882348</v>
      </c>
      <c r="P10" s="63"/>
      <c r="Q10" s="57">
        <f t="shared" si="16"/>
        <v>100.3235294117647</v>
      </c>
      <c r="R10" s="57">
        <f t="shared" si="17"/>
        <v>0.66882352941176459</v>
      </c>
      <c r="S10" s="61" t="s">
        <v>49</v>
      </c>
      <c r="T10" s="38">
        <v>0.18</v>
      </c>
      <c r="U10" s="78">
        <f t="shared" si="18"/>
        <v>22.294117647058822</v>
      </c>
      <c r="V10" s="72">
        <f t="shared" si="19"/>
        <v>122.61764705882352</v>
      </c>
      <c r="W10" s="77">
        <f t="shared" si="20"/>
        <v>0.3344117647058823</v>
      </c>
      <c r="X10" s="63"/>
    </row>
    <row r="11" spans="1:25" s="61" customFormat="1" ht="21.5" customHeight="1" x14ac:dyDescent="0.15">
      <c r="B11" s="81">
        <v>12</v>
      </c>
      <c r="C11" s="81">
        <v>1.25</v>
      </c>
      <c r="D11" s="81">
        <f>453/16*C11</f>
        <v>35.390625</v>
      </c>
      <c r="E11" s="81">
        <v>100</v>
      </c>
      <c r="F11" s="61">
        <f t="shared" si="10"/>
        <v>7.8125</v>
      </c>
      <c r="G11" s="61">
        <v>2</v>
      </c>
      <c r="H11" s="61">
        <v>0</v>
      </c>
      <c r="I11" s="80">
        <f t="shared" si="11"/>
        <v>2.3529411764705883</v>
      </c>
      <c r="J11" s="79"/>
      <c r="K11" s="78">
        <f t="shared" si="12"/>
        <v>18.382352941176471</v>
      </c>
      <c r="L11" s="78">
        <f t="shared" si="13"/>
        <v>1</v>
      </c>
      <c r="M11" s="61">
        <f t="shared" si="14"/>
        <v>2.1999999999999997</v>
      </c>
      <c r="N11" s="61">
        <v>0.95</v>
      </c>
      <c r="O11" s="63">
        <f t="shared" si="15"/>
        <v>50.697794117647057</v>
      </c>
      <c r="P11" s="63"/>
      <c r="Q11" s="57">
        <f t="shared" si="16"/>
        <v>101.39558823529411</v>
      </c>
      <c r="R11" s="57">
        <f t="shared" si="17"/>
        <v>1.0139558823529411</v>
      </c>
      <c r="S11" s="61" t="s">
        <v>40</v>
      </c>
      <c r="T11" s="38">
        <v>0.24</v>
      </c>
      <c r="U11" s="78">
        <f t="shared" si="18"/>
        <v>22.53235294117647</v>
      </c>
      <c r="V11" s="72">
        <f t="shared" si="19"/>
        <v>123.92794117647058</v>
      </c>
      <c r="W11" s="77">
        <f t="shared" si="20"/>
        <v>0.50697794117647055</v>
      </c>
      <c r="X11" s="63"/>
    </row>
    <row r="12" spans="1:25" s="61" customFormat="1" ht="21.5" customHeight="1" x14ac:dyDescent="0.15">
      <c r="B12" s="81">
        <v>12</v>
      </c>
      <c r="C12" s="81">
        <v>1.5</v>
      </c>
      <c r="D12" s="81">
        <f>453/16*C12</f>
        <v>42.46875</v>
      </c>
      <c r="E12" s="81">
        <v>100</v>
      </c>
      <c r="F12" s="61">
        <f t="shared" si="10"/>
        <v>9.375</v>
      </c>
      <c r="G12" s="61">
        <v>2</v>
      </c>
      <c r="H12" s="61">
        <v>0</v>
      </c>
      <c r="I12" s="80">
        <f t="shared" si="11"/>
        <v>2.3529411764705883</v>
      </c>
      <c r="J12" s="79"/>
      <c r="K12" s="78">
        <f t="shared" si="12"/>
        <v>22.058823529411764</v>
      </c>
      <c r="L12" s="78">
        <f t="shared" si="13"/>
        <v>1</v>
      </c>
      <c r="M12" s="61">
        <f t="shared" si="14"/>
        <v>2.1999999999999997</v>
      </c>
      <c r="N12" s="61">
        <v>0.95</v>
      </c>
      <c r="O12" s="63">
        <f t="shared" si="15"/>
        <v>58.96985294117647</v>
      </c>
      <c r="P12" s="63"/>
      <c r="Q12" s="57">
        <f t="shared" si="16"/>
        <v>117.93970588235294</v>
      </c>
      <c r="R12" s="57">
        <f t="shared" si="17"/>
        <v>1.1793970588235294</v>
      </c>
      <c r="S12" s="61" t="s">
        <v>40</v>
      </c>
      <c r="T12" s="38">
        <v>0.24</v>
      </c>
      <c r="U12" s="78">
        <f t="shared" si="18"/>
        <v>26.208823529411763</v>
      </c>
      <c r="V12" s="72">
        <f t="shared" si="19"/>
        <v>144.14852941176471</v>
      </c>
      <c r="W12" s="77">
        <f t="shared" si="20"/>
        <v>0.5896985294117647</v>
      </c>
      <c r="X12" s="63"/>
    </row>
    <row r="13" spans="1:25" s="61" customFormat="1" ht="21.5" customHeight="1" x14ac:dyDescent="0.15">
      <c r="B13" s="81">
        <v>12</v>
      </c>
      <c r="C13" s="81">
        <v>1.75</v>
      </c>
      <c r="D13" s="81">
        <f>453/16*C13</f>
        <v>49.546875</v>
      </c>
      <c r="E13" s="81">
        <v>100</v>
      </c>
      <c r="F13" s="61">
        <f t="shared" si="10"/>
        <v>10.9375</v>
      </c>
      <c r="G13" s="61">
        <v>2</v>
      </c>
      <c r="H13" s="61">
        <v>0</v>
      </c>
      <c r="I13" s="80">
        <f t="shared" si="11"/>
        <v>2.3529411764705883</v>
      </c>
      <c r="J13" s="79"/>
      <c r="K13" s="78">
        <f t="shared" si="12"/>
        <v>25.735294117647058</v>
      </c>
      <c r="L13" s="78">
        <f t="shared" si="13"/>
        <v>1</v>
      </c>
      <c r="M13" s="61">
        <f t="shared" si="14"/>
        <v>2.1999999999999997</v>
      </c>
      <c r="N13" s="61">
        <v>0.95</v>
      </c>
      <c r="O13" s="63">
        <f t="shared" si="15"/>
        <v>67.241911764705875</v>
      </c>
      <c r="P13" s="63"/>
      <c r="Q13" s="57">
        <f t="shared" si="16"/>
        <v>134.48382352941175</v>
      </c>
      <c r="R13" s="57">
        <f t="shared" si="17"/>
        <v>1.3448382352941175</v>
      </c>
      <c r="S13" s="61" t="s">
        <v>40</v>
      </c>
      <c r="T13" s="38">
        <v>0.24</v>
      </c>
      <c r="U13" s="78">
        <f t="shared" si="18"/>
        <v>29.885294117647057</v>
      </c>
      <c r="V13" s="72">
        <f t="shared" si="19"/>
        <v>164.3691176470588</v>
      </c>
      <c r="W13" s="77">
        <f t="shared" si="20"/>
        <v>0.67241911764705875</v>
      </c>
      <c r="X13" s="63"/>
    </row>
    <row r="14" spans="1:25" s="61" customFormat="1" ht="21.5" customHeight="1" x14ac:dyDescent="0.15">
      <c r="B14" s="81">
        <v>12</v>
      </c>
      <c r="C14" s="81">
        <v>2</v>
      </c>
      <c r="D14" s="81">
        <f>453/16*C14</f>
        <v>56.625</v>
      </c>
      <c r="E14" s="81">
        <v>100</v>
      </c>
      <c r="F14" s="61">
        <f t="shared" si="10"/>
        <v>12.5</v>
      </c>
      <c r="G14" s="61">
        <v>2</v>
      </c>
      <c r="H14" s="61">
        <v>0</v>
      </c>
      <c r="I14" s="80">
        <f t="shared" si="11"/>
        <v>2.3529411764705883</v>
      </c>
      <c r="J14" s="79"/>
      <c r="K14" s="78">
        <f t="shared" si="12"/>
        <v>29.411764705882355</v>
      </c>
      <c r="L14" s="78">
        <f t="shared" si="13"/>
        <v>1</v>
      </c>
      <c r="M14" s="61">
        <f t="shared" si="14"/>
        <v>2.1999999999999997</v>
      </c>
      <c r="N14" s="61">
        <v>0.95</v>
      </c>
      <c r="O14" s="63">
        <f t="shared" si="15"/>
        <v>75.51397058823531</v>
      </c>
      <c r="P14" s="63"/>
      <c r="Q14" s="57">
        <f t="shared" si="16"/>
        <v>151.02794117647062</v>
      </c>
      <c r="R14" s="57">
        <f t="shared" si="17"/>
        <v>1.5102794117647063</v>
      </c>
      <c r="S14" s="61" t="s">
        <v>40</v>
      </c>
      <c r="T14" s="38">
        <v>0.24</v>
      </c>
      <c r="U14" s="78">
        <f t="shared" si="18"/>
        <v>33.561764705882361</v>
      </c>
      <c r="V14" s="72">
        <f t="shared" si="19"/>
        <v>184.58970588235297</v>
      </c>
      <c r="W14" s="77">
        <f t="shared" si="20"/>
        <v>0.75513970588235313</v>
      </c>
      <c r="X14" s="63"/>
    </row>
    <row r="15" spans="1:25" s="61" customFormat="1" ht="21.5" customHeight="1" x14ac:dyDescent="0.15">
      <c r="A15" s="48"/>
      <c r="B15" s="69"/>
      <c r="C15" s="69"/>
      <c r="D15" s="69"/>
      <c r="E15" s="69"/>
      <c r="F15" s="65"/>
      <c r="G15" s="65"/>
      <c r="H15" s="65"/>
      <c r="I15" s="68"/>
      <c r="J15" s="68"/>
      <c r="K15" s="66"/>
      <c r="L15" s="66"/>
      <c r="M15" s="65"/>
      <c r="N15" s="65"/>
      <c r="O15" s="67"/>
      <c r="P15" s="67"/>
      <c r="Q15" s="67"/>
      <c r="R15" s="67"/>
      <c r="S15" s="65"/>
      <c r="T15" s="65"/>
      <c r="U15" s="66"/>
      <c r="V15" s="65"/>
      <c r="W15" s="64"/>
      <c r="X15" s="63"/>
    </row>
    <row r="16" spans="1:25" s="62" customFormat="1" ht="21.5" customHeight="1" x14ac:dyDescent="0.15">
      <c r="A16" s="76" t="s">
        <v>19</v>
      </c>
      <c r="B16" s="76">
        <v>2</v>
      </c>
      <c r="C16" s="76">
        <v>0.5</v>
      </c>
      <c r="D16" s="76">
        <v>14</v>
      </c>
      <c r="E16" s="76">
        <v>150</v>
      </c>
      <c r="F16" s="62">
        <f t="shared" ref="F16:F21" si="21">D16*E16/453</f>
        <v>4.6357615894039732</v>
      </c>
      <c r="G16" s="62">
        <v>1.5</v>
      </c>
      <c r="H16" s="62">
        <v>0</v>
      </c>
      <c r="I16" s="75">
        <f t="shared" ref="I16:I21" si="22">G16/0.85</f>
        <v>1.7647058823529411</v>
      </c>
      <c r="J16" s="74"/>
      <c r="K16" s="73">
        <f t="shared" ref="K16:K21" si="23">I16*F16</f>
        <v>8.1807557460070122</v>
      </c>
      <c r="L16" s="73">
        <f t="shared" ref="L16:L21" si="24">0.01*E16</f>
        <v>1.5</v>
      </c>
      <c r="M16" s="62">
        <f t="shared" ref="M16:M21" si="25">0.022*E16</f>
        <v>3.3</v>
      </c>
      <c r="N16" s="62">
        <v>0.95</v>
      </c>
      <c r="O16" s="70">
        <f t="shared" ref="O16:O21" si="26">U16*2.25</f>
        <v>31.344200428515776</v>
      </c>
      <c r="P16" s="70"/>
      <c r="Q16" s="57">
        <f t="shared" ref="Q16:Q21" si="27">O16*2</f>
        <v>62.688400857031553</v>
      </c>
      <c r="R16" s="57">
        <f t="shared" ref="R16:R21" si="28">Q16/E16</f>
        <v>0.41792267238021036</v>
      </c>
      <c r="S16" s="62" t="s">
        <v>50</v>
      </c>
      <c r="T16" s="38">
        <v>0.15</v>
      </c>
      <c r="U16" s="73">
        <f t="shared" ref="U16:U21" si="29">SUM(K16:N16)</f>
        <v>13.930755746007012</v>
      </c>
      <c r="V16" s="72">
        <f t="shared" ref="V16:V21" si="30">SUM(U16,Q16)</f>
        <v>76.619156603038562</v>
      </c>
      <c r="W16" s="71">
        <f t="shared" ref="W16:W21" si="31">O16/E16</f>
        <v>0.20896133619010518</v>
      </c>
      <c r="X16" s="70"/>
      <c r="Y16" s="61"/>
    </row>
    <row r="17" spans="1:25" s="62" customFormat="1" ht="21.5" customHeight="1" x14ac:dyDescent="0.15">
      <c r="B17" s="76">
        <v>4</v>
      </c>
      <c r="C17" s="76">
        <v>0.75</v>
      </c>
      <c r="D17" s="76">
        <f>453/16*C17</f>
        <v>21.234375</v>
      </c>
      <c r="E17" s="76">
        <v>150</v>
      </c>
      <c r="F17" s="62">
        <f t="shared" si="21"/>
        <v>7.03125</v>
      </c>
      <c r="G17" s="62">
        <v>1.5</v>
      </c>
      <c r="H17" s="62">
        <v>0</v>
      </c>
      <c r="I17" s="75">
        <f t="shared" si="22"/>
        <v>1.7647058823529411</v>
      </c>
      <c r="J17" s="74"/>
      <c r="K17" s="73">
        <f t="shared" si="23"/>
        <v>12.408088235294118</v>
      </c>
      <c r="L17" s="73">
        <f t="shared" si="24"/>
        <v>1.5</v>
      </c>
      <c r="M17" s="62">
        <f t="shared" si="25"/>
        <v>3.3</v>
      </c>
      <c r="N17" s="62">
        <v>0.95</v>
      </c>
      <c r="O17" s="70">
        <f t="shared" si="26"/>
        <v>40.855698529411761</v>
      </c>
      <c r="P17" s="70"/>
      <c r="Q17" s="57">
        <f t="shared" si="27"/>
        <v>81.711397058823522</v>
      </c>
      <c r="R17" s="57">
        <f t="shared" si="28"/>
        <v>0.54474264705882347</v>
      </c>
      <c r="S17" s="62" t="s">
        <v>49</v>
      </c>
      <c r="T17" s="38">
        <v>0.18</v>
      </c>
      <c r="U17" s="73">
        <f t="shared" si="29"/>
        <v>18.158088235294116</v>
      </c>
      <c r="V17" s="72">
        <f t="shared" si="30"/>
        <v>99.869485294117638</v>
      </c>
      <c r="W17" s="71">
        <f t="shared" si="31"/>
        <v>0.27237132352941174</v>
      </c>
      <c r="X17" s="70"/>
    </row>
    <row r="18" spans="1:25" s="62" customFormat="1" ht="21.5" customHeight="1" x14ac:dyDescent="0.15">
      <c r="B18" s="76">
        <v>12</v>
      </c>
      <c r="C18" s="76">
        <v>1.25</v>
      </c>
      <c r="D18" s="76">
        <f>453/16*C18</f>
        <v>35.390625</v>
      </c>
      <c r="E18" s="76">
        <v>100</v>
      </c>
      <c r="F18" s="62">
        <f t="shared" si="21"/>
        <v>7.8125</v>
      </c>
      <c r="G18" s="62">
        <v>1.5</v>
      </c>
      <c r="H18" s="62">
        <v>0</v>
      </c>
      <c r="I18" s="75">
        <f t="shared" si="22"/>
        <v>1.7647058823529411</v>
      </c>
      <c r="J18" s="74"/>
      <c r="K18" s="73">
        <f t="shared" si="23"/>
        <v>13.786764705882353</v>
      </c>
      <c r="L18" s="73">
        <f t="shared" si="24"/>
        <v>1</v>
      </c>
      <c r="M18" s="62">
        <f t="shared" si="25"/>
        <v>2.1999999999999997</v>
      </c>
      <c r="N18" s="62">
        <v>0.95</v>
      </c>
      <c r="O18" s="70">
        <f t="shared" si="26"/>
        <v>40.357720588235296</v>
      </c>
      <c r="P18" s="70"/>
      <c r="Q18" s="57">
        <f t="shared" si="27"/>
        <v>80.715441176470591</v>
      </c>
      <c r="R18" s="57">
        <f t="shared" si="28"/>
        <v>0.80715441176470593</v>
      </c>
      <c r="S18" s="62" t="s">
        <v>40</v>
      </c>
      <c r="T18" s="38">
        <v>0.24</v>
      </c>
      <c r="U18" s="73">
        <f t="shared" si="29"/>
        <v>17.936764705882354</v>
      </c>
      <c r="V18" s="72">
        <f t="shared" si="30"/>
        <v>98.652205882352945</v>
      </c>
      <c r="W18" s="71">
        <f t="shared" si="31"/>
        <v>0.40357720588235296</v>
      </c>
      <c r="X18" s="70"/>
    </row>
    <row r="19" spans="1:25" s="62" customFormat="1" ht="21.5" customHeight="1" x14ac:dyDescent="0.15">
      <c r="B19" s="76">
        <v>12</v>
      </c>
      <c r="C19" s="76">
        <v>1.5</v>
      </c>
      <c r="D19" s="76">
        <f>453/16*C19</f>
        <v>42.46875</v>
      </c>
      <c r="E19" s="76">
        <v>100</v>
      </c>
      <c r="F19" s="62">
        <f t="shared" si="21"/>
        <v>9.375</v>
      </c>
      <c r="G19" s="62">
        <v>1.5</v>
      </c>
      <c r="H19" s="62">
        <v>0</v>
      </c>
      <c r="I19" s="75">
        <f t="shared" si="22"/>
        <v>1.7647058823529411</v>
      </c>
      <c r="J19" s="74"/>
      <c r="K19" s="73">
        <f t="shared" si="23"/>
        <v>16.544117647058822</v>
      </c>
      <c r="L19" s="73">
        <f t="shared" si="24"/>
        <v>1</v>
      </c>
      <c r="M19" s="62">
        <f t="shared" si="25"/>
        <v>2.1999999999999997</v>
      </c>
      <c r="N19" s="62">
        <v>0.95</v>
      </c>
      <c r="O19" s="70">
        <f t="shared" si="26"/>
        <v>46.561764705882347</v>
      </c>
      <c r="P19" s="70"/>
      <c r="Q19" s="57">
        <f t="shared" si="27"/>
        <v>93.123529411764693</v>
      </c>
      <c r="R19" s="57">
        <f t="shared" si="28"/>
        <v>0.93123529411764694</v>
      </c>
      <c r="S19" s="62" t="s">
        <v>40</v>
      </c>
      <c r="T19" s="38">
        <v>0.24</v>
      </c>
      <c r="U19" s="73">
        <f t="shared" si="29"/>
        <v>20.694117647058821</v>
      </c>
      <c r="V19" s="72">
        <f t="shared" si="30"/>
        <v>113.81764705882351</v>
      </c>
      <c r="W19" s="71">
        <f t="shared" si="31"/>
        <v>0.46561764705882347</v>
      </c>
      <c r="X19" s="70"/>
    </row>
    <row r="20" spans="1:25" s="62" customFormat="1" ht="21.5" customHeight="1" x14ac:dyDescent="0.15">
      <c r="B20" s="76">
        <v>12</v>
      </c>
      <c r="C20" s="76">
        <v>1.75</v>
      </c>
      <c r="D20" s="76">
        <f>453/16*C20</f>
        <v>49.546875</v>
      </c>
      <c r="E20" s="76">
        <v>100</v>
      </c>
      <c r="F20" s="62">
        <f t="shared" si="21"/>
        <v>10.9375</v>
      </c>
      <c r="G20" s="62">
        <v>1.5</v>
      </c>
      <c r="H20" s="62">
        <v>0</v>
      </c>
      <c r="I20" s="75">
        <f t="shared" si="22"/>
        <v>1.7647058823529411</v>
      </c>
      <c r="J20" s="74"/>
      <c r="K20" s="73">
        <f t="shared" si="23"/>
        <v>19.301470588235293</v>
      </c>
      <c r="L20" s="73">
        <f t="shared" si="24"/>
        <v>1</v>
      </c>
      <c r="M20" s="62">
        <f t="shared" si="25"/>
        <v>2.1999999999999997</v>
      </c>
      <c r="N20" s="62">
        <v>0.95</v>
      </c>
      <c r="O20" s="70">
        <f t="shared" si="26"/>
        <v>52.765808823529404</v>
      </c>
      <c r="P20" s="70"/>
      <c r="Q20" s="57">
        <f t="shared" si="27"/>
        <v>105.53161764705881</v>
      </c>
      <c r="R20" s="57">
        <f t="shared" si="28"/>
        <v>1.0553161764705881</v>
      </c>
      <c r="S20" s="62" t="s">
        <v>40</v>
      </c>
      <c r="T20" s="38">
        <v>0.24</v>
      </c>
      <c r="U20" s="73">
        <f t="shared" si="29"/>
        <v>23.451470588235292</v>
      </c>
      <c r="V20" s="72">
        <f t="shared" si="30"/>
        <v>128.9830882352941</v>
      </c>
      <c r="W20" s="71">
        <f t="shared" si="31"/>
        <v>0.52765808823529403</v>
      </c>
      <c r="X20" s="70"/>
    </row>
    <row r="21" spans="1:25" s="62" customFormat="1" ht="21.5" customHeight="1" x14ac:dyDescent="0.15">
      <c r="B21" s="76">
        <v>12</v>
      </c>
      <c r="C21" s="76">
        <v>2</v>
      </c>
      <c r="D21" s="76">
        <f>453/16*C21</f>
        <v>56.625</v>
      </c>
      <c r="E21" s="76">
        <v>100</v>
      </c>
      <c r="F21" s="62">
        <f t="shared" si="21"/>
        <v>12.5</v>
      </c>
      <c r="G21" s="62">
        <v>1.5</v>
      </c>
      <c r="H21" s="62">
        <v>0</v>
      </c>
      <c r="I21" s="75">
        <f t="shared" si="22"/>
        <v>1.7647058823529411</v>
      </c>
      <c r="J21" s="74"/>
      <c r="K21" s="73">
        <f t="shared" si="23"/>
        <v>22.058823529411764</v>
      </c>
      <c r="L21" s="73">
        <f t="shared" si="24"/>
        <v>1</v>
      </c>
      <c r="M21" s="62">
        <f t="shared" si="25"/>
        <v>2.1999999999999997</v>
      </c>
      <c r="N21" s="62">
        <v>0.95</v>
      </c>
      <c r="O21" s="70">
        <f t="shared" si="26"/>
        <v>58.96985294117647</v>
      </c>
      <c r="P21" s="70"/>
      <c r="Q21" s="57">
        <f t="shared" si="27"/>
        <v>117.93970588235294</v>
      </c>
      <c r="R21" s="57">
        <f t="shared" si="28"/>
        <v>1.1793970588235294</v>
      </c>
      <c r="S21" s="62" t="s">
        <v>40</v>
      </c>
      <c r="T21" s="38">
        <v>0.24</v>
      </c>
      <c r="U21" s="73">
        <f t="shared" si="29"/>
        <v>26.208823529411763</v>
      </c>
      <c r="V21" s="72">
        <f t="shared" si="30"/>
        <v>144.14852941176471</v>
      </c>
      <c r="W21" s="71">
        <f t="shared" si="31"/>
        <v>0.5896985294117647</v>
      </c>
      <c r="X21" s="70"/>
    </row>
    <row r="22" spans="1:25" s="61" customFormat="1" ht="21.5" customHeight="1" x14ac:dyDescent="0.15">
      <c r="A22" s="48"/>
      <c r="B22" s="69"/>
      <c r="C22" s="69"/>
      <c r="D22" s="69"/>
      <c r="E22" s="69"/>
      <c r="F22" s="65"/>
      <c r="G22" s="65"/>
      <c r="H22" s="65"/>
      <c r="I22" s="68"/>
      <c r="J22" s="68"/>
      <c r="K22" s="66"/>
      <c r="L22" s="66"/>
      <c r="M22" s="65"/>
      <c r="N22" s="65"/>
      <c r="O22" s="67"/>
      <c r="P22" s="67"/>
      <c r="Q22" s="67"/>
      <c r="R22" s="67"/>
      <c r="S22" s="65"/>
      <c r="T22" s="65"/>
      <c r="U22" s="66"/>
      <c r="V22" s="65"/>
      <c r="W22" s="64"/>
      <c r="X22" s="63"/>
      <c r="Y22" s="62"/>
    </row>
    <row r="23" spans="1:25" s="46" customFormat="1" ht="21.5" customHeight="1" x14ac:dyDescent="0.15">
      <c r="A23" s="60" t="s">
        <v>17</v>
      </c>
      <c r="B23" s="60">
        <v>2</v>
      </c>
      <c r="C23" s="60">
        <v>0.5</v>
      </c>
      <c r="D23" s="60">
        <v>14</v>
      </c>
      <c r="E23" s="60">
        <v>150</v>
      </c>
      <c r="F23" s="46">
        <f t="shared" ref="F23:F28" si="32">D23*E23/453</f>
        <v>4.6357615894039732</v>
      </c>
      <c r="G23" s="46">
        <v>1.85</v>
      </c>
      <c r="H23" s="46">
        <v>0</v>
      </c>
      <c r="I23" s="59">
        <f t="shared" ref="I23:I28" si="33">G23/0.85</f>
        <v>2.1764705882352944</v>
      </c>
      <c r="J23" s="58"/>
      <c r="K23" s="56">
        <f t="shared" ref="K23:K28" si="34">I23*F23</f>
        <v>10.089598753408648</v>
      </c>
      <c r="L23" s="56">
        <f t="shared" ref="L23:L28" si="35">0.01*E23</f>
        <v>1.5</v>
      </c>
      <c r="M23" s="46">
        <f t="shared" ref="M23:M28" si="36">0.022*E23</f>
        <v>3.3</v>
      </c>
      <c r="N23" s="46">
        <v>0.95</v>
      </c>
      <c r="O23" s="54">
        <f t="shared" ref="O23:O28" si="37">U23*2.25</f>
        <v>35.639097195169455</v>
      </c>
      <c r="P23" s="54"/>
      <c r="Q23" s="57">
        <f t="shared" ref="Q23:Q28" si="38">O23*2</f>
        <v>71.278194390338911</v>
      </c>
      <c r="R23" s="57">
        <f t="shared" ref="R23:R28" si="39">Q23/E23</f>
        <v>0.47518796260225943</v>
      </c>
      <c r="S23" s="46" t="s">
        <v>50</v>
      </c>
      <c r="T23" s="38">
        <v>0.15</v>
      </c>
      <c r="U23" s="56">
        <f t="shared" ref="U23:U28" si="40">SUM(K23:N23)</f>
        <v>15.839598753408648</v>
      </c>
      <c r="W23" s="55">
        <f t="shared" ref="W23:W28" si="41">O23/E23</f>
        <v>0.23759398130112971</v>
      </c>
      <c r="X23" s="54"/>
      <c r="Y23" s="61"/>
    </row>
    <row r="24" spans="1:25" s="46" customFormat="1" ht="21.5" customHeight="1" x14ac:dyDescent="0.15">
      <c r="B24" s="60">
        <v>4</v>
      </c>
      <c r="C24" s="60">
        <v>0.75</v>
      </c>
      <c r="D24" s="60">
        <f>453/16*C24</f>
        <v>21.234375</v>
      </c>
      <c r="E24" s="60">
        <v>150</v>
      </c>
      <c r="F24" s="46">
        <f t="shared" si="32"/>
        <v>7.03125</v>
      </c>
      <c r="G24" s="46">
        <v>1.85</v>
      </c>
      <c r="H24" s="46">
        <v>0</v>
      </c>
      <c r="I24" s="59">
        <f t="shared" si="33"/>
        <v>2.1764705882352944</v>
      </c>
      <c r="J24" s="58"/>
      <c r="K24" s="56">
        <f t="shared" si="34"/>
        <v>15.303308823529413</v>
      </c>
      <c r="L24" s="56">
        <f t="shared" si="35"/>
        <v>1.5</v>
      </c>
      <c r="M24" s="46">
        <f t="shared" si="36"/>
        <v>3.3</v>
      </c>
      <c r="N24" s="46">
        <v>0.95</v>
      </c>
      <c r="O24" s="54">
        <f t="shared" si="37"/>
        <v>47.369944852941181</v>
      </c>
      <c r="P24" s="54"/>
      <c r="Q24" s="57">
        <f t="shared" si="38"/>
        <v>94.739889705882362</v>
      </c>
      <c r="R24" s="57">
        <f t="shared" si="39"/>
        <v>0.63159926470588246</v>
      </c>
      <c r="S24" s="46" t="s">
        <v>49</v>
      </c>
      <c r="T24" s="38">
        <v>0.18</v>
      </c>
      <c r="U24" s="56">
        <f t="shared" si="40"/>
        <v>21.053308823529413</v>
      </c>
      <c r="W24" s="55">
        <f t="shared" si="41"/>
        <v>0.31579963235294123</v>
      </c>
      <c r="X24" s="54"/>
    </row>
    <row r="25" spans="1:25" s="46" customFormat="1" ht="21.5" customHeight="1" x14ac:dyDescent="0.15">
      <c r="B25" s="60">
        <v>12</v>
      </c>
      <c r="C25" s="60">
        <v>1.25</v>
      </c>
      <c r="D25" s="60">
        <f>453/16*C25</f>
        <v>35.390625</v>
      </c>
      <c r="E25" s="60">
        <v>100</v>
      </c>
      <c r="F25" s="46">
        <f t="shared" si="32"/>
        <v>7.8125</v>
      </c>
      <c r="G25" s="46">
        <v>1.85</v>
      </c>
      <c r="H25" s="46">
        <v>0</v>
      </c>
      <c r="I25" s="59">
        <f t="shared" si="33"/>
        <v>2.1764705882352944</v>
      </c>
      <c r="J25" s="58"/>
      <c r="K25" s="56">
        <f t="shared" si="34"/>
        <v>17.003676470588239</v>
      </c>
      <c r="L25" s="56">
        <f t="shared" si="35"/>
        <v>1</v>
      </c>
      <c r="M25" s="46">
        <f t="shared" si="36"/>
        <v>2.1999999999999997</v>
      </c>
      <c r="N25" s="46">
        <v>0.95</v>
      </c>
      <c r="O25" s="54">
        <f t="shared" si="37"/>
        <v>47.595772058823535</v>
      </c>
      <c r="P25" s="54"/>
      <c r="Q25" s="57">
        <f t="shared" si="38"/>
        <v>95.191544117647069</v>
      </c>
      <c r="R25" s="57">
        <f t="shared" si="39"/>
        <v>0.95191544117647064</v>
      </c>
      <c r="S25" s="46" t="s">
        <v>40</v>
      </c>
      <c r="T25" s="38">
        <v>0.24</v>
      </c>
      <c r="U25" s="56">
        <f t="shared" si="40"/>
        <v>21.153676470588238</v>
      </c>
      <c r="W25" s="55">
        <f t="shared" si="41"/>
        <v>0.47595772058823532</v>
      </c>
      <c r="X25" s="54"/>
    </row>
    <row r="26" spans="1:25" s="46" customFormat="1" ht="21.5" customHeight="1" x14ac:dyDescent="0.15">
      <c r="B26" s="60">
        <v>12</v>
      </c>
      <c r="C26" s="60">
        <v>1.5</v>
      </c>
      <c r="D26" s="60">
        <f>453/16*C26</f>
        <v>42.46875</v>
      </c>
      <c r="E26" s="60">
        <v>100</v>
      </c>
      <c r="F26" s="46">
        <f t="shared" si="32"/>
        <v>9.375</v>
      </c>
      <c r="G26" s="46">
        <v>1.85</v>
      </c>
      <c r="H26" s="46">
        <v>0</v>
      </c>
      <c r="I26" s="59">
        <f t="shared" si="33"/>
        <v>2.1764705882352944</v>
      </c>
      <c r="J26" s="58"/>
      <c r="K26" s="56">
        <f t="shared" si="34"/>
        <v>20.404411764705884</v>
      </c>
      <c r="L26" s="56">
        <f t="shared" si="35"/>
        <v>1</v>
      </c>
      <c r="M26" s="46">
        <f t="shared" si="36"/>
        <v>2.1999999999999997</v>
      </c>
      <c r="N26" s="46">
        <v>0.95</v>
      </c>
      <c r="O26" s="54">
        <f t="shared" si="37"/>
        <v>55.247426470588238</v>
      </c>
      <c r="P26" s="54"/>
      <c r="Q26" s="57">
        <f t="shared" si="38"/>
        <v>110.49485294117648</v>
      </c>
      <c r="R26" s="57">
        <f t="shared" si="39"/>
        <v>1.1049485294117647</v>
      </c>
      <c r="S26" s="46" t="s">
        <v>40</v>
      </c>
      <c r="T26" s="38">
        <v>0.24</v>
      </c>
      <c r="U26" s="56">
        <f t="shared" si="40"/>
        <v>24.554411764705883</v>
      </c>
      <c r="W26" s="55">
        <f t="shared" si="41"/>
        <v>0.55247426470588235</v>
      </c>
      <c r="X26" s="54"/>
    </row>
    <row r="27" spans="1:25" s="46" customFormat="1" ht="21.5" customHeight="1" x14ac:dyDescent="0.15">
      <c r="B27" s="60">
        <v>12</v>
      </c>
      <c r="C27" s="60">
        <v>1.75</v>
      </c>
      <c r="D27" s="60">
        <f>453/16*C27</f>
        <v>49.546875</v>
      </c>
      <c r="E27" s="60">
        <v>100</v>
      </c>
      <c r="F27" s="46">
        <f t="shared" si="32"/>
        <v>10.9375</v>
      </c>
      <c r="G27" s="46">
        <v>1.85</v>
      </c>
      <c r="H27" s="46">
        <v>0</v>
      </c>
      <c r="I27" s="59">
        <f t="shared" si="33"/>
        <v>2.1764705882352944</v>
      </c>
      <c r="J27" s="58"/>
      <c r="K27" s="56">
        <f t="shared" si="34"/>
        <v>23.805147058823533</v>
      </c>
      <c r="L27" s="56">
        <f t="shared" si="35"/>
        <v>1</v>
      </c>
      <c r="M27" s="46">
        <f t="shared" si="36"/>
        <v>2.1999999999999997</v>
      </c>
      <c r="N27" s="46">
        <v>0.95</v>
      </c>
      <c r="O27" s="54">
        <f t="shared" si="37"/>
        <v>62.899080882352948</v>
      </c>
      <c r="P27" s="54"/>
      <c r="Q27" s="57">
        <f t="shared" si="38"/>
        <v>125.7981617647059</v>
      </c>
      <c r="R27" s="57">
        <f t="shared" si="39"/>
        <v>1.2579816176470588</v>
      </c>
      <c r="S27" s="46" t="s">
        <v>40</v>
      </c>
      <c r="T27" s="38">
        <v>0.24</v>
      </c>
      <c r="U27" s="56">
        <f t="shared" si="40"/>
        <v>27.955147058823531</v>
      </c>
      <c r="W27" s="55">
        <f t="shared" si="41"/>
        <v>0.62899080882352942</v>
      </c>
      <c r="X27" s="54"/>
    </row>
    <row r="28" spans="1:25" s="46" customFormat="1" ht="21.5" customHeight="1" x14ac:dyDescent="0.15">
      <c r="B28" s="60">
        <v>12</v>
      </c>
      <c r="C28" s="60">
        <v>2</v>
      </c>
      <c r="D28" s="60">
        <f>453/16*C28</f>
        <v>56.625</v>
      </c>
      <c r="E28" s="60">
        <v>100</v>
      </c>
      <c r="F28" s="46">
        <f t="shared" si="32"/>
        <v>12.5</v>
      </c>
      <c r="G28" s="46">
        <v>1.85</v>
      </c>
      <c r="H28" s="46">
        <v>0</v>
      </c>
      <c r="I28" s="59">
        <f t="shared" si="33"/>
        <v>2.1764705882352944</v>
      </c>
      <c r="J28" s="58"/>
      <c r="K28" s="56">
        <f t="shared" si="34"/>
        <v>27.205882352941181</v>
      </c>
      <c r="L28" s="56">
        <f t="shared" si="35"/>
        <v>1</v>
      </c>
      <c r="M28" s="46">
        <f t="shared" si="36"/>
        <v>2.1999999999999997</v>
      </c>
      <c r="N28" s="46">
        <v>0.95</v>
      </c>
      <c r="O28" s="54">
        <f t="shared" si="37"/>
        <v>70.550735294117658</v>
      </c>
      <c r="P28" s="54"/>
      <c r="Q28" s="57">
        <f t="shared" si="38"/>
        <v>141.10147058823532</v>
      </c>
      <c r="R28" s="57">
        <f t="shared" si="39"/>
        <v>1.4110147058823532</v>
      </c>
      <c r="S28" s="46" t="s">
        <v>40</v>
      </c>
      <c r="T28" s="38">
        <v>0.24</v>
      </c>
      <c r="U28" s="56">
        <f t="shared" si="40"/>
        <v>31.35588235294118</v>
      </c>
      <c r="W28" s="55">
        <f t="shared" si="41"/>
        <v>0.70550735294117661</v>
      </c>
      <c r="X28" s="54"/>
    </row>
    <row r="29" spans="1:25" s="45" customFormat="1" ht="21.5" customHeight="1" x14ac:dyDescent="0.15">
      <c r="A29" s="49"/>
      <c r="B29" s="53"/>
      <c r="C29" s="53"/>
      <c r="D29" s="53"/>
      <c r="E29" s="53"/>
      <c r="F29" s="49"/>
      <c r="G29" s="49"/>
      <c r="H29" s="49"/>
      <c r="I29" s="52"/>
      <c r="J29" s="52"/>
      <c r="K29" s="50"/>
      <c r="L29" s="50"/>
      <c r="M29" s="49"/>
      <c r="N29" s="49"/>
      <c r="O29" s="51"/>
      <c r="P29" s="51"/>
      <c r="Q29" s="51"/>
      <c r="R29" s="51"/>
      <c r="S29" s="49"/>
      <c r="T29" s="49"/>
      <c r="U29" s="50"/>
      <c r="V29" s="49"/>
      <c r="W29" s="48"/>
      <c r="X29" s="47"/>
      <c r="Y29" s="46"/>
    </row>
    <row r="30" spans="1:25" s="31" customFormat="1" x14ac:dyDescent="0.2">
      <c r="B30" s="37"/>
      <c r="C30" s="37"/>
      <c r="D30" s="37"/>
      <c r="E30" s="37"/>
      <c r="I30" s="36"/>
      <c r="J30" s="36"/>
      <c r="K30" s="35"/>
      <c r="L30" s="35"/>
      <c r="O30" s="32"/>
      <c r="P30" s="32"/>
      <c r="Q30" s="32"/>
      <c r="R30" s="32"/>
      <c r="U30" s="34"/>
      <c r="W30" s="33"/>
      <c r="X30" s="32"/>
      <c r="Y30" s="45"/>
    </row>
    <row r="31" spans="1:25" s="39" customFormat="1" ht="13.25" customHeight="1" x14ac:dyDescent="0.15">
      <c r="B31" s="44"/>
      <c r="C31" s="44"/>
      <c r="D31" s="44"/>
      <c r="E31" s="44"/>
      <c r="I31" s="43"/>
      <c r="J31" s="43"/>
      <c r="K31" s="42"/>
      <c r="L31" s="42"/>
      <c r="O31" s="40"/>
      <c r="P31" s="40"/>
      <c r="Q31" s="40"/>
      <c r="R31" s="40"/>
      <c r="U31" s="42"/>
      <c r="W31" s="41"/>
      <c r="X31" s="40"/>
      <c r="Y31" s="31"/>
    </row>
    <row r="32" spans="1:25" s="31" customFormat="1" x14ac:dyDescent="0.2">
      <c r="B32" s="37"/>
      <c r="C32" s="37"/>
      <c r="D32" s="37"/>
      <c r="E32" s="37"/>
      <c r="I32" s="36"/>
      <c r="J32" s="36"/>
      <c r="K32" s="35"/>
      <c r="L32" s="35"/>
      <c r="O32" s="32"/>
      <c r="P32" s="32"/>
      <c r="Q32" s="32"/>
      <c r="R32" s="32"/>
      <c r="U32" s="34"/>
      <c r="W32" s="33"/>
      <c r="X32" s="32"/>
    </row>
    <row r="33" spans="1:24" s="31" customFormat="1" x14ac:dyDescent="0.2">
      <c r="B33" s="37" t="s">
        <v>48</v>
      </c>
      <c r="C33" s="37" t="s">
        <v>47</v>
      </c>
      <c r="D33" s="37" t="s">
        <v>46</v>
      </c>
      <c r="E33" s="37" t="s">
        <v>45</v>
      </c>
      <c r="F33" s="31" t="s">
        <v>44</v>
      </c>
      <c r="G33" s="31" t="s">
        <v>43</v>
      </c>
      <c r="I33" s="36"/>
      <c r="J33" s="36"/>
      <c r="K33" s="35"/>
      <c r="L33" s="35"/>
      <c r="O33" s="32"/>
      <c r="P33" s="32"/>
      <c r="Q33" s="32"/>
      <c r="R33" s="32"/>
      <c r="U33" s="34"/>
      <c r="W33" s="33"/>
      <c r="X33" s="32"/>
    </row>
    <row r="34" spans="1:24" s="31" customFormat="1" x14ac:dyDescent="0.2">
      <c r="A34" s="38" t="s">
        <v>42</v>
      </c>
      <c r="B34" s="37">
        <v>4.9899999999999996E-3</v>
      </c>
      <c r="C34" s="37">
        <v>1.0999999999999999E-2</v>
      </c>
      <c r="D34" s="31">
        <v>2.3E-2</v>
      </c>
      <c r="E34" s="37">
        <v>5.5999999999999999E-3</v>
      </c>
      <c r="F34" s="31">
        <v>0.05</v>
      </c>
      <c r="G34" s="31">
        <v>0.05</v>
      </c>
      <c r="H34" s="31">
        <v>0.15</v>
      </c>
      <c r="I34" s="36"/>
      <c r="J34" s="36"/>
      <c r="K34" s="35"/>
      <c r="L34" s="35"/>
      <c r="O34" s="32"/>
      <c r="P34" s="32"/>
      <c r="Q34" s="32"/>
      <c r="R34" s="32"/>
      <c r="U34" s="34"/>
      <c r="W34" s="33"/>
      <c r="X34" s="32"/>
    </row>
    <row r="35" spans="1:24" s="31" customFormat="1" x14ac:dyDescent="0.2">
      <c r="A35" s="38" t="s">
        <v>41</v>
      </c>
      <c r="B35" s="37">
        <v>2</v>
      </c>
      <c r="C35" s="37">
        <v>2</v>
      </c>
      <c r="D35" s="37">
        <v>1</v>
      </c>
      <c r="E35" s="37">
        <v>1</v>
      </c>
      <c r="F35" s="31">
        <v>1</v>
      </c>
      <c r="I35" s="36"/>
      <c r="J35" s="36"/>
      <c r="K35" s="35"/>
      <c r="L35" s="35"/>
      <c r="O35" s="32"/>
      <c r="P35" s="32"/>
      <c r="Q35" s="32"/>
      <c r="R35" s="32"/>
      <c r="U35" s="34"/>
      <c r="W35" s="33"/>
      <c r="X35" s="32"/>
    </row>
    <row r="36" spans="1:24" s="31" customFormat="1" x14ac:dyDescent="0.2">
      <c r="A36" s="38"/>
      <c r="B36" s="37">
        <f>B34*B35</f>
        <v>9.9799999999999993E-3</v>
      </c>
      <c r="C36" s="37">
        <f>C34*C35</f>
        <v>2.1999999999999999E-2</v>
      </c>
      <c r="D36" s="37">
        <f>D34*D35</f>
        <v>2.3E-2</v>
      </c>
      <c r="E36" s="37">
        <f>E34*E35</f>
        <v>5.5999999999999999E-3</v>
      </c>
      <c r="F36" s="37">
        <f>F34*F35</f>
        <v>0.05</v>
      </c>
      <c r="G36" s="31">
        <v>7.0000000000000007E-2</v>
      </c>
      <c r="H36" s="31">
        <v>0.18</v>
      </c>
      <c r="I36" s="36"/>
      <c r="J36" s="36"/>
      <c r="K36" s="35"/>
      <c r="L36" s="35"/>
      <c r="O36" s="32"/>
      <c r="P36" s="32"/>
      <c r="Q36" s="32"/>
      <c r="R36" s="32"/>
      <c r="U36" s="34"/>
      <c r="W36" s="33"/>
      <c r="X36" s="32"/>
    </row>
    <row r="37" spans="1:24" s="31" customFormat="1" x14ac:dyDescent="0.2">
      <c r="I37" s="36"/>
      <c r="J37" s="36"/>
      <c r="K37" s="35"/>
      <c r="L37" s="35"/>
      <c r="O37" s="32"/>
      <c r="P37" s="32"/>
      <c r="Q37" s="32"/>
      <c r="R37" s="32"/>
      <c r="U37" s="34"/>
      <c r="W37" s="33"/>
      <c r="X37" s="32"/>
    </row>
    <row r="38" spans="1:24" s="31" customFormat="1" x14ac:dyDescent="0.2">
      <c r="A38" s="38" t="s">
        <v>40</v>
      </c>
      <c r="B38" s="37">
        <v>3</v>
      </c>
      <c r="C38" s="37">
        <v>3</v>
      </c>
      <c r="D38" s="37">
        <v>2</v>
      </c>
      <c r="E38" s="37">
        <v>4</v>
      </c>
      <c r="F38" s="31">
        <v>1</v>
      </c>
      <c r="I38" s="36"/>
      <c r="J38" s="36"/>
      <c r="K38" s="35"/>
      <c r="L38" s="35"/>
      <c r="O38" s="32"/>
      <c r="P38" s="32"/>
      <c r="Q38" s="32"/>
      <c r="R38" s="32"/>
      <c r="U38" s="34"/>
      <c r="W38" s="33"/>
      <c r="X38" s="32"/>
    </row>
    <row r="39" spans="1:24" s="31" customFormat="1" x14ac:dyDescent="0.2">
      <c r="A39" s="38"/>
      <c r="B39" s="37">
        <f>B34*B38</f>
        <v>1.4969999999999999E-2</v>
      </c>
      <c r="C39" s="37">
        <f>C34*C38</f>
        <v>3.3000000000000002E-2</v>
      </c>
      <c r="D39" s="37">
        <f>D34*D38</f>
        <v>4.5999999999999999E-2</v>
      </c>
      <c r="E39" s="37">
        <f>E34*E38</f>
        <v>2.24E-2</v>
      </c>
      <c r="F39" s="37">
        <f>F34*F38</f>
        <v>0.05</v>
      </c>
      <c r="G39" s="31">
        <v>0.08</v>
      </c>
      <c r="H39" s="31">
        <v>0.24</v>
      </c>
      <c r="I39" s="36"/>
      <c r="J39" s="36"/>
      <c r="K39" s="35"/>
      <c r="L39" s="35"/>
      <c r="O39" s="32"/>
      <c r="P39" s="32"/>
      <c r="Q39" s="32"/>
      <c r="R39" s="32"/>
      <c r="U39" s="34"/>
      <c r="W39" s="33"/>
      <c r="X39" s="32"/>
    </row>
    <row r="40" spans="1:24" s="31" customFormat="1" x14ac:dyDescent="0.2">
      <c r="A40" s="38"/>
      <c r="B40" s="37"/>
      <c r="C40" s="37"/>
      <c r="D40" s="37"/>
      <c r="E40" s="37"/>
      <c r="I40" s="36"/>
      <c r="J40" s="36"/>
      <c r="K40" s="35"/>
      <c r="L40" s="35"/>
      <c r="O40" s="32"/>
      <c r="P40" s="32"/>
      <c r="Q40" s="32"/>
      <c r="R40" s="32"/>
      <c r="U40" s="34"/>
      <c r="W40" s="33"/>
      <c r="X40" s="32"/>
    </row>
    <row r="41" spans="1:24" s="31" customFormat="1" x14ac:dyDescent="0.2">
      <c r="A41" s="38"/>
      <c r="B41" s="37"/>
      <c r="C41" s="37"/>
      <c r="D41" s="37"/>
      <c r="E41" s="37"/>
      <c r="I41" s="36"/>
      <c r="J41" s="36"/>
      <c r="K41" s="35"/>
      <c r="L41" s="35"/>
      <c r="O41" s="32"/>
      <c r="P41" s="32"/>
      <c r="Q41" s="32"/>
      <c r="R41" s="32"/>
      <c r="U41" s="34"/>
      <c r="W41" s="33"/>
      <c r="X41" s="32"/>
    </row>
    <row r="42" spans="1:24" s="31" customFormat="1" x14ac:dyDescent="0.2">
      <c r="B42" s="37"/>
      <c r="C42" s="37"/>
      <c r="D42" s="37"/>
      <c r="E42" s="37"/>
      <c r="I42" s="36"/>
      <c r="J42" s="36"/>
      <c r="K42" s="35"/>
      <c r="L42" s="35"/>
      <c r="O42" s="32"/>
      <c r="P42" s="32"/>
      <c r="Q42" s="32"/>
      <c r="R42" s="32"/>
      <c r="U42" s="34"/>
      <c r="W42" s="33"/>
      <c r="X42" s="32"/>
    </row>
    <row r="43" spans="1:24" s="31" customFormat="1" x14ac:dyDescent="0.2">
      <c r="B43" s="37"/>
      <c r="C43" s="37"/>
      <c r="D43" s="37"/>
      <c r="E43" s="37"/>
      <c r="I43" s="36"/>
      <c r="J43" s="36"/>
      <c r="K43" s="35"/>
      <c r="L43" s="35"/>
      <c r="O43" s="32"/>
      <c r="P43" s="32"/>
      <c r="Q43" s="32"/>
      <c r="R43" s="32"/>
      <c r="U43" s="34"/>
      <c r="W43" s="33"/>
      <c r="X43" s="32"/>
    </row>
    <row r="44" spans="1:24" s="31" customFormat="1" x14ac:dyDescent="0.2">
      <c r="B44" s="37"/>
      <c r="C44" s="37"/>
      <c r="D44" s="37"/>
      <c r="E44" s="37"/>
      <c r="I44" s="36"/>
      <c r="J44" s="36"/>
      <c r="K44" s="35"/>
      <c r="L44" s="35"/>
      <c r="O44" s="32"/>
      <c r="P44" s="32"/>
      <c r="Q44" s="32"/>
      <c r="R44" s="32"/>
      <c r="U44" s="34"/>
      <c r="W44" s="33"/>
      <c r="X44" s="32"/>
    </row>
    <row r="45" spans="1:24" s="31" customFormat="1" x14ac:dyDescent="0.2">
      <c r="B45" s="37"/>
      <c r="C45" s="37"/>
      <c r="D45" s="37"/>
      <c r="E45" s="37"/>
      <c r="I45" s="36"/>
      <c r="J45" s="36"/>
      <c r="K45" s="35"/>
      <c r="L45" s="35"/>
      <c r="O45" s="32"/>
      <c r="P45" s="32"/>
      <c r="Q45" s="32"/>
      <c r="R45" s="32"/>
      <c r="U45" s="34"/>
      <c r="W45" s="33"/>
      <c r="X45" s="32"/>
    </row>
    <row r="46" spans="1:24" s="31" customFormat="1" x14ac:dyDescent="0.2">
      <c r="B46" s="37"/>
      <c r="C46" s="37"/>
      <c r="D46" s="37"/>
      <c r="E46" s="37"/>
      <c r="I46" s="36"/>
      <c r="J46" s="36"/>
      <c r="K46" s="35"/>
      <c r="L46" s="35"/>
      <c r="O46" s="32"/>
      <c r="P46" s="32"/>
      <c r="Q46" s="32"/>
      <c r="R46" s="32"/>
      <c r="U46" s="34"/>
      <c r="W46" s="33"/>
      <c r="X46" s="32"/>
    </row>
    <row r="47" spans="1:24" s="31" customFormat="1" x14ac:dyDescent="0.2">
      <c r="B47" s="37"/>
      <c r="C47" s="37"/>
      <c r="D47" s="37"/>
      <c r="E47" s="37"/>
      <c r="I47" s="36"/>
      <c r="J47" s="36"/>
      <c r="K47" s="35"/>
      <c r="L47" s="35"/>
      <c r="O47" s="32"/>
      <c r="P47" s="32"/>
      <c r="Q47" s="32"/>
      <c r="R47" s="32"/>
      <c r="U47" s="34"/>
      <c r="W47" s="33"/>
      <c r="X47" s="32"/>
    </row>
    <row r="48" spans="1:24" s="31" customFormat="1" x14ac:dyDescent="0.2">
      <c r="B48" s="37"/>
      <c r="C48" s="37"/>
      <c r="D48" s="37"/>
      <c r="E48" s="37"/>
      <c r="I48" s="36"/>
      <c r="J48" s="36"/>
      <c r="K48" s="35"/>
      <c r="L48" s="35"/>
      <c r="O48" s="32"/>
      <c r="P48" s="32"/>
      <c r="Q48" s="32"/>
      <c r="R48" s="32"/>
      <c r="U48" s="34"/>
      <c r="W48" s="33"/>
      <c r="X48" s="32"/>
    </row>
    <row r="49" spans="2:24" s="31" customFormat="1" x14ac:dyDescent="0.2">
      <c r="B49" s="37"/>
      <c r="C49" s="37"/>
      <c r="D49" s="37"/>
      <c r="E49" s="37"/>
      <c r="I49" s="36"/>
      <c r="J49" s="36"/>
      <c r="K49" s="35"/>
      <c r="L49" s="35"/>
      <c r="O49" s="32"/>
      <c r="P49" s="32"/>
      <c r="Q49" s="32"/>
      <c r="R49" s="32"/>
      <c r="U49" s="34"/>
      <c r="W49" s="33"/>
      <c r="X49" s="32"/>
    </row>
    <row r="50" spans="2:24" s="31" customFormat="1" x14ac:dyDescent="0.2">
      <c r="B50" s="37"/>
      <c r="C50" s="37"/>
      <c r="D50" s="37"/>
      <c r="E50" s="37"/>
      <c r="I50" s="36"/>
      <c r="J50" s="36"/>
      <c r="K50" s="35"/>
      <c r="L50" s="35"/>
      <c r="O50" s="32"/>
      <c r="P50" s="32"/>
      <c r="Q50" s="32"/>
      <c r="R50" s="32"/>
      <c r="U50" s="34"/>
      <c r="W50" s="33"/>
      <c r="X50" s="32"/>
    </row>
    <row r="51" spans="2:24" s="31" customFormat="1" x14ac:dyDescent="0.2">
      <c r="B51" s="37"/>
      <c r="C51" s="37"/>
      <c r="D51" s="37"/>
      <c r="E51" s="37"/>
      <c r="I51" s="36"/>
      <c r="J51" s="36"/>
      <c r="K51" s="35"/>
      <c r="L51" s="35"/>
      <c r="O51" s="32"/>
      <c r="P51" s="32"/>
      <c r="Q51" s="32"/>
      <c r="R51" s="32"/>
      <c r="U51" s="34"/>
      <c r="W51" s="33"/>
      <c r="X51" s="32"/>
    </row>
    <row r="52" spans="2:24" s="31" customFormat="1" x14ac:dyDescent="0.2">
      <c r="B52" s="37"/>
      <c r="C52" s="37"/>
      <c r="D52" s="37"/>
      <c r="E52" s="37"/>
      <c r="I52" s="36"/>
      <c r="J52" s="36"/>
      <c r="K52" s="35"/>
      <c r="L52" s="35"/>
      <c r="O52" s="32"/>
      <c r="P52" s="32"/>
      <c r="Q52" s="32"/>
      <c r="R52" s="32"/>
      <c r="U52" s="34"/>
      <c r="W52" s="33"/>
      <c r="X52" s="32"/>
    </row>
    <row r="53" spans="2:24" s="31" customFormat="1" x14ac:dyDescent="0.2">
      <c r="B53" s="37"/>
      <c r="C53" s="37"/>
      <c r="D53" s="37"/>
      <c r="E53" s="37"/>
      <c r="I53" s="36"/>
      <c r="J53" s="36"/>
      <c r="K53" s="35"/>
      <c r="L53" s="35"/>
      <c r="O53" s="32"/>
      <c r="P53" s="32"/>
      <c r="Q53" s="32"/>
      <c r="R53" s="32"/>
      <c r="U53" s="34"/>
      <c r="W53" s="33"/>
      <c r="X53" s="32"/>
    </row>
    <row r="54" spans="2:24" s="31" customFormat="1" x14ac:dyDescent="0.2">
      <c r="B54" s="37"/>
      <c r="C54" s="37"/>
      <c r="D54" s="37"/>
      <c r="E54" s="37"/>
      <c r="I54" s="36"/>
      <c r="J54" s="36"/>
      <c r="K54" s="35"/>
      <c r="L54" s="35"/>
      <c r="O54" s="32"/>
      <c r="P54" s="32"/>
      <c r="Q54" s="32"/>
      <c r="R54" s="32"/>
      <c r="U54" s="34"/>
      <c r="W54" s="33"/>
      <c r="X54" s="32"/>
    </row>
    <row r="55" spans="2:24" s="31" customFormat="1" x14ac:dyDescent="0.2">
      <c r="B55" s="37"/>
      <c r="C55" s="37"/>
      <c r="D55" s="37"/>
      <c r="E55" s="37"/>
      <c r="I55" s="36"/>
      <c r="J55" s="36"/>
      <c r="K55" s="35"/>
      <c r="L55" s="35"/>
      <c r="O55" s="32"/>
      <c r="P55" s="32"/>
      <c r="Q55" s="32"/>
      <c r="R55" s="32"/>
      <c r="U55" s="34"/>
      <c r="W55" s="33"/>
      <c r="X55" s="32"/>
    </row>
    <row r="56" spans="2:24" s="31" customFormat="1" x14ac:dyDescent="0.2">
      <c r="B56" s="37"/>
      <c r="C56" s="37"/>
      <c r="D56" s="37"/>
      <c r="E56" s="37"/>
      <c r="I56" s="36"/>
      <c r="J56" s="36"/>
      <c r="K56" s="35"/>
      <c r="L56" s="35"/>
      <c r="O56" s="32"/>
      <c r="P56" s="32"/>
      <c r="Q56" s="32"/>
      <c r="R56" s="32"/>
      <c r="U56" s="34"/>
      <c r="W56" s="33"/>
      <c r="X56" s="32"/>
    </row>
    <row r="57" spans="2:24" s="31" customFormat="1" x14ac:dyDescent="0.2">
      <c r="B57" s="37"/>
      <c r="C57" s="37"/>
      <c r="D57" s="37"/>
      <c r="E57" s="37"/>
      <c r="I57" s="36"/>
      <c r="J57" s="36"/>
      <c r="K57" s="35"/>
      <c r="L57" s="35"/>
      <c r="O57" s="32"/>
      <c r="P57" s="32"/>
      <c r="Q57" s="32"/>
      <c r="R57" s="32"/>
      <c r="U57" s="34"/>
      <c r="W57" s="33"/>
      <c r="X57" s="32"/>
    </row>
    <row r="58" spans="2:24" s="31" customFormat="1" x14ac:dyDescent="0.2">
      <c r="B58" s="37"/>
      <c r="C58" s="37"/>
      <c r="D58" s="37"/>
      <c r="E58" s="37"/>
      <c r="I58" s="36"/>
      <c r="J58" s="36"/>
      <c r="K58" s="35"/>
      <c r="L58" s="35"/>
      <c r="O58" s="32"/>
      <c r="P58" s="32"/>
      <c r="Q58" s="32"/>
      <c r="R58" s="32"/>
      <c r="U58" s="34"/>
      <c r="W58" s="33"/>
      <c r="X58" s="32"/>
    </row>
    <row r="59" spans="2:24" s="31" customFormat="1" x14ac:dyDescent="0.2">
      <c r="B59" s="37"/>
      <c r="C59" s="37"/>
      <c r="D59" s="37"/>
      <c r="E59" s="37"/>
      <c r="I59" s="36"/>
      <c r="J59" s="36"/>
      <c r="K59" s="35"/>
      <c r="L59" s="35"/>
      <c r="O59" s="32"/>
      <c r="P59" s="32"/>
      <c r="Q59" s="32"/>
      <c r="R59" s="32"/>
      <c r="U59" s="34"/>
      <c r="W59" s="33"/>
      <c r="X59" s="32"/>
    </row>
    <row r="60" spans="2:24" s="31" customFormat="1" x14ac:dyDescent="0.2">
      <c r="B60" s="37"/>
      <c r="C60" s="37"/>
      <c r="D60" s="37"/>
      <c r="E60" s="37"/>
      <c r="I60" s="36"/>
      <c r="J60" s="36"/>
      <c r="K60" s="35"/>
      <c r="L60" s="35"/>
      <c r="O60" s="32"/>
      <c r="P60" s="32"/>
      <c r="Q60" s="32"/>
      <c r="R60" s="32"/>
      <c r="U60" s="34"/>
      <c r="W60" s="33"/>
      <c r="X60" s="32"/>
    </row>
    <row r="61" spans="2:24" s="31" customFormat="1" x14ac:dyDescent="0.2">
      <c r="B61" s="37"/>
      <c r="C61" s="37"/>
      <c r="D61" s="37"/>
      <c r="E61" s="37"/>
      <c r="I61" s="36"/>
      <c r="J61" s="36"/>
      <c r="K61" s="35"/>
      <c r="L61" s="35"/>
      <c r="O61" s="32"/>
      <c r="P61" s="32"/>
      <c r="Q61" s="32"/>
      <c r="R61" s="32"/>
      <c r="U61" s="34"/>
      <c r="W61" s="33"/>
      <c r="X61" s="32"/>
    </row>
    <row r="62" spans="2:24" s="31" customFormat="1" x14ac:dyDescent="0.2">
      <c r="B62" s="37"/>
      <c r="C62" s="37"/>
      <c r="D62" s="37"/>
      <c r="E62" s="37"/>
      <c r="I62" s="36"/>
      <c r="J62" s="36"/>
      <c r="K62" s="35"/>
      <c r="L62" s="35"/>
      <c r="O62" s="32"/>
      <c r="P62" s="32"/>
      <c r="Q62" s="32"/>
      <c r="R62" s="32"/>
      <c r="U62" s="34"/>
      <c r="W62" s="33"/>
      <c r="X62" s="32"/>
    </row>
    <row r="63" spans="2:24" s="31" customFormat="1" x14ac:dyDescent="0.2">
      <c r="B63" s="37"/>
      <c r="C63" s="37"/>
      <c r="D63" s="37"/>
      <c r="E63" s="37"/>
      <c r="I63" s="36"/>
      <c r="J63" s="36"/>
      <c r="K63" s="35"/>
      <c r="L63" s="35"/>
      <c r="O63" s="32"/>
      <c r="P63" s="32"/>
      <c r="Q63" s="32"/>
      <c r="R63" s="32"/>
      <c r="U63" s="34"/>
      <c r="W63" s="33"/>
      <c r="X63" s="32"/>
    </row>
    <row r="64" spans="2:24" s="31" customFormat="1" x14ac:dyDescent="0.2">
      <c r="B64" s="37"/>
      <c r="C64" s="37"/>
      <c r="D64" s="37"/>
      <c r="E64" s="37"/>
      <c r="I64" s="36"/>
      <c r="J64" s="36"/>
      <c r="K64" s="35"/>
      <c r="L64" s="35"/>
      <c r="O64" s="32"/>
      <c r="P64" s="32"/>
      <c r="Q64" s="32"/>
      <c r="R64" s="32"/>
      <c r="U64" s="34"/>
      <c r="W64" s="33"/>
      <c r="X64" s="32"/>
    </row>
    <row r="65" spans="2:25" s="31" customFormat="1" x14ac:dyDescent="0.2">
      <c r="B65" s="37"/>
      <c r="C65" s="37"/>
      <c r="D65" s="37"/>
      <c r="E65" s="37"/>
      <c r="I65" s="36"/>
      <c r="J65" s="36"/>
      <c r="K65" s="35"/>
      <c r="L65" s="35"/>
      <c r="O65" s="32"/>
      <c r="P65" s="32"/>
      <c r="Q65" s="32"/>
      <c r="R65" s="32"/>
      <c r="U65" s="34"/>
      <c r="W65" s="33"/>
      <c r="X65" s="32"/>
    </row>
    <row r="66" spans="2:25" s="31" customFormat="1" x14ac:dyDescent="0.2">
      <c r="B66" s="37"/>
      <c r="C66" s="37"/>
      <c r="D66" s="37"/>
      <c r="E66" s="37"/>
      <c r="I66" s="36"/>
      <c r="J66" s="36"/>
      <c r="K66" s="35"/>
      <c r="L66" s="35"/>
      <c r="O66" s="32"/>
      <c r="P66" s="32"/>
      <c r="Q66" s="32"/>
      <c r="R66" s="32"/>
      <c r="U66" s="34"/>
      <c r="W66" s="33"/>
      <c r="X66" s="32"/>
    </row>
    <row r="67" spans="2:25" s="31" customFormat="1" x14ac:dyDescent="0.2">
      <c r="B67" s="37"/>
      <c r="C67" s="37"/>
      <c r="D67" s="37"/>
      <c r="E67" s="37"/>
      <c r="I67" s="36"/>
      <c r="J67" s="36"/>
      <c r="K67" s="35"/>
      <c r="L67" s="35"/>
      <c r="O67" s="32"/>
      <c r="P67" s="32"/>
      <c r="Q67" s="32"/>
      <c r="R67" s="32"/>
      <c r="U67" s="34"/>
      <c r="W67" s="33"/>
      <c r="X67" s="32"/>
    </row>
    <row r="68" spans="2:25" s="31" customFormat="1" x14ac:dyDescent="0.2">
      <c r="B68" s="37"/>
      <c r="C68" s="37"/>
      <c r="D68" s="37"/>
      <c r="E68" s="37"/>
      <c r="I68" s="36"/>
      <c r="J68" s="36"/>
      <c r="K68" s="35"/>
      <c r="L68" s="35"/>
      <c r="O68" s="32"/>
      <c r="P68" s="32"/>
      <c r="Q68" s="32"/>
      <c r="R68" s="32"/>
      <c r="U68" s="34"/>
      <c r="W68" s="33"/>
      <c r="X68" s="32"/>
    </row>
    <row r="69" spans="2:25" s="31" customFormat="1" x14ac:dyDescent="0.2">
      <c r="B69" s="37"/>
      <c r="C69" s="37"/>
      <c r="D69" s="37"/>
      <c r="E69" s="37"/>
      <c r="I69" s="36"/>
      <c r="J69" s="36"/>
      <c r="K69" s="35"/>
      <c r="L69" s="35"/>
      <c r="O69" s="32"/>
      <c r="P69" s="32"/>
      <c r="Q69" s="32"/>
      <c r="R69" s="32"/>
      <c r="U69" s="34"/>
      <c r="W69" s="33"/>
      <c r="X69" s="32"/>
    </row>
    <row r="70" spans="2:25" s="31" customFormat="1" x14ac:dyDescent="0.2">
      <c r="B70" s="37"/>
      <c r="C70" s="37"/>
      <c r="D70" s="37"/>
      <c r="E70" s="37"/>
      <c r="I70" s="36"/>
      <c r="J70" s="36"/>
      <c r="K70" s="35"/>
      <c r="L70" s="35"/>
      <c r="O70" s="32"/>
      <c r="P70" s="32"/>
      <c r="Q70" s="32"/>
      <c r="R70" s="32"/>
      <c r="U70" s="34"/>
      <c r="W70" s="33"/>
      <c r="X70" s="32"/>
    </row>
    <row r="71" spans="2:25" s="31" customFormat="1" x14ac:dyDescent="0.2">
      <c r="B71" s="37"/>
      <c r="C71" s="37"/>
      <c r="D71" s="37"/>
      <c r="E71" s="37"/>
      <c r="I71" s="36"/>
      <c r="J71" s="36"/>
      <c r="K71" s="35"/>
      <c r="L71" s="35"/>
      <c r="O71" s="32"/>
      <c r="P71" s="32"/>
      <c r="Q71" s="32"/>
      <c r="R71" s="32"/>
      <c r="U71" s="34"/>
      <c r="W71" s="33"/>
      <c r="X71" s="32"/>
    </row>
    <row r="72" spans="2:25" x14ac:dyDescent="0.2">
      <c r="Y72" s="31"/>
    </row>
  </sheetData>
  <pageMargins left="0.25" right="0.25" top="0.75" bottom="0.75" header="0.3" footer="0.3"/>
  <pageSetup orientation="portrait" horizontalDpi="0" verticalDpi="0" r:id="rId1"/>
  <headerFooter>
    <oddHeader>&amp;LHotel Filter Packs Price Sheet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Hotel K-Cup</vt:lpstr>
      <vt:lpstr>Hotel Filter</vt:lpstr>
      <vt:lpstr>'Hotel K-Cup'!Print_Area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Arthur</dc:creator>
  <cp:lastModifiedBy>Adam Arthur</cp:lastModifiedBy>
  <dcterms:created xsi:type="dcterms:W3CDTF">2018-11-07T01:49:27Z</dcterms:created>
  <dcterms:modified xsi:type="dcterms:W3CDTF">2018-11-07T02:08:14Z</dcterms:modified>
</cp:coreProperties>
</file>