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272" documentId="13_ncr:1_{2D5F2B9E-4B5A-4E83-9EA4-72EB51873DAC}" xr6:coauthVersionLast="47" xr6:coauthVersionMax="47" xr10:uidLastSave="{F79B7571-B95C-4B59-824F-2C095B72FEFD}"/>
  <bookViews>
    <workbookView xWindow="-120" yWindow="-120" windowWidth="20730" windowHeight="11160" activeTab="1" xr2:uid="{00000000-000D-0000-FFFF-FFFF00000000}"/>
  </bookViews>
  <sheets>
    <sheet name="E-Bus VN" sheetId="1" r:id="rId1"/>
    <sheet name="ICE-Bus VN" sheetId="34" r:id="rId2"/>
    <sheet name="E-Truck VN" sheetId="32" r:id="rId3"/>
    <sheet name="ICE-Truck VN" sheetId="35" r:id="rId4"/>
    <sheet name="E-Kargo VN" sheetId="33" r:id="rId5"/>
    <sheet name="ICE-Kargo VN" sheetId="36" r:id="rId6"/>
    <sheet name="Sensitivity" sheetId="37" r:id="rId7"/>
    <sheet name="Description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9" i="36" l="1"/>
  <c r="AA74" i="33"/>
  <c r="AA76" i="33"/>
  <c r="X59" i="35"/>
  <c r="AA74" i="32"/>
  <c r="X59" i="34"/>
  <c r="X60" i="34"/>
  <c r="X61" i="34"/>
  <c r="AA74" i="1"/>
  <c r="T34" i="37"/>
  <c r="T19" i="37"/>
  <c r="T4" i="37"/>
  <c r="H19" i="37"/>
  <c r="Y12" i="36"/>
  <c r="X12" i="36"/>
  <c r="Y12" i="35"/>
  <c r="X12" i="35"/>
  <c r="Z64" i="36"/>
  <c r="AL32" i="36" s="1"/>
  <c r="T45" i="37" s="1"/>
  <c r="Z63" i="36"/>
  <c r="AL31" i="36" s="1"/>
  <c r="T44" i="37" s="1"/>
  <c r="Z62" i="36"/>
  <c r="AL30" i="36" s="1"/>
  <c r="T43" i="37" s="1"/>
  <c r="Z61" i="36"/>
  <c r="AL29" i="36" s="1"/>
  <c r="T42" i="37" s="1"/>
  <c r="W61" i="36"/>
  <c r="W62" i="36" s="1"/>
  <c r="Z60" i="36"/>
  <c r="AL28" i="36" s="1"/>
  <c r="T41" i="37" s="1"/>
  <c r="W60" i="36"/>
  <c r="X60" i="36" s="1"/>
  <c r="Z59" i="36"/>
  <c r="AL27" i="36" s="1"/>
  <c r="T40" i="37" s="1"/>
  <c r="Z58" i="36"/>
  <c r="AL26" i="36" s="1"/>
  <c r="T39" i="37" s="1"/>
  <c r="W58" i="36"/>
  <c r="X58" i="36" s="1"/>
  <c r="Z57" i="36"/>
  <c r="AL25" i="36" s="1"/>
  <c r="T38" i="37" s="1"/>
  <c r="Z56" i="36"/>
  <c r="AL24" i="36" s="1"/>
  <c r="T37" i="37" s="1"/>
  <c r="Z55" i="36"/>
  <c r="AL23" i="36" s="1"/>
  <c r="T36" i="37" s="1"/>
  <c r="Z54" i="36"/>
  <c r="AL22" i="36" s="1"/>
  <c r="T35" i="37" s="1"/>
  <c r="Z64" i="35"/>
  <c r="AL32" i="35" s="1"/>
  <c r="T30" i="37" s="1"/>
  <c r="Z63" i="35"/>
  <c r="AL31" i="35" s="1"/>
  <c r="T29" i="37" s="1"/>
  <c r="Z62" i="35"/>
  <c r="AL30" i="35" s="1"/>
  <c r="T28" i="37" s="1"/>
  <c r="Z61" i="35"/>
  <c r="AL29" i="35" s="1"/>
  <c r="T27" i="37" s="1"/>
  <c r="Z60" i="35"/>
  <c r="AL28" i="35" s="1"/>
  <c r="T26" i="37" s="1"/>
  <c r="W60" i="35"/>
  <c r="X60" i="35" s="1"/>
  <c r="Z59" i="35"/>
  <c r="AL27" i="35" s="1"/>
  <c r="T25" i="37" s="1"/>
  <c r="Z58" i="35"/>
  <c r="AL26" i="35" s="1"/>
  <c r="T24" i="37" s="1"/>
  <c r="W58" i="35"/>
  <c r="X58" i="35" s="1"/>
  <c r="Z57" i="35"/>
  <c r="AL25" i="35" s="1"/>
  <c r="T23" i="37" s="1"/>
  <c r="Z56" i="35"/>
  <c r="AL24" i="35" s="1"/>
  <c r="T22" i="37" s="1"/>
  <c r="Z55" i="35"/>
  <c r="AL23" i="35" s="1"/>
  <c r="T21" i="37" s="1"/>
  <c r="Z54" i="35"/>
  <c r="AL22" i="35" s="1"/>
  <c r="T20" i="37" s="1"/>
  <c r="Y12" i="34"/>
  <c r="X12" i="34"/>
  <c r="Z55" i="34"/>
  <c r="AL23" i="34" s="1"/>
  <c r="T6" i="37" s="1"/>
  <c r="Z56" i="34"/>
  <c r="AL24" i="34" s="1"/>
  <c r="T7" i="37" s="1"/>
  <c r="Z57" i="34"/>
  <c r="AL25" i="34" s="1"/>
  <c r="T8" i="37" s="1"/>
  <c r="Z58" i="34"/>
  <c r="AL26" i="34" s="1"/>
  <c r="T9" i="37" s="1"/>
  <c r="Z59" i="34"/>
  <c r="AL27" i="34" s="1"/>
  <c r="T10" i="37" s="1"/>
  <c r="Z60" i="34"/>
  <c r="AL28" i="34" s="1"/>
  <c r="T11" i="37" s="1"/>
  <c r="Z61" i="34"/>
  <c r="AL29" i="34" s="1"/>
  <c r="T12" i="37" s="1"/>
  <c r="Z62" i="34"/>
  <c r="AL30" i="34" s="1"/>
  <c r="T13" i="37" s="1"/>
  <c r="Z63" i="34"/>
  <c r="AL31" i="34" s="1"/>
  <c r="T14" i="37" s="1"/>
  <c r="Z64" i="34"/>
  <c r="AL32" i="34" s="1"/>
  <c r="T15" i="37" s="1"/>
  <c r="Z54" i="34"/>
  <c r="AL22" i="34" s="1"/>
  <c r="T5" i="37" s="1"/>
  <c r="W60" i="34"/>
  <c r="W61" i="34" s="1"/>
  <c r="W58" i="34"/>
  <c r="X58" i="34" s="1"/>
  <c r="W57" i="34"/>
  <c r="X57" i="34" s="1"/>
  <c r="W56" i="34"/>
  <c r="X56" i="34" s="1"/>
  <c r="AP21" i="33"/>
  <c r="H34" i="37" s="1"/>
  <c r="AP21" i="32"/>
  <c r="AA14" i="33"/>
  <c r="AA14" i="32"/>
  <c r="AC79" i="33"/>
  <c r="AP32" i="33" s="1"/>
  <c r="H45" i="37" s="1"/>
  <c r="AC78" i="33"/>
  <c r="AP31" i="33" s="1"/>
  <c r="H44" i="37" s="1"/>
  <c r="AC77" i="33"/>
  <c r="AP30" i="33" s="1"/>
  <c r="H43" i="37" s="1"/>
  <c r="AC76" i="33"/>
  <c r="AP29" i="33" s="1"/>
  <c r="H42" i="37" s="1"/>
  <c r="AC75" i="33"/>
  <c r="AP28" i="33" s="1"/>
  <c r="H41" i="37" s="1"/>
  <c r="Z75" i="33"/>
  <c r="Z76" i="33" s="1"/>
  <c r="AC74" i="33"/>
  <c r="AP27" i="33" s="1"/>
  <c r="H40" i="37" s="1"/>
  <c r="AC73" i="33"/>
  <c r="AP26" i="33" s="1"/>
  <c r="H39" i="37" s="1"/>
  <c r="Z73" i="33"/>
  <c r="AA73" i="33" s="1"/>
  <c r="AC72" i="33"/>
  <c r="AP25" i="33" s="1"/>
  <c r="H38" i="37" s="1"/>
  <c r="AC71" i="33"/>
  <c r="AP24" i="33" s="1"/>
  <c r="H37" i="37" s="1"/>
  <c r="AC70" i="33"/>
  <c r="AP23" i="33" s="1"/>
  <c r="H36" i="37" s="1"/>
  <c r="AC69" i="33"/>
  <c r="AP22" i="33" s="1"/>
  <c r="H35" i="37" s="1"/>
  <c r="AC79" i="32"/>
  <c r="AP32" i="32" s="1"/>
  <c r="H30" i="37" s="1"/>
  <c r="AC78" i="32"/>
  <c r="AP31" i="32" s="1"/>
  <c r="H29" i="37" s="1"/>
  <c r="AC77" i="32"/>
  <c r="AP30" i="32" s="1"/>
  <c r="H28" i="37" s="1"/>
  <c r="AC76" i="32"/>
  <c r="AP29" i="32" s="1"/>
  <c r="H27" i="37" s="1"/>
  <c r="AC75" i="32"/>
  <c r="AP28" i="32" s="1"/>
  <c r="H26" i="37" s="1"/>
  <c r="Z75" i="32"/>
  <c r="Z76" i="32" s="1"/>
  <c r="AC74" i="32"/>
  <c r="AP27" i="32" s="1"/>
  <c r="H25" i="37" s="1"/>
  <c r="AC73" i="32"/>
  <c r="AP26" i="32" s="1"/>
  <c r="H24" i="37" s="1"/>
  <c r="Z73" i="32"/>
  <c r="AA73" i="32" s="1"/>
  <c r="AC72" i="32"/>
  <c r="AP25" i="32" s="1"/>
  <c r="H23" i="37" s="1"/>
  <c r="AC71" i="32"/>
  <c r="AP24" i="32" s="1"/>
  <c r="H22" i="37" s="1"/>
  <c r="AC70" i="32"/>
  <c r="AP23" i="32" s="1"/>
  <c r="H21" i="37" s="1"/>
  <c r="AC69" i="32"/>
  <c r="AP22" i="32" s="1"/>
  <c r="H20" i="37" s="1"/>
  <c r="AP21" i="1"/>
  <c r="H4" i="37" s="1"/>
  <c r="AA14" i="1"/>
  <c r="AC70" i="1"/>
  <c r="AP23" i="1" s="1"/>
  <c r="H6" i="37" s="1"/>
  <c r="AC71" i="1"/>
  <c r="AP24" i="1" s="1"/>
  <c r="H7" i="37" s="1"/>
  <c r="AC72" i="1"/>
  <c r="AP25" i="1" s="1"/>
  <c r="H8" i="37" s="1"/>
  <c r="AC73" i="1"/>
  <c r="AP26" i="1" s="1"/>
  <c r="H9" i="37" s="1"/>
  <c r="AC74" i="1"/>
  <c r="AP27" i="1" s="1"/>
  <c r="H10" i="37" s="1"/>
  <c r="AC75" i="1"/>
  <c r="AP28" i="1" s="1"/>
  <c r="H11" i="37" s="1"/>
  <c r="AC76" i="1"/>
  <c r="AP29" i="1" s="1"/>
  <c r="H12" i="37" s="1"/>
  <c r="AC77" i="1"/>
  <c r="AP30" i="1" s="1"/>
  <c r="H13" i="37" s="1"/>
  <c r="AC78" i="1"/>
  <c r="AP31" i="1" s="1"/>
  <c r="H14" i="37" s="1"/>
  <c r="AC79" i="1"/>
  <c r="AP32" i="1" s="1"/>
  <c r="H15" i="37" s="1"/>
  <c r="AC69" i="1"/>
  <c r="AP22" i="1" s="1"/>
  <c r="H5" i="37" s="1"/>
  <c r="W63" i="36" l="1"/>
  <c r="X63" i="36" s="1"/>
  <c r="X62" i="36"/>
  <c r="AA76" i="32"/>
  <c r="Z77" i="32"/>
  <c r="W61" i="35"/>
  <c r="AA75" i="32"/>
  <c r="X61" i="36"/>
  <c r="AA75" i="33"/>
  <c r="W64" i="36"/>
  <c r="X64" i="36" s="1"/>
  <c r="W57" i="36"/>
  <c r="X57" i="36" s="1"/>
  <c r="W57" i="35"/>
  <c r="X57" i="35" s="1"/>
  <c r="W62" i="34"/>
  <c r="X62" i="34" s="1"/>
  <c r="W55" i="34"/>
  <c r="X55" i="34" s="1"/>
  <c r="Z77" i="33"/>
  <c r="AA77" i="33" s="1"/>
  <c r="Z72" i="33"/>
  <c r="AA72" i="33" s="1"/>
  <c r="Z72" i="32"/>
  <c r="AA72" i="32" s="1"/>
  <c r="X61" i="35" l="1"/>
  <c r="W62" i="35"/>
  <c r="Z78" i="32"/>
  <c r="AA77" i="32"/>
  <c r="W56" i="36"/>
  <c r="X56" i="36" s="1"/>
  <c r="W56" i="35"/>
  <c r="X56" i="35" s="1"/>
  <c r="W54" i="34"/>
  <c r="X54" i="34" s="1"/>
  <c r="W63" i="34"/>
  <c r="X63" i="34" s="1"/>
  <c r="Z71" i="33"/>
  <c r="AA71" i="33" s="1"/>
  <c r="Z78" i="33"/>
  <c r="AA78" i="33" s="1"/>
  <c r="Z71" i="32"/>
  <c r="AA71" i="32" s="1"/>
  <c r="AA78" i="32" l="1"/>
  <c r="Z79" i="32"/>
  <c r="AA79" i="32" s="1"/>
  <c r="W63" i="35"/>
  <c r="X62" i="35"/>
  <c r="W55" i="36"/>
  <c r="X55" i="36" s="1"/>
  <c r="W55" i="35"/>
  <c r="X55" i="35" s="1"/>
  <c r="W64" i="34"/>
  <c r="X64" i="34" s="1"/>
  <c r="Z79" i="33"/>
  <c r="AA79" i="33" s="1"/>
  <c r="Z70" i="33"/>
  <c r="AA70" i="33" s="1"/>
  <c r="Z70" i="32"/>
  <c r="AA70" i="32" s="1"/>
  <c r="X63" i="35" l="1"/>
  <c r="W64" i="35"/>
  <c r="X64" i="35" s="1"/>
  <c r="W54" i="36"/>
  <c r="X54" i="36" s="1"/>
  <c r="W54" i="35"/>
  <c r="X54" i="35" s="1"/>
  <c r="Z69" i="33"/>
  <c r="AA69" i="33" s="1"/>
  <c r="Z69" i="32"/>
  <c r="AA69" i="32" s="1"/>
  <c r="Z75" i="1" l="1"/>
  <c r="Z73" i="1"/>
  <c r="AA73" i="1" s="1"/>
  <c r="Z76" i="1" l="1"/>
  <c r="AA75" i="1"/>
  <c r="Z72" i="1"/>
  <c r="Z77" i="1" l="1"/>
  <c r="AA76" i="1"/>
  <c r="Z71" i="1"/>
  <c r="AA72" i="1"/>
  <c r="F36" i="1"/>
  <c r="O35" i="37"/>
  <c r="O36" i="37"/>
  <c r="O37" i="37"/>
  <c r="O38" i="37"/>
  <c r="O39" i="37"/>
  <c r="O40" i="37"/>
  <c r="O41" i="37"/>
  <c r="O42" i="37"/>
  <c r="O43" i="37"/>
  <c r="O44" i="37"/>
  <c r="O45" i="37"/>
  <c r="O20" i="37"/>
  <c r="O21" i="37"/>
  <c r="O22" i="37"/>
  <c r="O23" i="37"/>
  <c r="O24" i="37"/>
  <c r="O25" i="37"/>
  <c r="O26" i="37"/>
  <c r="O27" i="37"/>
  <c r="O28" i="37"/>
  <c r="O29" i="37"/>
  <c r="O30" i="37"/>
  <c r="O5" i="37"/>
  <c r="O6" i="37"/>
  <c r="O7" i="37"/>
  <c r="O8" i="37"/>
  <c r="O9" i="37"/>
  <c r="O10" i="37"/>
  <c r="O11" i="37"/>
  <c r="O12" i="37"/>
  <c r="O13" i="37"/>
  <c r="O14" i="37"/>
  <c r="O15" i="37"/>
  <c r="B35" i="37"/>
  <c r="B36" i="37"/>
  <c r="B37" i="37"/>
  <c r="B38" i="37"/>
  <c r="B39" i="37"/>
  <c r="B40" i="37"/>
  <c r="B41" i="37"/>
  <c r="B42" i="37"/>
  <c r="B43" i="37"/>
  <c r="B44" i="37"/>
  <c r="B45" i="37"/>
  <c r="B20" i="37"/>
  <c r="B21" i="37"/>
  <c r="B22" i="37"/>
  <c r="B23" i="37"/>
  <c r="B24" i="37"/>
  <c r="B25" i="37"/>
  <c r="B26" i="37"/>
  <c r="B27" i="37"/>
  <c r="B28" i="37"/>
  <c r="B29" i="37"/>
  <c r="B30" i="37"/>
  <c r="B5" i="37"/>
  <c r="B6" i="37"/>
  <c r="B7" i="37"/>
  <c r="B8" i="37"/>
  <c r="B9" i="37"/>
  <c r="B10" i="37"/>
  <c r="B11" i="37"/>
  <c r="B12" i="37"/>
  <c r="B13" i="37"/>
  <c r="B14" i="37"/>
  <c r="B15" i="37"/>
  <c r="Z70" i="1" l="1"/>
  <c r="AA71" i="1"/>
  <c r="Z78" i="1"/>
  <c r="AA77" i="1"/>
  <c r="AA13" i="32"/>
  <c r="AH64" i="33"/>
  <c r="AH63" i="33"/>
  <c r="AH62" i="33"/>
  <c r="AH61" i="33"/>
  <c r="AH60" i="33"/>
  <c r="AE60" i="33"/>
  <c r="AE61" i="33" s="1"/>
  <c r="AH59" i="33"/>
  <c r="AF59" i="33"/>
  <c r="AH58" i="33"/>
  <c r="AE58" i="33"/>
  <c r="AE57" i="33" s="1"/>
  <c r="AE56" i="33" s="1"/>
  <c r="AH57" i="33"/>
  <c r="AH56" i="33"/>
  <c r="AH55" i="33"/>
  <c r="AH54" i="33"/>
  <c r="AH64" i="32"/>
  <c r="AH63" i="32"/>
  <c r="AH62" i="32"/>
  <c r="AH61" i="32"/>
  <c r="AH60" i="32"/>
  <c r="AF60" i="32"/>
  <c r="AE60" i="32"/>
  <c r="AE61" i="32" s="1"/>
  <c r="AH59" i="32"/>
  <c r="AF59" i="32"/>
  <c r="AH58" i="32"/>
  <c r="AE58" i="32"/>
  <c r="AF58" i="32" s="1"/>
  <c r="AH57" i="32"/>
  <c r="AH56" i="32"/>
  <c r="AH55" i="32"/>
  <c r="AH54" i="32"/>
  <c r="AF56" i="1"/>
  <c r="AF58" i="1"/>
  <c r="AF59" i="1"/>
  <c r="AF61" i="1"/>
  <c r="AH55" i="1"/>
  <c r="AH56" i="1"/>
  <c r="AH57" i="1"/>
  <c r="AH58" i="1"/>
  <c r="AH59" i="1"/>
  <c r="AH60" i="1"/>
  <c r="AH61" i="1"/>
  <c r="AH62" i="1"/>
  <c r="AH63" i="1"/>
  <c r="AH64" i="1"/>
  <c r="AH54" i="1"/>
  <c r="AE60" i="1"/>
  <c r="AE61" i="1" s="1"/>
  <c r="AE58" i="1"/>
  <c r="AE57" i="1"/>
  <c r="AE56" i="1" s="1"/>
  <c r="AA13" i="1"/>
  <c r="F47" i="33"/>
  <c r="F45" i="33"/>
  <c r="F46" i="33" s="1"/>
  <c r="F48" i="33" s="1"/>
  <c r="B42" i="33"/>
  <c r="J26" i="33"/>
  <c r="F49" i="33" s="1"/>
  <c r="F51" i="33" s="1"/>
  <c r="F47" i="32"/>
  <c r="F45" i="32"/>
  <c r="F46" i="32" s="1"/>
  <c r="F48" i="32" s="1"/>
  <c r="B42" i="32"/>
  <c r="J26" i="32"/>
  <c r="F49" i="32" s="1"/>
  <c r="F51" i="32" s="1"/>
  <c r="F49" i="1"/>
  <c r="F51" i="1" s="1"/>
  <c r="F47" i="1"/>
  <c r="F45" i="1"/>
  <c r="F46" i="1" s="1"/>
  <c r="B42" i="1"/>
  <c r="J26" i="1"/>
  <c r="J33" i="36"/>
  <c r="X11" i="36" s="1"/>
  <c r="J42" i="33"/>
  <c r="J33" i="35"/>
  <c r="J42" i="32"/>
  <c r="J33" i="34"/>
  <c r="J42" i="1"/>
  <c r="J36" i="36"/>
  <c r="J35" i="36"/>
  <c r="J34" i="36"/>
  <c r="J32" i="36"/>
  <c r="J36" i="35"/>
  <c r="J35" i="35"/>
  <c r="J34" i="35"/>
  <c r="J32" i="35"/>
  <c r="AA70" i="1" l="1"/>
  <c r="Z69" i="1"/>
  <c r="AA69" i="1" s="1"/>
  <c r="AF57" i="1"/>
  <c r="AF58" i="33"/>
  <c r="AA13" i="33"/>
  <c r="F48" i="1"/>
  <c r="AF60" i="1"/>
  <c r="Z79" i="1"/>
  <c r="AA79" i="1" s="1"/>
  <c r="AA78" i="1"/>
  <c r="F50" i="33"/>
  <c r="J32" i="33" s="1"/>
  <c r="F50" i="32"/>
  <c r="J32" i="32" s="1"/>
  <c r="F50" i="1"/>
  <c r="J32" i="1" s="1"/>
  <c r="AF61" i="33"/>
  <c r="AE62" i="33"/>
  <c r="AE55" i="33"/>
  <c r="AF56" i="33"/>
  <c r="AF60" i="33"/>
  <c r="AF57" i="33"/>
  <c r="AF61" i="32"/>
  <c r="AE62" i="32"/>
  <c r="AE57" i="32"/>
  <c r="AE55" i="1"/>
  <c r="AF55" i="1" s="1"/>
  <c r="AE62" i="1"/>
  <c r="AF62" i="1" s="1"/>
  <c r="J31" i="35"/>
  <c r="J31" i="36"/>
  <c r="X11" i="35"/>
  <c r="X10" i="36"/>
  <c r="X10" i="35"/>
  <c r="F41" i="36"/>
  <c r="F36" i="36"/>
  <c r="F37" i="36" s="1"/>
  <c r="F38" i="36" s="1"/>
  <c r="F41" i="35"/>
  <c r="F36" i="35"/>
  <c r="X8" i="35" s="1"/>
  <c r="J41" i="33"/>
  <c r="J40" i="33"/>
  <c r="J39" i="33"/>
  <c r="J38" i="33"/>
  <c r="F37" i="33"/>
  <c r="F40" i="33" s="1"/>
  <c r="F36" i="33"/>
  <c r="F38" i="33" s="1"/>
  <c r="F41" i="33" s="1"/>
  <c r="J34" i="33"/>
  <c r="J31" i="33"/>
  <c r="J41" i="32"/>
  <c r="J40" i="32"/>
  <c r="J39" i="32"/>
  <c r="J38" i="32"/>
  <c r="F37" i="32"/>
  <c r="F40" i="32" s="1"/>
  <c r="F36" i="32"/>
  <c r="F38" i="32" s="1"/>
  <c r="F41" i="32" s="1"/>
  <c r="J34" i="32"/>
  <c r="J31" i="32"/>
  <c r="AF29" i="32"/>
  <c r="AA11" i="33"/>
  <c r="AA11" i="32"/>
  <c r="B39" i="36"/>
  <c r="B40" i="36" s="1"/>
  <c r="B36" i="36"/>
  <c r="B34" i="36"/>
  <c r="B32" i="36"/>
  <c r="B31" i="36"/>
  <c r="B39" i="35"/>
  <c r="B40" i="35" s="1"/>
  <c r="B36" i="35"/>
  <c r="B34" i="35"/>
  <c r="B32" i="35"/>
  <c r="B31" i="35"/>
  <c r="B34" i="34"/>
  <c r="B44" i="33"/>
  <c r="AA9" i="33" s="1"/>
  <c r="B41" i="33"/>
  <c r="B43" i="33" s="1"/>
  <c r="B44" i="32"/>
  <c r="AA9" i="32" s="1"/>
  <c r="B41" i="32"/>
  <c r="B43" i="32" s="1"/>
  <c r="B36" i="33"/>
  <c r="B35" i="33"/>
  <c r="B34" i="33"/>
  <c r="B32" i="33"/>
  <c r="B31" i="33"/>
  <c r="B36" i="32"/>
  <c r="B35" i="32"/>
  <c r="B34" i="32"/>
  <c r="B32" i="32"/>
  <c r="B31" i="32"/>
  <c r="B35" i="1"/>
  <c r="B34" i="1"/>
  <c r="AA8" i="32" l="1"/>
  <c r="B43" i="35"/>
  <c r="B43" i="36"/>
  <c r="AE63" i="33"/>
  <c r="AF62" i="33"/>
  <c r="AF55" i="33"/>
  <c r="AE54" i="33"/>
  <c r="AF54" i="33" s="1"/>
  <c r="AF57" i="32"/>
  <c r="AE56" i="32"/>
  <c r="AE63" i="32"/>
  <c r="AF62" i="32"/>
  <c r="AE54" i="1"/>
  <c r="AF54" i="1" s="1"/>
  <c r="AE63" i="1"/>
  <c r="AF63" i="1" s="1"/>
  <c r="AA8" i="33"/>
  <c r="B45" i="33"/>
  <c r="B46" i="33" s="1"/>
  <c r="B33" i="33" s="1"/>
  <c r="B47" i="33" s="1"/>
  <c r="J37" i="33"/>
  <c r="J37" i="32"/>
  <c r="B45" i="32"/>
  <c r="B46" i="32" s="1"/>
  <c r="B33" i="32" s="1"/>
  <c r="B47" i="32" s="1"/>
  <c r="F37" i="35"/>
  <c r="F38" i="35" s="1"/>
  <c r="X8" i="36"/>
  <c r="AA12" i="32"/>
  <c r="R9" i="33"/>
  <c r="Q9" i="33"/>
  <c r="B41" i="36"/>
  <c r="B41" i="35"/>
  <c r="B48" i="32"/>
  <c r="B48" i="33"/>
  <c r="J41" i="1"/>
  <c r="J40" i="1"/>
  <c r="J39" i="1"/>
  <c r="J38" i="1"/>
  <c r="X44" i="35"/>
  <c r="AE64" i="33" l="1"/>
  <c r="AF64" i="33" s="1"/>
  <c r="AF63" i="33"/>
  <c r="AE64" i="32"/>
  <c r="AF64" i="32" s="1"/>
  <c r="AF63" i="32"/>
  <c r="AE55" i="32"/>
  <c r="AF56" i="32"/>
  <c r="AE64" i="1"/>
  <c r="AF64" i="1" s="1"/>
  <c r="B49" i="32"/>
  <c r="F31" i="32" s="1"/>
  <c r="F32" i="32" s="1"/>
  <c r="F33" i="32" s="1"/>
  <c r="B33" i="36"/>
  <c r="B35" i="36"/>
  <c r="B33" i="35"/>
  <c r="B35" i="35"/>
  <c r="B49" i="33"/>
  <c r="B36" i="34"/>
  <c r="T9" i="34"/>
  <c r="T9" i="35"/>
  <c r="T9" i="36"/>
  <c r="J36" i="34"/>
  <c r="J35" i="34"/>
  <c r="AF55" i="32" l="1"/>
  <c r="AE54" i="32"/>
  <c r="AF54" i="32" s="1"/>
  <c r="B42" i="35"/>
  <c r="B44" i="35" s="1"/>
  <c r="B42" i="36"/>
  <c r="B44" i="36" s="1"/>
  <c r="AA10" i="32"/>
  <c r="AA10" i="33"/>
  <c r="F31" i="33"/>
  <c r="F32" i="33" s="1"/>
  <c r="F33" i="33" s="1"/>
  <c r="B36" i="1"/>
  <c r="AE49" i="36"/>
  <c r="AK32" i="36" s="1"/>
  <c r="S45" i="37" s="1"/>
  <c r="Z49" i="36"/>
  <c r="AJ32" i="36" s="1"/>
  <c r="R45" i="37" s="1"/>
  <c r="AE48" i="36"/>
  <c r="AK31" i="36" s="1"/>
  <c r="S44" i="37" s="1"/>
  <c r="Z48" i="36"/>
  <c r="AJ31" i="36" s="1"/>
  <c r="R44" i="37" s="1"/>
  <c r="AE47" i="36"/>
  <c r="AK30" i="36" s="1"/>
  <c r="S43" i="37" s="1"/>
  <c r="Z47" i="36"/>
  <c r="AJ30" i="36" s="1"/>
  <c r="R43" i="37" s="1"/>
  <c r="AE46" i="36"/>
  <c r="AK29" i="36" s="1"/>
  <c r="S42" i="37" s="1"/>
  <c r="Z46" i="36"/>
  <c r="AJ29" i="36" s="1"/>
  <c r="R42" i="37" s="1"/>
  <c r="AE45" i="36"/>
  <c r="AK28" i="36" s="1"/>
  <c r="S41" i="37" s="1"/>
  <c r="AB45" i="36"/>
  <c r="AC45" i="36" s="1"/>
  <c r="Z45" i="36"/>
  <c r="AJ28" i="36" s="1"/>
  <c r="R41" i="37" s="1"/>
  <c r="W45" i="36"/>
  <c r="X45" i="36" s="1"/>
  <c r="AE44" i="36"/>
  <c r="AK27" i="36" s="1"/>
  <c r="S40" i="37" s="1"/>
  <c r="AC44" i="36"/>
  <c r="Z44" i="36"/>
  <c r="AJ27" i="36" s="1"/>
  <c r="R40" i="37" s="1"/>
  <c r="X44" i="36"/>
  <c r="AE43" i="36"/>
  <c r="AK26" i="36" s="1"/>
  <c r="S39" i="37" s="1"/>
  <c r="AB43" i="36"/>
  <c r="AC43" i="36" s="1"/>
  <c r="Z43" i="36"/>
  <c r="AJ26" i="36" s="1"/>
  <c r="R39" i="37" s="1"/>
  <c r="W43" i="36"/>
  <c r="X43" i="36" s="1"/>
  <c r="AE42" i="36"/>
  <c r="AK25" i="36" s="1"/>
  <c r="S38" i="37" s="1"/>
  <c r="Z42" i="36"/>
  <c r="AJ25" i="36" s="1"/>
  <c r="R38" i="37" s="1"/>
  <c r="AE41" i="36"/>
  <c r="AK24" i="36" s="1"/>
  <c r="S37" i="37" s="1"/>
  <c r="Z41" i="36"/>
  <c r="AJ24" i="36" s="1"/>
  <c r="R37" i="37" s="1"/>
  <c r="AE40" i="36"/>
  <c r="AK23" i="36" s="1"/>
  <c r="S36" i="37" s="1"/>
  <c r="Z40" i="36"/>
  <c r="AJ23" i="36" s="1"/>
  <c r="R36" i="37" s="1"/>
  <c r="AE39" i="36"/>
  <c r="AK22" i="36" s="1"/>
  <c r="S35" i="37" s="1"/>
  <c r="Z39" i="36"/>
  <c r="AJ22" i="36" s="1"/>
  <c r="R35" i="37" s="1"/>
  <c r="AE34" i="36"/>
  <c r="AH32" i="36" s="1"/>
  <c r="P45" i="37" s="1"/>
  <c r="Z34" i="36"/>
  <c r="AI32" i="36" s="1"/>
  <c r="Q45" i="37" s="1"/>
  <c r="AE33" i="36"/>
  <c r="AH31" i="36" s="1"/>
  <c r="P44" i="37" s="1"/>
  <c r="Z33" i="36"/>
  <c r="AI31" i="36" s="1"/>
  <c r="Q44" i="37" s="1"/>
  <c r="AE32" i="36"/>
  <c r="AH30" i="36" s="1"/>
  <c r="P43" i="37" s="1"/>
  <c r="Z32" i="36"/>
  <c r="AI30" i="36" s="1"/>
  <c r="Q43" i="37" s="1"/>
  <c r="AE31" i="36"/>
  <c r="AH29" i="36" s="1"/>
  <c r="P42" i="37" s="1"/>
  <c r="Z31" i="36"/>
  <c r="AI29" i="36" s="1"/>
  <c r="Q42" i="37" s="1"/>
  <c r="AE30" i="36"/>
  <c r="AH28" i="36" s="1"/>
  <c r="P41" i="37" s="1"/>
  <c r="AB30" i="36"/>
  <c r="AB31" i="36" s="1"/>
  <c r="Z30" i="36"/>
  <c r="AI28" i="36" s="1"/>
  <c r="Q41" i="37" s="1"/>
  <c r="W30" i="36"/>
  <c r="X30" i="36" s="1"/>
  <c r="AE29" i="36"/>
  <c r="AH27" i="36" s="1"/>
  <c r="P40" i="37" s="1"/>
  <c r="AC29" i="36"/>
  <c r="Z29" i="36"/>
  <c r="AI27" i="36" s="1"/>
  <c r="Q40" i="37" s="1"/>
  <c r="X29" i="36"/>
  <c r="AE28" i="36"/>
  <c r="AH26" i="36" s="1"/>
  <c r="P39" i="37" s="1"/>
  <c r="AB28" i="36"/>
  <c r="AC28" i="36" s="1"/>
  <c r="Z28" i="36"/>
  <c r="AI26" i="36" s="1"/>
  <c r="Q39" i="37" s="1"/>
  <c r="W28" i="36"/>
  <c r="X28" i="36" s="1"/>
  <c r="AE27" i="36"/>
  <c r="AH25" i="36" s="1"/>
  <c r="P38" i="37" s="1"/>
  <c r="Z27" i="36"/>
  <c r="AI25" i="36" s="1"/>
  <c r="Q38" i="37" s="1"/>
  <c r="AE26" i="36"/>
  <c r="AH24" i="36" s="1"/>
  <c r="P37" i="37" s="1"/>
  <c r="Z26" i="36"/>
  <c r="AI24" i="36" s="1"/>
  <c r="Q37" i="37" s="1"/>
  <c r="AE25" i="36"/>
  <c r="AH23" i="36" s="1"/>
  <c r="P36" i="37" s="1"/>
  <c r="Z25" i="36"/>
  <c r="AI23" i="36" s="1"/>
  <c r="Q36" i="37" s="1"/>
  <c r="AE24" i="36"/>
  <c r="AH22" i="36" s="1"/>
  <c r="P35" i="37" s="1"/>
  <c r="Z24" i="36"/>
  <c r="AI22" i="36" s="1"/>
  <c r="Q35" i="37" s="1"/>
  <c r="N10" i="36"/>
  <c r="T10" i="36" s="1"/>
  <c r="J5" i="36"/>
  <c r="AE49" i="35"/>
  <c r="AK32" i="35" s="1"/>
  <c r="S30" i="37" s="1"/>
  <c r="Z49" i="35"/>
  <c r="AJ32" i="35" s="1"/>
  <c r="R30" i="37" s="1"/>
  <c r="AE48" i="35"/>
  <c r="AK31" i="35" s="1"/>
  <c r="S29" i="37" s="1"/>
  <c r="Z48" i="35"/>
  <c r="AJ31" i="35" s="1"/>
  <c r="R29" i="37" s="1"/>
  <c r="AE47" i="35"/>
  <c r="AK30" i="35" s="1"/>
  <c r="S28" i="37" s="1"/>
  <c r="Z47" i="35"/>
  <c r="AJ30" i="35" s="1"/>
  <c r="R28" i="37" s="1"/>
  <c r="AE46" i="35"/>
  <c r="AK29" i="35" s="1"/>
  <c r="S27" i="37" s="1"/>
  <c r="Z46" i="35"/>
  <c r="AJ29" i="35" s="1"/>
  <c r="R27" i="37" s="1"/>
  <c r="AE45" i="35"/>
  <c r="AK28" i="35" s="1"/>
  <c r="S26" i="37" s="1"/>
  <c r="AB45" i="35"/>
  <c r="AB46" i="35" s="1"/>
  <c r="AC46" i="35" s="1"/>
  <c r="Z45" i="35"/>
  <c r="AJ28" i="35" s="1"/>
  <c r="R26" i="37" s="1"/>
  <c r="W45" i="35"/>
  <c r="X45" i="35" s="1"/>
  <c r="AE44" i="35"/>
  <c r="AK27" i="35" s="1"/>
  <c r="S25" i="37" s="1"/>
  <c r="AC44" i="35"/>
  <c r="Z44" i="35"/>
  <c r="AJ27" i="35" s="1"/>
  <c r="R25" i="37" s="1"/>
  <c r="AE43" i="35"/>
  <c r="AK26" i="35" s="1"/>
  <c r="S24" i="37" s="1"/>
  <c r="AB43" i="35"/>
  <c r="AC43" i="35" s="1"/>
  <c r="Z43" i="35"/>
  <c r="AJ26" i="35" s="1"/>
  <c r="R24" i="37" s="1"/>
  <c r="W43" i="35"/>
  <c r="X43" i="35" s="1"/>
  <c r="AE42" i="35"/>
  <c r="AK25" i="35" s="1"/>
  <c r="S23" i="37" s="1"/>
  <c r="Z42" i="35"/>
  <c r="AJ25" i="35" s="1"/>
  <c r="R23" i="37" s="1"/>
  <c r="AE41" i="35"/>
  <c r="AK24" i="35" s="1"/>
  <c r="S22" i="37" s="1"/>
  <c r="Z41" i="35"/>
  <c r="AJ24" i="35" s="1"/>
  <c r="R22" i="37" s="1"/>
  <c r="AE40" i="35"/>
  <c r="AK23" i="35" s="1"/>
  <c r="S21" i="37" s="1"/>
  <c r="Z40" i="35"/>
  <c r="AJ23" i="35" s="1"/>
  <c r="R21" i="37" s="1"/>
  <c r="AE39" i="35"/>
  <c r="AK22" i="35" s="1"/>
  <c r="S20" i="37" s="1"/>
  <c r="Z39" i="35"/>
  <c r="AJ22" i="35" s="1"/>
  <c r="R20" i="37" s="1"/>
  <c r="AE34" i="35"/>
  <c r="AH32" i="35" s="1"/>
  <c r="P30" i="37" s="1"/>
  <c r="Z34" i="35"/>
  <c r="AI32" i="35" s="1"/>
  <c r="Q30" i="37" s="1"/>
  <c r="AE33" i="35"/>
  <c r="AH31" i="35" s="1"/>
  <c r="P29" i="37" s="1"/>
  <c r="Z33" i="35"/>
  <c r="AI31" i="35" s="1"/>
  <c r="Q29" i="37" s="1"/>
  <c r="AE32" i="35"/>
  <c r="AH30" i="35" s="1"/>
  <c r="P28" i="37" s="1"/>
  <c r="Z32" i="35"/>
  <c r="AI30" i="35" s="1"/>
  <c r="Q28" i="37" s="1"/>
  <c r="AE31" i="35"/>
  <c r="AH29" i="35" s="1"/>
  <c r="P27" i="37" s="1"/>
  <c r="Z31" i="35"/>
  <c r="AI29" i="35" s="1"/>
  <c r="Q27" i="37" s="1"/>
  <c r="AE30" i="35"/>
  <c r="AH28" i="35" s="1"/>
  <c r="P26" i="37" s="1"/>
  <c r="AB30" i="35"/>
  <c r="AC30" i="35" s="1"/>
  <c r="Z30" i="35"/>
  <c r="AI28" i="35" s="1"/>
  <c r="Q26" i="37" s="1"/>
  <c r="W30" i="35"/>
  <c r="X30" i="35" s="1"/>
  <c r="AE29" i="35"/>
  <c r="AH27" i="35" s="1"/>
  <c r="P25" i="37" s="1"/>
  <c r="AC29" i="35"/>
  <c r="Z29" i="35"/>
  <c r="AI27" i="35" s="1"/>
  <c r="Q25" i="37" s="1"/>
  <c r="X29" i="35"/>
  <c r="AE28" i="35"/>
  <c r="AH26" i="35" s="1"/>
  <c r="P24" i="37" s="1"/>
  <c r="AB28" i="35"/>
  <c r="AB27" i="35" s="1"/>
  <c r="Z28" i="35"/>
  <c r="AI26" i="35" s="1"/>
  <c r="Q24" i="37" s="1"/>
  <c r="W28" i="35"/>
  <c r="W27" i="35" s="1"/>
  <c r="AE27" i="35"/>
  <c r="AH25" i="35" s="1"/>
  <c r="P23" i="37" s="1"/>
  <c r="Z27" i="35"/>
  <c r="AI25" i="35" s="1"/>
  <c r="Q23" i="37" s="1"/>
  <c r="AE26" i="35"/>
  <c r="AH24" i="35" s="1"/>
  <c r="P22" i="37" s="1"/>
  <c r="Z26" i="35"/>
  <c r="AI24" i="35" s="1"/>
  <c r="Q22" i="37" s="1"/>
  <c r="AE25" i="35"/>
  <c r="AH23" i="35" s="1"/>
  <c r="P21" i="37" s="1"/>
  <c r="Z25" i="35"/>
  <c r="AI23" i="35" s="1"/>
  <c r="Q21" i="37" s="1"/>
  <c r="AE24" i="35"/>
  <c r="AH22" i="35" s="1"/>
  <c r="P20" i="37" s="1"/>
  <c r="Z24" i="35"/>
  <c r="AI22" i="35" s="1"/>
  <c r="Q20" i="37" s="1"/>
  <c r="N10" i="35"/>
  <c r="T10" i="35" s="1"/>
  <c r="X11" i="34"/>
  <c r="AE49" i="34"/>
  <c r="AK32" i="34" s="1"/>
  <c r="S15" i="37" s="1"/>
  <c r="Z49" i="34"/>
  <c r="AJ32" i="34" s="1"/>
  <c r="R15" i="37" s="1"/>
  <c r="AE48" i="34"/>
  <c r="AK31" i="34" s="1"/>
  <c r="S14" i="37" s="1"/>
  <c r="Z48" i="34"/>
  <c r="AJ31" i="34" s="1"/>
  <c r="R14" i="37" s="1"/>
  <c r="AE47" i="34"/>
  <c r="AK30" i="34" s="1"/>
  <c r="S13" i="37" s="1"/>
  <c r="Z47" i="34"/>
  <c r="AJ30" i="34" s="1"/>
  <c r="R13" i="37" s="1"/>
  <c r="AE46" i="34"/>
  <c r="AK29" i="34" s="1"/>
  <c r="S12" i="37" s="1"/>
  <c r="Z46" i="34"/>
  <c r="AJ29" i="34" s="1"/>
  <c r="R12" i="37" s="1"/>
  <c r="AE45" i="34"/>
  <c r="AK28" i="34" s="1"/>
  <c r="S11" i="37" s="1"/>
  <c r="AB45" i="34"/>
  <c r="AB46" i="34" s="1"/>
  <c r="AC46" i="34" s="1"/>
  <c r="Z45" i="34"/>
  <c r="AJ28" i="34" s="1"/>
  <c r="R11" i="37" s="1"/>
  <c r="W45" i="34"/>
  <c r="W46" i="34" s="1"/>
  <c r="X46" i="34" s="1"/>
  <c r="AE44" i="34"/>
  <c r="AK27" i="34" s="1"/>
  <c r="S10" i="37" s="1"/>
  <c r="AC44" i="34"/>
  <c r="Z44" i="34"/>
  <c r="AJ27" i="34" s="1"/>
  <c r="R10" i="37" s="1"/>
  <c r="X44" i="34"/>
  <c r="AE43" i="34"/>
  <c r="AK26" i="34" s="1"/>
  <c r="S9" i="37" s="1"/>
  <c r="AB43" i="34"/>
  <c r="AC43" i="34" s="1"/>
  <c r="Z43" i="34"/>
  <c r="AJ26" i="34" s="1"/>
  <c r="R9" i="37" s="1"/>
  <c r="W43" i="34"/>
  <c r="X43" i="34" s="1"/>
  <c r="B39" i="34"/>
  <c r="AE42" i="34"/>
  <c r="AK25" i="34" s="1"/>
  <c r="S8" i="37" s="1"/>
  <c r="Z42" i="34"/>
  <c r="AJ25" i="34" s="1"/>
  <c r="R8" i="37" s="1"/>
  <c r="AE41" i="34"/>
  <c r="AK24" i="34" s="1"/>
  <c r="S7" i="37" s="1"/>
  <c r="Z41" i="34"/>
  <c r="AJ24" i="34" s="1"/>
  <c r="R7" i="37" s="1"/>
  <c r="F41" i="34"/>
  <c r="AE40" i="34"/>
  <c r="AK23" i="34" s="1"/>
  <c r="S6" i="37" s="1"/>
  <c r="Z40" i="34"/>
  <c r="AJ23" i="34" s="1"/>
  <c r="R6" i="37" s="1"/>
  <c r="AE39" i="34"/>
  <c r="AK22" i="34" s="1"/>
  <c r="S5" i="37" s="1"/>
  <c r="Z39" i="34"/>
  <c r="AJ22" i="34" s="1"/>
  <c r="R5" i="37" s="1"/>
  <c r="J34" i="34"/>
  <c r="F36" i="34"/>
  <c r="AE34" i="34"/>
  <c r="AH32" i="34" s="1"/>
  <c r="P15" i="37" s="1"/>
  <c r="Z34" i="34"/>
  <c r="AI32" i="34" s="1"/>
  <c r="Q15" i="37" s="1"/>
  <c r="AE33" i="34"/>
  <c r="AH31" i="34" s="1"/>
  <c r="P14" i="37" s="1"/>
  <c r="Z33" i="34"/>
  <c r="AI31" i="34" s="1"/>
  <c r="Q14" i="37" s="1"/>
  <c r="AE32" i="34"/>
  <c r="AH30" i="34" s="1"/>
  <c r="P13" i="37" s="1"/>
  <c r="Z32" i="34"/>
  <c r="AI30" i="34" s="1"/>
  <c r="Q13" i="37" s="1"/>
  <c r="J32" i="34"/>
  <c r="B32" i="34"/>
  <c r="AE31" i="34"/>
  <c r="AH29" i="34" s="1"/>
  <c r="P12" i="37" s="1"/>
  <c r="Z31" i="34"/>
  <c r="AI29" i="34" s="1"/>
  <c r="Q12" i="37" s="1"/>
  <c r="B31" i="34"/>
  <c r="AE30" i="34"/>
  <c r="AH28" i="34" s="1"/>
  <c r="P11" i="37" s="1"/>
  <c r="AB30" i="34"/>
  <c r="AB31" i="34" s="1"/>
  <c r="AB32" i="34" s="1"/>
  <c r="Z30" i="34"/>
  <c r="AI28" i="34" s="1"/>
  <c r="Q11" i="37" s="1"/>
  <c r="W30" i="34"/>
  <c r="W31" i="34" s="1"/>
  <c r="W32" i="34" s="1"/>
  <c r="AE29" i="34"/>
  <c r="AH27" i="34" s="1"/>
  <c r="P10" i="37" s="1"/>
  <c r="AC29" i="34"/>
  <c r="Z29" i="34"/>
  <c r="AI27" i="34" s="1"/>
  <c r="Q10" i="37" s="1"/>
  <c r="X29" i="34"/>
  <c r="AE28" i="34"/>
  <c r="AH26" i="34" s="1"/>
  <c r="P9" i="37" s="1"/>
  <c r="AB28" i="34"/>
  <c r="AB27" i="34" s="1"/>
  <c r="AB26" i="34" s="1"/>
  <c r="Z28" i="34"/>
  <c r="AI26" i="34" s="1"/>
  <c r="Q9" i="37" s="1"/>
  <c r="W28" i="34"/>
  <c r="X28" i="34" s="1"/>
  <c r="AE27" i="34"/>
  <c r="AH25" i="34" s="1"/>
  <c r="P8" i="37" s="1"/>
  <c r="Z27" i="34"/>
  <c r="AI25" i="34" s="1"/>
  <c r="Q8" i="37" s="1"/>
  <c r="AE26" i="34"/>
  <c r="AH24" i="34" s="1"/>
  <c r="P7" i="37" s="1"/>
  <c r="Z26" i="34"/>
  <c r="AI24" i="34" s="1"/>
  <c r="Q7" i="37" s="1"/>
  <c r="AE25" i="34"/>
  <c r="AH23" i="34" s="1"/>
  <c r="P6" i="37" s="1"/>
  <c r="Z25" i="34"/>
  <c r="AI23" i="34" s="1"/>
  <c r="Q6" i="37" s="1"/>
  <c r="AE24" i="34"/>
  <c r="AH22" i="34" s="1"/>
  <c r="P5" i="37" s="1"/>
  <c r="Z24" i="34"/>
  <c r="AI22" i="34" s="1"/>
  <c r="Q5" i="37" s="1"/>
  <c r="X10" i="34"/>
  <c r="N10" i="34"/>
  <c r="T10" i="34" s="1"/>
  <c r="AC64" i="33"/>
  <c r="AO32" i="33" s="1"/>
  <c r="G45" i="37" s="1"/>
  <c r="AC63" i="33"/>
  <c r="AO31" i="33" s="1"/>
  <c r="G44" i="37" s="1"/>
  <c r="AC62" i="33"/>
  <c r="AO30" i="33" s="1"/>
  <c r="G43" i="37" s="1"/>
  <c r="AC61" i="33"/>
  <c r="AO29" i="33" s="1"/>
  <c r="G42" i="37" s="1"/>
  <c r="AC60" i="33"/>
  <c r="AO28" i="33" s="1"/>
  <c r="G41" i="37" s="1"/>
  <c r="Z60" i="33"/>
  <c r="Z61" i="33" s="1"/>
  <c r="AC59" i="33"/>
  <c r="AO27" i="33" s="1"/>
  <c r="G40" i="37" s="1"/>
  <c r="AA59" i="33"/>
  <c r="AC58" i="33"/>
  <c r="AO26" i="33" s="1"/>
  <c r="G39" i="37" s="1"/>
  <c r="Z58" i="33"/>
  <c r="Z57" i="33" s="1"/>
  <c r="AC57" i="33"/>
  <c r="AO25" i="33" s="1"/>
  <c r="G38" i="37" s="1"/>
  <c r="AC56" i="33"/>
  <c r="AO24" i="33" s="1"/>
  <c r="G37" i="37" s="1"/>
  <c r="AC55" i="33"/>
  <c r="AO23" i="33" s="1"/>
  <c r="G36" i="37" s="1"/>
  <c r="AC54" i="33"/>
  <c r="AO22" i="33" s="1"/>
  <c r="G35" i="37" s="1"/>
  <c r="AH49" i="33"/>
  <c r="AN32" i="33" s="1"/>
  <c r="F45" i="37" s="1"/>
  <c r="AC49" i="33"/>
  <c r="AM32" i="33" s="1"/>
  <c r="E45" i="37" s="1"/>
  <c r="AH48" i="33"/>
  <c r="AN31" i="33" s="1"/>
  <c r="F44" i="37" s="1"/>
  <c r="AC48" i="33"/>
  <c r="AM31" i="33" s="1"/>
  <c r="E44" i="37" s="1"/>
  <c r="AH47" i="33"/>
  <c r="AN30" i="33" s="1"/>
  <c r="F43" i="37" s="1"/>
  <c r="AC47" i="33"/>
  <c r="AM30" i="33" s="1"/>
  <c r="E43" i="37" s="1"/>
  <c r="AH46" i="33"/>
  <c r="AN29" i="33" s="1"/>
  <c r="F42" i="37" s="1"/>
  <c r="AC46" i="33"/>
  <c r="AM29" i="33" s="1"/>
  <c r="E42" i="37" s="1"/>
  <c r="AH45" i="33"/>
  <c r="AN28" i="33" s="1"/>
  <c r="F41" i="37" s="1"/>
  <c r="AE45" i="33"/>
  <c r="AF45" i="33" s="1"/>
  <c r="AC45" i="33"/>
  <c r="AM28" i="33" s="1"/>
  <c r="E41" i="37" s="1"/>
  <c r="Z45" i="33"/>
  <c r="Z46" i="33" s="1"/>
  <c r="AA46" i="33" s="1"/>
  <c r="AH44" i="33"/>
  <c r="AN27" i="33" s="1"/>
  <c r="F40" i="37" s="1"/>
  <c r="AF44" i="33"/>
  <c r="AC44" i="33"/>
  <c r="AM27" i="33" s="1"/>
  <c r="E40" i="37" s="1"/>
  <c r="AA44" i="33"/>
  <c r="AH43" i="33"/>
  <c r="AN26" i="33" s="1"/>
  <c r="F39" i="37" s="1"/>
  <c r="AE43" i="33"/>
  <c r="AF43" i="33" s="1"/>
  <c r="AC43" i="33"/>
  <c r="AM26" i="33" s="1"/>
  <c r="E39" i="37" s="1"/>
  <c r="Z43" i="33"/>
  <c r="Z42" i="33" s="1"/>
  <c r="Z41" i="33" s="1"/>
  <c r="AA41" i="33" s="1"/>
  <c r="AH42" i="33"/>
  <c r="AN25" i="33" s="1"/>
  <c r="F38" i="37" s="1"/>
  <c r="AC42" i="33"/>
  <c r="AM25" i="33" s="1"/>
  <c r="E38" i="37" s="1"/>
  <c r="AH41" i="33"/>
  <c r="AN24" i="33" s="1"/>
  <c r="F37" i="37" s="1"/>
  <c r="AC41" i="33"/>
  <c r="AM24" i="33" s="1"/>
  <c r="E37" i="37" s="1"/>
  <c r="AH40" i="33"/>
  <c r="AN23" i="33" s="1"/>
  <c r="F36" i="37" s="1"/>
  <c r="AC40" i="33"/>
  <c r="AM23" i="33" s="1"/>
  <c r="E36" i="37" s="1"/>
  <c r="AH39" i="33"/>
  <c r="AN22" i="33" s="1"/>
  <c r="F35" i="37" s="1"/>
  <c r="AC39" i="33"/>
  <c r="AM22" i="33" s="1"/>
  <c r="E35" i="37" s="1"/>
  <c r="AH34" i="33"/>
  <c r="AK32" i="33" s="1"/>
  <c r="C45" i="37" s="1"/>
  <c r="AC34" i="33"/>
  <c r="AL32" i="33" s="1"/>
  <c r="D45" i="37" s="1"/>
  <c r="AH33" i="33"/>
  <c r="AK31" i="33" s="1"/>
  <c r="C44" i="37" s="1"/>
  <c r="AC33" i="33"/>
  <c r="AL31" i="33" s="1"/>
  <c r="D44" i="37" s="1"/>
  <c r="AH32" i="33"/>
  <c r="AK30" i="33" s="1"/>
  <c r="C43" i="37" s="1"/>
  <c r="AC32" i="33"/>
  <c r="AL30" i="33" s="1"/>
  <c r="D43" i="37" s="1"/>
  <c r="AH31" i="33"/>
  <c r="AK29" i="33" s="1"/>
  <c r="C42" i="37" s="1"/>
  <c r="AC31" i="33"/>
  <c r="AL29" i="33" s="1"/>
  <c r="D42" i="37" s="1"/>
  <c r="U9" i="33"/>
  <c r="AH30" i="33"/>
  <c r="AK28" i="33" s="1"/>
  <c r="C41" i="37" s="1"/>
  <c r="AE30" i="33"/>
  <c r="AE31" i="33" s="1"/>
  <c r="AF31" i="33" s="1"/>
  <c r="AC30" i="33"/>
  <c r="AL28" i="33" s="1"/>
  <c r="D41" i="37" s="1"/>
  <c r="Z30" i="33"/>
  <c r="AH29" i="33"/>
  <c r="AK27" i="33" s="1"/>
  <c r="C40" i="37" s="1"/>
  <c r="AF29" i="33"/>
  <c r="AC29" i="33"/>
  <c r="AL27" i="33" s="1"/>
  <c r="D40" i="37" s="1"/>
  <c r="AA29" i="33"/>
  <c r="AH28" i="33"/>
  <c r="AK26" i="33" s="1"/>
  <c r="C39" i="37" s="1"/>
  <c r="AE28" i="33"/>
  <c r="AF28" i="33" s="1"/>
  <c r="AC28" i="33"/>
  <c r="AL26" i="33" s="1"/>
  <c r="D39" i="37" s="1"/>
  <c r="Z28" i="33"/>
  <c r="J28" i="33"/>
  <c r="K28" i="33" s="1"/>
  <c r="AH27" i="33"/>
  <c r="AK25" i="33" s="1"/>
  <c r="C38" i="37" s="1"/>
  <c r="AC27" i="33"/>
  <c r="AL25" i="33" s="1"/>
  <c r="D38" i="37" s="1"/>
  <c r="AH26" i="33"/>
  <c r="AK24" i="33" s="1"/>
  <c r="C37" i="37" s="1"/>
  <c r="AC26" i="33"/>
  <c r="AL24" i="33" s="1"/>
  <c r="D37" i="37" s="1"/>
  <c r="AH25" i="33"/>
  <c r="AK23" i="33" s="1"/>
  <c r="C36" i="37" s="1"/>
  <c r="AC25" i="33"/>
  <c r="AL23" i="33" s="1"/>
  <c r="D36" i="37" s="1"/>
  <c r="AH24" i="33"/>
  <c r="AK22" i="33" s="1"/>
  <c r="C35" i="37" s="1"/>
  <c r="AC24" i="33"/>
  <c r="AL22" i="33" s="1"/>
  <c r="D35" i="37" s="1"/>
  <c r="AA12" i="33"/>
  <c r="N10" i="33"/>
  <c r="W9" i="33"/>
  <c r="V9" i="33"/>
  <c r="AC64" i="32"/>
  <c r="AO32" i="32" s="1"/>
  <c r="G30" i="37" s="1"/>
  <c r="AC63" i="32"/>
  <c r="AO31" i="32" s="1"/>
  <c r="G29" i="37" s="1"/>
  <c r="AC62" i="32"/>
  <c r="AO30" i="32" s="1"/>
  <c r="G28" i="37" s="1"/>
  <c r="AC61" i="32"/>
  <c r="AO29" i="32" s="1"/>
  <c r="G27" i="37" s="1"/>
  <c r="AC60" i="32"/>
  <c r="AO28" i="32" s="1"/>
  <c r="G26" i="37" s="1"/>
  <c r="Z60" i="32"/>
  <c r="Z61" i="32" s="1"/>
  <c r="AC59" i="32"/>
  <c r="AO27" i="32" s="1"/>
  <c r="G25" i="37" s="1"/>
  <c r="AA59" i="32"/>
  <c r="AC58" i="32"/>
  <c r="AO26" i="32" s="1"/>
  <c r="G24" i="37" s="1"/>
  <c r="Z58" i="32"/>
  <c r="AC57" i="32"/>
  <c r="AO25" i="32" s="1"/>
  <c r="G23" i="37" s="1"/>
  <c r="AC56" i="32"/>
  <c r="AO24" i="32" s="1"/>
  <c r="G22" i="37" s="1"/>
  <c r="AC55" i="32"/>
  <c r="AO23" i="32" s="1"/>
  <c r="G21" i="37" s="1"/>
  <c r="AC54" i="32"/>
  <c r="AO22" i="32" s="1"/>
  <c r="G20" i="37" s="1"/>
  <c r="AH49" i="32"/>
  <c r="AN32" i="32" s="1"/>
  <c r="F30" i="37" s="1"/>
  <c r="AC49" i="32"/>
  <c r="AM32" i="32" s="1"/>
  <c r="E30" i="37" s="1"/>
  <c r="AH48" i="32"/>
  <c r="AN31" i="32" s="1"/>
  <c r="F29" i="37" s="1"/>
  <c r="AC48" i="32"/>
  <c r="AM31" i="32" s="1"/>
  <c r="E29" i="37" s="1"/>
  <c r="AH47" i="32"/>
  <c r="AN30" i="32" s="1"/>
  <c r="F28" i="37" s="1"/>
  <c r="AC47" i="32"/>
  <c r="AM30" i="32" s="1"/>
  <c r="E28" i="37" s="1"/>
  <c r="AH46" i="32"/>
  <c r="AN29" i="32" s="1"/>
  <c r="F27" i="37" s="1"/>
  <c r="AC46" i="32"/>
  <c r="AM29" i="32" s="1"/>
  <c r="E27" i="37" s="1"/>
  <c r="AH45" i="32"/>
  <c r="AN28" i="32" s="1"/>
  <c r="F26" i="37" s="1"/>
  <c r="AE45" i="32"/>
  <c r="AE46" i="32" s="1"/>
  <c r="AC45" i="32"/>
  <c r="AM28" i="32" s="1"/>
  <c r="E26" i="37" s="1"/>
  <c r="Z45" i="32"/>
  <c r="Z46" i="32" s="1"/>
  <c r="AH44" i="32"/>
  <c r="AN27" i="32" s="1"/>
  <c r="F25" i="37" s="1"/>
  <c r="AF44" i="32"/>
  <c r="AC44" i="32"/>
  <c r="AM27" i="32" s="1"/>
  <c r="E25" i="37" s="1"/>
  <c r="AA44" i="32"/>
  <c r="AH43" i="32"/>
  <c r="AN26" i="32" s="1"/>
  <c r="F24" i="37" s="1"/>
  <c r="AE43" i="32"/>
  <c r="AF43" i="32" s="1"/>
  <c r="AC43" i="32"/>
  <c r="AM26" i="32" s="1"/>
  <c r="E24" i="37" s="1"/>
  <c r="Z43" i="32"/>
  <c r="AA43" i="32" s="1"/>
  <c r="AH42" i="32"/>
  <c r="AN25" i="32" s="1"/>
  <c r="F23" i="37" s="1"/>
  <c r="AC42" i="32"/>
  <c r="AM25" i="32" s="1"/>
  <c r="E23" i="37" s="1"/>
  <c r="AH41" i="32"/>
  <c r="AN24" i="32" s="1"/>
  <c r="F22" i="37" s="1"/>
  <c r="AC41" i="32"/>
  <c r="AM24" i="32" s="1"/>
  <c r="E22" i="37" s="1"/>
  <c r="AH40" i="32"/>
  <c r="AN23" i="32" s="1"/>
  <c r="F21" i="37" s="1"/>
  <c r="AC40" i="32"/>
  <c r="AM23" i="32" s="1"/>
  <c r="E21" i="37" s="1"/>
  <c r="AH39" i="32"/>
  <c r="AN22" i="32" s="1"/>
  <c r="F20" i="37" s="1"/>
  <c r="AC39" i="32"/>
  <c r="AM22" i="32" s="1"/>
  <c r="E20" i="37" s="1"/>
  <c r="Q9" i="32"/>
  <c r="AH34" i="32"/>
  <c r="AK32" i="32" s="1"/>
  <c r="C30" i="37" s="1"/>
  <c r="AC34" i="32"/>
  <c r="AL32" i="32" s="1"/>
  <c r="D30" i="37" s="1"/>
  <c r="AH33" i="32"/>
  <c r="AK31" i="32" s="1"/>
  <c r="C29" i="37" s="1"/>
  <c r="AC33" i="32"/>
  <c r="AL31" i="32" s="1"/>
  <c r="D29" i="37" s="1"/>
  <c r="AH32" i="32"/>
  <c r="AK30" i="32" s="1"/>
  <c r="C28" i="37" s="1"/>
  <c r="AC32" i="32"/>
  <c r="AL30" i="32" s="1"/>
  <c r="D28" i="37" s="1"/>
  <c r="AH31" i="32"/>
  <c r="AK29" i="32" s="1"/>
  <c r="C27" i="37" s="1"/>
  <c r="AC31" i="32"/>
  <c r="AL29" i="32" s="1"/>
  <c r="D27" i="37" s="1"/>
  <c r="U9" i="32"/>
  <c r="AH30" i="32"/>
  <c r="AK28" i="32" s="1"/>
  <c r="C26" i="37" s="1"/>
  <c r="AE30" i="32"/>
  <c r="AF30" i="32" s="1"/>
  <c r="AC30" i="32"/>
  <c r="AL28" i="32" s="1"/>
  <c r="D26" i="37" s="1"/>
  <c r="Z30" i="32"/>
  <c r="Z31" i="32" s="1"/>
  <c r="AH29" i="32"/>
  <c r="AK27" i="32" s="1"/>
  <c r="C25" i="37" s="1"/>
  <c r="AC29" i="32"/>
  <c r="AL27" i="32" s="1"/>
  <c r="D25" i="37" s="1"/>
  <c r="AA29" i="32"/>
  <c r="AH28" i="32"/>
  <c r="AK26" i="32" s="1"/>
  <c r="C24" i="37" s="1"/>
  <c r="AE28" i="32"/>
  <c r="AF28" i="32" s="1"/>
  <c r="AC28" i="32"/>
  <c r="AL26" i="32" s="1"/>
  <c r="D24" i="37" s="1"/>
  <c r="Z28" i="32"/>
  <c r="Z27" i="32" s="1"/>
  <c r="AH27" i="32"/>
  <c r="AK25" i="32" s="1"/>
  <c r="C23" i="37" s="1"/>
  <c r="AC27" i="32"/>
  <c r="AL25" i="32" s="1"/>
  <c r="D23" i="37" s="1"/>
  <c r="AH26" i="32"/>
  <c r="AK24" i="32" s="1"/>
  <c r="C22" i="37" s="1"/>
  <c r="AC26" i="32"/>
  <c r="AL24" i="32" s="1"/>
  <c r="D22" i="37" s="1"/>
  <c r="AH25" i="32"/>
  <c r="AK23" i="32" s="1"/>
  <c r="C21" i="37" s="1"/>
  <c r="AC25" i="32"/>
  <c r="AL23" i="32" s="1"/>
  <c r="D21" i="37" s="1"/>
  <c r="AH24" i="32"/>
  <c r="AK22" i="32" s="1"/>
  <c r="C20" i="37" s="1"/>
  <c r="AC24" i="32"/>
  <c r="AL22" i="32" s="1"/>
  <c r="D20" i="37" s="1"/>
  <c r="N10" i="32"/>
  <c r="W10" i="32" s="1"/>
  <c r="W9" i="32"/>
  <c r="V9" i="32"/>
  <c r="Z42" i="32" l="1"/>
  <c r="Z41" i="32" s="1"/>
  <c r="AA43" i="33"/>
  <c r="AA30" i="32"/>
  <c r="AB31" i="35"/>
  <c r="AB32" i="35" s="1"/>
  <c r="AB33" i="35" s="1"/>
  <c r="F31" i="36"/>
  <c r="F32" i="36" s="1"/>
  <c r="F33" i="36" s="1"/>
  <c r="X9" i="36"/>
  <c r="W10" i="33"/>
  <c r="R10" i="33"/>
  <c r="Q10" i="33"/>
  <c r="X30" i="34"/>
  <c r="X9" i="35"/>
  <c r="F31" i="35"/>
  <c r="F32" i="35" s="1"/>
  <c r="F33" i="35" s="1"/>
  <c r="AC30" i="34"/>
  <c r="J31" i="34"/>
  <c r="Z40" i="33"/>
  <c r="AE42" i="33"/>
  <c r="AF42" i="33" s="1"/>
  <c r="R10" i="32"/>
  <c r="AF45" i="32"/>
  <c r="AA60" i="32"/>
  <c r="X27" i="35"/>
  <c r="W26" i="35"/>
  <c r="W25" i="35" s="1"/>
  <c r="X28" i="35"/>
  <c r="W42" i="35"/>
  <c r="AC45" i="35"/>
  <c r="AB42" i="35"/>
  <c r="AC42" i="35" s="1"/>
  <c r="W46" i="35"/>
  <c r="X46" i="35" s="1"/>
  <c r="W27" i="36"/>
  <c r="W31" i="36"/>
  <c r="W32" i="36" s="1"/>
  <c r="W33" i="36" s="1"/>
  <c r="W46" i="36"/>
  <c r="X46" i="36" s="1"/>
  <c r="AB42" i="36"/>
  <c r="AC42" i="36" s="1"/>
  <c r="AC45" i="34"/>
  <c r="AA58" i="33"/>
  <c r="B40" i="34"/>
  <c r="W31" i="35"/>
  <c r="W32" i="35" s="1"/>
  <c r="W33" i="35" s="1"/>
  <c r="AA28" i="32"/>
  <c r="AE46" i="33"/>
  <c r="AE47" i="33" s="1"/>
  <c r="X8" i="34"/>
  <c r="F37" i="34"/>
  <c r="F38" i="34" s="1"/>
  <c r="Q9" i="34" s="1"/>
  <c r="X45" i="34"/>
  <c r="N11" i="33"/>
  <c r="S11" i="33" s="1"/>
  <c r="AC27" i="34"/>
  <c r="AB27" i="36"/>
  <c r="AB26" i="36" s="1"/>
  <c r="AB25" i="36" s="1"/>
  <c r="AB46" i="36"/>
  <c r="AC46" i="36" s="1"/>
  <c r="W42" i="34"/>
  <c r="W41" i="34" s="1"/>
  <c r="W40" i="34" s="1"/>
  <c r="W39" i="34" s="1"/>
  <c r="AB47" i="34"/>
  <c r="AB48" i="34" s="1"/>
  <c r="AB49" i="34" s="1"/>
  <c r="AC49" i="34" s="1"/>
  <c r="Q9" i="35"/>
  <c r="V10" i="32"/>
  <c r="N11" i="32"/>
  <c r="R11" i="32" s="1"/>
  <c r="AB42" i="34"/>
  <c r="W42" i="36"/>
  <c r="R9" i="36"/>
  <c r="AB32" i="36"/>
  <c r="AC31" i="36"/>
  <c r="AC26" i="36"/>
  <c r="Q9" i="36"/>
  <c r="Q10" i="36"/>
  <c r="AB47" i="36"/>
  <c r="N11" i="36"/>
  <c r="T11" i="36" s="1"/>
  <c r="X31" i="36"/>
  <c r="AC30" i="36"/>
  <c r="R9" i="35"/>
  <c r="AB26" i="35"/>
  <c r="AC27" i="35"/>
  <c r="X25" i="35"/>
  <c r="W24" i="35"/>
  <c r="X24" i="35" s="1"/>
  <c r="AC32" i="35"/>
  <c r="AB47" i="35"/>
  <c r="AC28" i="35"/>
  <c r="N11" i="35"/>
  <c r="T11" i="35" s="1"/>
  <c r="B43" i="34"/>
  <c r="W33" i="34"/>
  <c r="X32" i="34"/>
  <c r="AB33" i="34"/>
  <c r="AC32" i="34"/>
  <c r="AB25" i="34"/>
  <c r="AB24" i="34" s="1"/>
  <c r="AC26" i="34"/>
  <c r="W27" i="34"/>
  <c r="N11" i="34"/>
  <c r="T11" i="34" s="1"/>
  <c r="X31" i="34"/>
  <c r="AC28" i="34"/>
  <c r="W47" i="34"/>
  <c r="AC31" i="34"/>
  <c r="U10" i="33"/>
  <c r="AA30" i="33"/>
  <c r="Z31" i="33"/>
  <c r="Z27" i="33"/>
  <c r="AA28" i="33"/>
  <c r="AE32" i="33"/>
  <c r="AA42" i="33"/>
  <c r="Z56" i="33"/>
  <c r="AA57" i="33"/>
  <c r="Z47" i="33"/>
  <c r="AA45" i="33"/>
  <c r="AE27" i="33"/>
  <c r="AF30" i="33"/>
  <c r="Z62" i="33"/>
  <c r="AA61" i="33"/>
  <c r="AA60" i="33"/>
  <c r="V10" i="33"/>
  <c r="S9" i="32"/>
  <c r="Q10" i="32"/>
  <c r="R9" i="32"/>
  <c r="AE47" i="32"/>
  <c r="AF46" i="32"/>
  <c r="Z62" i="32"/>
  <c r="AA61" i="32"/>
  <c r="AE27" i="32"/>
  <c r="AF27" i="32" s="1"/>
  <c r="Z47" i="32"/>
  <c r="AA46" i="32"/>
  <c r="Z32" i="32"/>
  <c r="AA31" i="32"/>
  <c r="Z57" i="32"/>
  <c r="AA58" i="32"/>
  <c r="AA27" i="32"/>
  <c r="Z26" i="32"/>
  <c r="AE31" i="32"/>
  <c r="AF31" i="32" s="1"/>
  <c r="AE42" i="32"/>
  <c r="AA45" i="32"/>
  <c r="U10" i="32"/>
  <c r="AA40" i="33" l="1"/>
  <c r="Z39" i="33"/>
  <c r="AA39" i="33"/>
  <c r="X32" i="36"/>
  <c r="AA42" i="32"/>
  <c r="AC31" i="35"/>
  <c r="N12" i="33"/>
  <c r="R12" i="33" s="1"/>
  <c r="AE41" i="33"/>
  <c r="AE40" i="33" s="1"/>
  <c r="AE39" i="33" s="1"/>
  <c r="AF39" i="33" s="1"/>
  <c r="Q11" i="33"/>
  <c r="R11" i="33"/>
  <c r="X26" i="35"/>
  <c r="AB41" i="36"/>
  <c r="W41" i="35"/>
  <c r="X41" i="35" s="1"/>
  <c r="X42" i="35"/>
  <c r="V11" i="33"/>
  <c r="U11" i="33"/>
  <c r="W47" i="36"/>
  <c r="W11" i="33"/>
  <c r="AC48" i="34"/>
  <c r="B41" i="34"/>
  <c r="AF40" i="33"/>
  <c r="V11" i="32"/>
  <c r="X31" i="35"/>
  <c r="X32" i="35"/>
  <c r="AB41" i="35"/>
  <c r="AC41" i="35" s="1"/>
  <c r="W47" i="35"/>
  <c r="X47" i="35" s="1"/>
  <c r="W26" i="36"/>
  <c r="X27" i="36"/>
  <c r="X42" i="34"/>
  <c r="X41" i="34"/>
  <c r="AC47" i="34"/>
  <c r="Q10" i="35"/>
  <c r="Q11" i="32"/>
  <c r="W11" i="32"/>
  <c r="U11" i="32"/>
  <c r="N12" i="32"/>
  <c r="W12" i="32" s="1"/>
  <c r="X42" i="36"/>
  <c r="W41" i="36"/>
  <c r="AF46" i="33"/>
  <c r="AC42" i="34"/>
  <c r="AB41" i="34"/>
  <c r="AC27" i="36"/>
  <c r="R10" i="36"/>
  <c r="AB24" i="36"/>
  <c r="AC24" i="36" s="1"/>
  <c r="AC25" i="36"/>
  <c r="AC41" i="36"/>
  <c r="AB40" i="36"/>
  <c r="AB39" i="36" s="1"/>
  <c r="R11" i="36"/>
  <c r="Q11" i="36"/>
  <c r="N12" i="36"/>
  <c r="T12" i="36" s="1"/>
  <c r="X33" i="36"/>
  <c r="W34" i="36"/>
  <c r="X34" i="36" s="1"/>
  <c r="AB48" i="36"/>
  <c r="AC47" i="36"/>
  <c r="AB33" i="36"/>
  <c r="AC32" i="36"/>
  <c r="R10" i="35"/>
  <c r="AC33" i="35"/>
  <c r="AB34" i="35"/>
  <c r="AC34" i="35" s="1"/>
  <c r="W48" i="35"/>
  <c r="X48" i="35" s="1"/>
  <c r="X33" i="35"/>
  <c r="W34" i="35"/>
  <c r="X34" i="35" s="1"/>
  <c r="AB48" i="35"/>
  <c r="AC47" i="35"/>
  <c r="R11" i="35"/>
  <c r="Q11" i="35"/>
  <c r="N12" i="35"/>
  <c r="T12" i="35" s="1"/>
  <c r="AB25" i="35"/>
  <c r="AB24" i="35" s="1"/>
  <c r="AC26" i="35"/>
  <c r="Q10" i="34"/>
  <c r="R9" i="34"/>
  <c r="R10" i="34"/>
  <c r="X40" i="34"/>
  <c r="X39" i="34"/>
  <c r="AC24" i="34"/>
  <c r="AC25" i="34"/>
  <c r="R11" i="34"/>
  <c r="N12" i="34"/>
  <c r="T12" i="34" s="1"/>
  <c r="Q11" i="34"/>
  <c r="W26" i="34"/>
  <c r="X27" i="34"/>
  <c r="X33" i="34"/>
  <c r="W34" i="34"/>
  <c r="X34" i="34" s="1"/>
  <c r="X47" i="34"/>
  <c r="W48" i="34"/>
  <c r="AC33" i="34"/>
  <c r="AB34" i="34"/>
  <c r="AC34" i="34" s="1"/>
  <c r="Z55" i="33"/>
  <c r="Z54" i="33" s="1"/>
  <c r="AA56" i="33"/>
  <c r="AA31" i="33"/>
  <c r="Z32" i="33"/>
  <c r="AE33" i="33"/>
  <c r="AF32" i="33"/>
  <c r="AA27" i="33"/>
  <c r="Z26" i="33"/>
  <c r="S9" i="33"/>
  <c r="S10" i="33"/>
  <c r="W12" i="33"/>
  <c r="V12" i="33"/>
  <c r="U12" i="33"/>
  <c r="N13" i="33"/>
  <c r="S12" i="33"/>
  <c r="AE26" i="33"/>
  <c r="AF27" i="33"/>
  <c r="Z63" i="33"/>
  <c r="AA62" i="33"/>
  <c r="Z48" i="33"/>
  <c r="AA47" i="33"/>
  <c r="AE48" i="33"/>
  <c r="AF47" i="33"/>
  <c r="S11" i="32"/>
  <c r="S10" i="32"/>
  <c r="AA41" i="32"/>
  <c r="Z40" i="32"/>
  <c r="Z39" i="32" s="1"/>
  <c r="AA32" i="32"/>
  <c r="Z33" i="32"/>
  <c r="AE26" i="32"/>
  <c r="AF26" i="32" s="1"/>
  <c r="Z63" i="32"/>
  <c r="AA62" i="32"/>
  <c r="AA26" i="32"/>
  <c r="Z25" i="32"/>
  <c r="Z48" i="32"/>
  <c r="AA47" i="32"/>
  <c r="Z56" i="32"/>
  <c r="AA57" i="32"/>
  <c r="AF42" i="32"/>
  <c r="AE41" i="32"/>
  <c r="AE32" i="32"/>
  <c r="AF32" i="32" s="1"/>
  <c r="AE48" i="32"/>
  <c r="AF47" i="32"/>
  <c r="Q12" i="33" l="1"/>
  <c r="AF41" i="33"/>
  <c r="Q12" i="32"/>
  <c r="N13" i="32"/>
  <c r="W13" i="32" s="1"/>
  <c r="S12" i="32"/>
  <c r="X47" i="36"/>
  <c r="W48" i="36"/>
  <c r="V12" i="32"/>
  <c r="R12" i="32"/>
  <c r="U12" i="32"/>
  <c r="W40" i="35"/>
  <c r="W39" i="35" s="1"/>
  <c r="R13" i="33"/>
  <c r="Q13" i="33"/>
  <c r="B33" i="34"/>
  <c r="B35" i="34"/>
  <c r="AB40" i="35"/>
  <c r="AC40" i="35" s="1"/>
  <c r="W25" i="36"/>
  <c r="X26" i="36"/>
  <c r="O8" i="36"/>
  <c r="U8" i="36" s="1"/>
  <c r="X41" i="36"/>
  <c r="W40" i="36"/>
  <c r="AB40" i="34"/>
  <c r="AC41" i="34"/>
  <c r="AC48" i="36"/>
  <c r="AB49" i="36"/>
  <c r="AC49" i="36" s="1"/>
  <c r="Q12" i="36"/>
  <c r="N13" i="36"/>
  <c r="R12" i="36"/>
  <c r="AC40" i="36"/>
  <c r="AC39" i="36"/>
  <c r="AC33" i="36"/>
  <c r="AB34" i="36"/>
  <c r="AC34" i="36" s="1"/>
  <c r="W49" i="35"/>
  <c r="X49" i="35" s="1"/>
  <c r="Q12" i="35"/>
  <c r="N13" i="35"/>
  <c r="R12" i="35"/>
  <c r="AC24" i="35"/>
  <c r="AC25" i="35"/>
  <c r="AC48" i="35"/>
  <c r="AB49" i="35"/>
  <c r="AC49" i="35" s="1"/>
  <c r="AB39" i="35"/>
  <c r="AC39" i="35" s="1"/>
  <c r="Q12" i="34"/>
  <c r="N13" i="34"/>
  <c r="R12" i="34"/>
  <c r="X26" i="34"/>
  <c r="W25" i="34"/>
  <c r="X48" i="34"/>
  <c r="W49" i="34"/>
  <c r="X49" i="34" s="1"/>
  <c r="Z64" i="33"/>
  <c r="AA64" i="33" s="1"/>
  <c r="AA63" i="33"/>
  <c r="Z25" i="33"/>
  <c r="AA26" i="33"/>
  <c r="AA54" i="33"/>
  <c r="AA55" i="33"/>
  <c r="AA48" i="33"/>
  <c r="Z49" i="33"/>
  <c r="AA49" i="33" s="1"/>
  <c r="Z33" i="33"/>
  <c r="AA32" i="33"/>
  <c r="AE49" i="33"/>
  <c r="AF49" i="33" s="1"/>
  <c r="AF48" i="33"/>
  <c r="AE25" i="33"/>
  <c r="AF26" i="33"/>
  <c r="S13" i="33"/>
  <c r="N14" i="33"/>
  <c r="U13" i="33"/>
  <c r="W13" i="33"/>
  <c r="V13" i="33"/>
  <c r="AF33" i="33"/>
  <c r="AE34" i="33"/>
  <c r="AF34" i="33" s="1"/>
  <c r="AE33" i="32"/>
  <c r="AF33" i="32" s="1"/>
  <c r="AE40" i="32"/>
  <c r="AE39" i="32" s="1"/>
  <c r="AF41" i="32"/>
  <c r="Z34" i="32"/>
  <c r="AA34" i="32" s="1"/>
  <c r="AA33" i="32"/>
  <c r="AE49" i="32"/>
  <c r="AF49" i="32" s="1"/>
  <c r="AF48" i="32"/>
  <c r="AE25" i="32"/>
  <c r="AF25" i="32" s="1"/>
  <c r="AA39" i="32"/>
  <c r="AA40" i="32"/>
  <c r="Z49" i="32"/>
  <c r="AA49" i="32" s="1"/>
  <c r="AA48" i="32"/>
  <c r="AA25" i="32"/>
  <c r="Z24" i="32"/>
  <c r="AA24" i="32" s="1"/>
  <c r="AA56" i="32"/>
  <c r="Z55" i="32"/>
  <c r="Z64" i="32"/>
  <c r="AA64" i="32" s="1"/>
  <c r="AA63" i="32"/>
  <c r="R13" i="32" l="1"/>
  <c r="N14" i="32"/>
  <c r="R14" i="32" s="1"/>
  <c r="B42" i="34"/>
  <c r="B44" i="34" s="1"/>
  <c r="Q13" i="32"/>
  <c r="V13" i="32"/>
  <c r="S13" i="32"/>
  <c r="U13" i="32"/>
  <c r="Q14" i="33"/>
  <c r="R14" i="33"/>
  <c r="X40" i="35"/>
  <c r="X39" i="35"/>
  <c r="X48" i="36"/>
  <c r="W49" i="36"/>
  <c r="X49" i="36" s="1"/>
  <c r="X9" i="34"/>
  <c r="O49" i="36"/>
  <c r="X25" i="36"/>
  <c r="W24" i="36"/>
  <c r="X24" i="36" s="1"/>
  <c r="O8" i="33"/>
  <c r="T13" i="35"/>
  <c r="S13" i="35"/>
  <c r="AC40" i="34"/>
  <c r="AB39" i="34"/>
  <c r="AC39" i="34" s="1"/>
  <c r="T13" i="34"/>
  <c r="S13" i="34"/>
  <c r="T13" i="36"/>
  <c r="S13" i="36"/>
  <c r="X40" i="36"/>
  <c r="W39" i="36"/>
  <c r="X39" i="36" s="1"/>
  <c r="Q13" i="36"/>
  <c r="N14" i="36"/>
  <c r="T14" i="36" s="1"/>
  <c r="R13" i="36"/>
  <c r="Q13" i="35"/>
  <c r="N14" i="35"/>
  <c r="T14" i="35" s="1"/>
  <c r="R13" i="35"/>
  <c r="X25" i="34"/>
  <c r="W24" i="34"/>
  <c r="X24" i="34" s="1"/>
  <c r="Q13" i="34"/>
  <c r="N14" i="34"/>
  <c r="T14" i="34" s="1"/>
  <c r="R13" i="34"/>
  <c r="Z34" i="33"/>
  <c r="AA34" i="33" s="1"/>
  <c r="AA33" i="33"/>
  <c r="AF25" i="33"/>
  <c r="AE24" i="33"/>
  <c r="AF24" i="33" s="1"/>
  <c r="P14" i="33"/>
  <c r="W14" i="33"/>
  <c r="S14" i="33"/>
  <c r="N15" i="33"/>
  <c r="V14" i="33"/>
  <c r="U14" i="33"/>
  <c r="AA25" i="33"/>
  <c r="Z24" i="33"/>
  <c r="AA24" i="33" s="1"/>
  <c r="O8" i="32"/>
  <c r="Z54" i="32"/>
  <c r="AA54" i="32" s="1"/>
  <c r="AA55" i="32"/>
  <c r="AF40" i="32"/>
  <c r="AF39" i="32"/>
  <c r="AE24" i="32"/>
  <c r="AF24" i="32" s="1"/>
  <c r="Q14" i="32"/>
  <c r="P14" i="32"/>
  <c r="V14" i="32"/>
  <c r="U14" i="32"/>
  <c r="S14" i="32"/>
  <c r="AE34" i="32"/>
  <c r="AF34" i="32" s="1"/>
  <c r="W14" i="32" l="1"/>
  <c r="X14" i="32" s="1"/>
  <c r="N15" i="32"/>
  <c r="U15" i="32" s="1"/>
  <c r="R15" i="33"/>
  <c r="Q15" i="33"/>
  <c r="P12" i="36"/>
  <c r="U12" i="36" s="1"/>
  <c r="O8" i="35"/>
  <c r="F31" i="34"/>
  <c r="O8" i="34" s="1"/>
  <c r="X8" i="33"/>
  <c r="O49" i="33"/>
  <c r="P13" i="36"/>
  <c r="U13" i="36" s="1"/>
  <c r="P10" i="36"/>
  <c r="U10" i="36" s="1"/>
  <c r="P11" i="36"/>
  <c r="U11" i="36" s="1"/>
  <c r="P9" i="36"/>
  <c r="U9" i="36" s="1"/>
  <c r="Q14" i="36"/>
  <c r="P14" i="36"/>
  <c r="N15" i="36"/>
  <c r="T15" i="36" s="1"/>
  <c r="R14" i="36"/>
  <c r="Q14" i="35"/>
  <c r="P14" i="35"/>
  <c r="N15" i="35"/>
  <c r="T15" i="35" s="1"/>
  <c r="R14" i="35"/>
  <c r="Q14" i="34"/>
  <c r="N15" i="34"/>
  <c r="T15" i="34" s="1"/>
  <c r="R14" i="34"/>
  <c r="P14" i="34"/>
  <c r="U15" i="33"/>
  <c r="S15" i="33"/>
  <c r="P15" i="33"/>
  <c r="N16" i="33"/>
  <c r="W15" i="33"/>
  <c r="V15" i="33"/>
  <c r="X14" i="33"/>
  <c r="V15" i="32"/>
  <c r="X8" i="32"/>
  <c r="O49" i="32"/>
  <c r="W15" i="32" l="1"/>
  <c r="R15" i="32"/>
  <c r="N16" i="32"/>
  <c r="S15" i="32"/>
  <c r="Q15" i="32"/>
  <c r="P15" i="32"/>
  <c r="R16" i="33"/>
  <c r="Q16" i="33"/>
  <c r="P12" i="35"/>
  <c r="U12" i="35" s="1"/>
  <c r="F32" i="34"/>
  <c r="F33" i="34" s="1"/>
  <c r="P9" i="34" s="1"/>
  <c r="U9" i="34" s="1"/>
  <c r="P12" i="33"/>
  <c r="X12" i="33" s="1"/>
  <c r="U8" i="35"/>
  <c r="O49" i="35"/>
  <c r="O49" i="34"/>
  <c r="U8" i="34"/>
  <c r="Q15" i="36"/>
  <c r="P15" i="36"/>
  <c r="N16" i="36"/>
  <c r="T16" i="36" s="1"/>
  <c r="R15" i="36"/>
  <c r="U14" i="36"/>
  <c r="U14" i="35"/>
  <c r="Q15" i="35"/>
  <c r="P15" i="35"/>
  <c r="N16" i="35"/>
  <c r="T16" i="35" s="1"/>
  <c r="R15" i="35"/>
  <c r="U14" i="34"/>
  <c r="Q15" i="34"/>
  <c r="R15" i="34"/>
  <c r="N16" i="34"/>
  <c r="T16" i="34" s="1"/>
  <c r="P15" i="34"/>
  <c r="X15" i="33"/>
  <c r="N17" i="33"/>
  <c r="S16" i="33"/>
  <c r="W16" i="33"/>
  <c r="P16" i="33"/>
  <c r="U16" i="33"/>
  <c r="V16" i="33"/>
  <c r="P10" i="32"/>
  <c r="X10" i="32" s="1"/>
  <c r="S16" i="32"/>
  <c r="N17" i="32"/>
  <c r="R16" i="32"/>
  <c r="P16" i="32"/>
  <c r="W16" i="32"/>
  <c r="U16" i="32"/>
  <c r="Q16" i="32"/>
  <c r="V16" i="32"/>
  <c r="X15" i="32" l="1"/>
  <c r="R17" i="33"/>
  <c r="Q17" i="33"/>
  <c r="P10" i="35"/>
  <c r="U10" i="35" s="1"/>
  <c r="P9" i="35"/>
  <c r="U9" i="35" s="1"/>
  <c r="P11" i="35"/>
  <c r="U11" i="35" s="1"/>
  <c r="P13" i="35"/>
  <c r="U13" i="35" s="1"/>
  <c r="P12" i="34"/>
  <c r="U12" i="34" s="1"/>
  <c r="P10" i="34"/>
  <c r="U10" i="34" s="1"/>
  <c r="P13" i="34"/>
  <c r="U13" i="34" s="1"/>
  <c r="P11" i="34"/>
  <c r="U11" i="34" s="1"/>
  <c r="P10" i="33"/>
  <c r="X10" i="33" s="1"/>
  <c r="P13" i="33"/>
  <c r="X13" i="33" s="1"/>
  <c r="P9" i="33"/>
  <c r="X9" i="33" s="1"/>
  <c r="P11" i="33"/>
  <c r="X11" i="33" s="1"/>
  <c r="Q16" i="36"/>
  <c r="P16" i="36"/>
  <c r="N17" i="36"/>
  <c r="T17" i="36" s="1"/>
  <c r="R16" i="36"/>
  <c r="U15" i="36"/>
  <c r="Q16" i="35"/>
  <c r="P16" i="35"/>
  <c r="N17" i="35"/>
  <c r="T17" i="35" s="1"/>
  <c r="R16" i="35"/>
  <c r="U15" i="35"/>
  <c r="U15" i="34"/>
  <c r="P16" i="34"/>
  <c r="R16" i="34"/>
  <c r="Q16" i="34"/>
  <c r="N17" i="34"/>
  <c r="T17" i="34" s="1"/>
  <c r="W17" i="33"/>
  <c r="V17" i="33"/>
  <c r="S17" i="33"/>
  <c r="N18" i="33"/>
  <c r="P17" i="33"/>
  <c r="U17" i="33"/>
  <c r="X16" i="33"/>
  <c r="P9" i="32"/>
  <c r="X9" i="32" s="1"/>
  <c r="P12" i="32"/>
  <c r="X12" i="32" s="1"/>
  <c r="P13" i="32"/>
  <c r="X13" i="32" s="1"/>
  <c r="P11" i="32"/>
  <c r="X11" i="32" s="1"/>
  <c r="X16" i="32"/>
  <c r="P17" i="32"/>
  <c r="W17" i="32"/>
  <c r="U17" i="32"/>
  <c r="N18" i="32"/>
  <c r="R17" i="32"/>
  <c r="S17" i="32"/>
  <c r="V17" i="32"/>
  <c r="Q17" i="32"/>
  <c r="Q18" i="33" l="1"/>
  <c r="R18" i="33"/>
  <c r="Q17" i="36"/>
  <c r="P17" i="36"/>
  <c r="N18" i="36"/>
  <c r="R17" i="36"/>
  <c r="U16" i="36"/>
  <c r="U16" i="35"/>
  <c r="Q17" i="35"/>
  <c r="P17" i="35"/>
  <c r="N18" i="35"/>
  <c r="R17" i="35"/>
  <c r="U16" i="34"/>
  <c r="P17" i="34"/>
  <c r="R17" i="34"/>
  <c r="N18" i="34"/>
  <c r="Q17" i="34"/>
  <c r="S18" i="33"/>
  <c r="N19" i="33"/>
  <c r="P18" i="33"/>
  <c r="W18" i="33"/>
  <c r="V18" i="33"/>
  <c r="U18" i="33"/>
  <c r="X17" i="33"/>
  <c r="X17" i="32"/>
  <c r="U18" i="32"/>
  <c r="N19" i="32"/>
  <c r="R18" i="32"/>
  <c r="Q18" i="32"/>
  <c r="W18" i="32"/>
  <c r="S18" i="32"/>
  <c r="P18" i="32"/>
  <c r="V18" i="32"/>
  <c r="Q19" i="33" l="1"/>
  <c r="R19" i="33"/>
  <c r="S18" i="34"/>
  <c r="T18" i="34"/>
  <c r="S18" i="36"/>
  <c r="T18" i="36"/>
  <c r="S18" i="35"/>
  <c r="T18" i="35"/>
  <c r="Q18" i="36"/>
  <c r="P18" i="36"/>
  <c r="N19" i="36"/>
  <c r="T19" i="36" s="1"/>
  <c r="R18" i="36"/>
  <c r="U17" i="36"/>
  <c r="Q18" i="35"/>
  <c r="P18" i="35"/>
  <c r="N19" i="35"/>
  <c r="T19" i="35" s="1"/>
  <c r="R18" i="35"/>
  <c r="U17" i="35"/>
  <c r="U17" i="34"/>
  <c r="P18" i="34"/>
  <c r="R18" i="34"/>
  <c r="Q18" i="34"/>
  <c r="N19" i="34"/>
  <c r="T19" i="34" s="1"/>
  <c r="P19" i="33"/>
  <c r="S19" i="33"/>
  <c r="W19" i="33"/>
  <c r="N20" i="33"/>
  <c r="V19" i="33"/>
  <c r="U19" i="33"/>
  <c r="X18" i="33"/>
  <c r="N20" i="32"/>
  <c r="R19" i="32"/>
  <c r="Q19" i="32"/>
  <c r="W19" i="32"/>
  <c r="V19" i="32"/>
  <c r="S19" i="32"/>
  <c r="U19" i="32"/>
  <c r="P19" i="32"/>
  <c r="X18" i="32"/>
  <c r="Q20" i="33" l="1"/>
  <c r="R20" i="33"/>
  <c r="Q19" i="36"/>
  <c r="P19" i="36"/>
  <c r="N20" i="36"/>
  <c r="T20" i="36" s="1"/>
  <c r="R19" i="36"/>
  <c r="U18" i="36"/>
  <c r="Q19" i="35"/>
  <c r="P19" i="35"/>
  <c r="N20" i="35"/>
  <c r="T20" i="35" s="1"/>
  <c r="R19" i="35"/>
  <c r="U18" i="35"/>
  <c r="U18" i="34"/>
  <c r="P19" i="34"/>
  <c r="R19" i="34"/>
  <c r="Q19" i="34"/>
  <c r="N20" i="34"/>
  <c r="T20" i="34" s="1"/>
  <c r="V20" i="33"/>
  <c r="U20" i="33"/>
  <c r="W20" i="33"/>
  <c r="N21" i="33"/>
  <c r="P20" i="33"/>
  <c r="S20" i="33"/>
  <c r="X19" i="33"/>
  <c r="X19" i="32"/>
  <c r="W20" i="32"/>
  <c r="V20" i="32"/>
  <c r="S20" i="32"/>
  <c r="Q20" i="32"/>
  <c r="R20" i="32"/>
  <c r="P20" i="32"/>
  <c r="U20" i="32"/>
  <c r="N21" i="32"/>
  <c r="R21" i="33" l="1"/>
  <c r="Q21" i="33"/>
  <c r="Q20" i="36"/>
  <c r="P20" i="36"/>
  <c r="N21" i="36"/>
  <c r="T21" i="36" s="1"/>
  <c r="R20" i="36"/>
  <c r="U19" i="36"/>
  <c r="Q20" i="35"/>
  <c r="P20" i="35"/>
  <c r="N21" i="35"/>
  <c r="T21" i="35" s="1"/>
  <c r="R20" i="35"/>
  <c r="U19" i="35"/>
  <c r="U19" i="34"/>
  <c r="P20" i="34"/>
  <c r="R20" i="34"/>
  <c r="Q20" i="34"/>
  <c r="N21" i="34"/>
  <c r="T21" i="34" s="1"/>
  <c r="X20" i="33"/>
  <c r="N22" i="33"/>
  <c r="S21" i="33"/>
  <c r="P21" i="33"/>
  <c r="W21" i="33"/>
  <c r="V21" i="33"/>
  <c r="U21" i="33"/>
  <c r="N22" i="32"/>
  <c r="S21" i="32"/>
  <c r="Q21" i="32"/>
  <c r="P21" i="32"/>
  <c r="V21" i="32"/>
  <c r="W21" i="32"/>
  <c r="U21" i="32"/>
  <c r="R21" i="32"/>
  <c r="X20" i="32"/>
  <c r="R22" i="33" l="1"/>
  <c r="Q22" i="33"/>
  <c r="U20" i="36"/>
  <c r="Q21" i="36"/>
  <c r="N22" i="36"/>
  <c r="T22" i="36" s="1"/>
  <c r="P21" i="36"/>
  <c r="R21" i="36"/>
  <c r="Q21" i="35"/>
  <c r="N22" i="35"/>
  <c r="T22" i="35" s="1"/>
  <c r="P21" i="35"/>
  <c r="R21" i="35"/>
  <c r="U20" i="35"/>
  <c r="P21" i="34"/>
  <c r="Q21" i="34"/>
  <c r="R21" i="34"/>
  <c r="N22" i="34"/>
  <c r="T22" i="34" s="1"/>
  <c r="U20" i="34"/>
  <c r="X21" i="33"/>
  <c r="W22" i="33"/>
  <c r="V22" i="33"/>
  <c r="N23" i="33"/>
  <c r="P22" i="33"/>
  <c r="U22" i="33"/>
  <c r="S22" i="33"/>
  <c r="X21" i="32"/>
  <c r="P22" i="32"/>
  <c r="W22" i="32"/>
  <c r="U22" i="32"/>
  <c r="N23" i="32"/>
  <c r="R22" i="32"/>
  <c r="Q22" i="32"/>
  <c r="V22" i="32"/>
  <c r="S22" i="32"/>
  <c r="Q23" i="33" l="1"/>
  <c r="R23" i="33"/>
  <c r="P22" i="36"/>
  <c r="N23" i="36"/>
  <c r="R22" i="36"/>
  <c r="Q22" i="36"/>
  <c r="U21" i="36"/>
  <c r="U21" i="35"/>
  <c r="P22" i="35"/>
  <c r="N23" i="35"/>
  <c r="R22" i="35"/>
  <c r="Q22" i="35"/>
  <c r="P22" i="34"/>
  <c r="Q22" i="34"/>
  <c r="R22" i="34"/>
  <c r="N23" i="34"/>
  <c r="U21" i="34"/>
  <c r="X22" i="33"/>
  <c r="N24" i="33"/>
  <c r="S23" i="33"/>
  <c r="W23" i="33"/>
  <c r="V23" i="33"/>
  <c r="U23" i="33"/>
  <c r="P23" i="33"/>
  <c r="U23" i="32"/>
  <c r="N24" i="32"/>
  <c r="R23" i="32"/>
  <c r="Q23" i="32"/>
  <c r="W23" i="32"/>
  <c r="P23" i="32"/>
  <c r="V23" i="32"/>
  <c r="S23" i="32"/>
  <c r="X22" i="32"/>
  <c r="Q24" i="33" l="1"/>
  <c r="R24" i="33"/>
  <c r="S23" i="34"/>
  <c r="T23" i="34"/>
  <c r="T23" i="35"/>
  <c r="S23" i="35"/>
  <c r="S23" i="36"/>
  <c r="T23" i="36"/>
  <c r="P23" i="36"/>
  <c r="R23" i="36"/>
  <c r="N24" i="36"/>
  <c r="T24" i="36" s="1"/>
  <c r="Q23" i="36"/>
  <c r="U22" i="36"/>
  <c r="U22" i="35"/>
  <c r="P23" i="35"/>
  <c r="R23" i="35"/>
  <c r="N24" i="35"/>
  <c r="T24" i="35" s="1"/>
  <c r="Q23" i="35"/>
  <c r="P23" i="34"/>
  <c r="N24" i="34"/>
  <c r="T24" i="34" s="1"/>
  <c r="R23" i="34"/>
  <c r="Q23" i="34"/>
  <c r="U22" i="34"/>
  <c r="W24" i="33"/>
  <c r="V24" i="33"/>
  <c r="N25" i="33"/>
  <c r="U24" i="33"/>
  <c r="S24" i="33"/>
  <c r="P24" i="33"/>
  <c r="X23" i="33"/>
  <c r="N25" i="32"/>
  <c r="P24" i="32"/>
  <c r="W24" i="32"/>
  <c r="U24" i="32"/>
  <c r="R24" i="32"/>
  <c r="S24" i="32"/>
  <c r="Q24" i="32"/>
  <c r="V24" i="32"/>
  <c r="X23" i="32"/>
  <c r="Q25" i="33" l="1"/>
  <c r="R25" i="33"/>
  <c r="N25" i="36"/>
  <c r="T25" i="36" s="1"/>
  <c r="R24" i="36"/>
  <c r="Q24" i="36"/>
  <c r="P24" i="36"/>
  <c r="U23" i="36"/>
  <c r="N25" i="35"/>
  <c r="T25" i="35" s="1"/>
  <c r="R24" i="35"/>
  <c r="Q24" i="35"/>
  <c r="P24" i="35"/>
  <c r="U23" i="35"/>
  <c r="R24" i="34"/>
  <c r="P24" i="34"/>
  <c r="Q24" i="34"/>
  <c r="N25" i="34"/>
  <c r="T25" i="34" s="1"/>
  <c r="U23" i="34"/>
  <c r="V25" i="33"/>
  <c r="U25" i="33"/>
  <c r="P25" i="33"/>
  <c r="W25" i="33"/>
  <c r="N26" i="33"/>
  <c r="S25" i="33"/>
  <c r="X24" i="33"/>
  <c r="X24" i="32"/>
  <c r="W25" i="32"/>
  <c r="U25" i="32"/>
  <c r="V25" i="32"/>
  <c r="S25" i="32"/>
  <c r="Q25" i="32"/>
  <c r="N26" i="32"/>
  <c r="P25" i="32"/>
  <c r="R25" i="32"/>
  <c r="Q26" i="33" l="1"/>
  <c r="R26" i="33"/>
  <c r="U24" i="36"/>
  <c r="P25" i="36"/>
  <c r="N26" i="36"/>
  <c r="T26" i="36" s="1"/>
  <c r="R25" i="36"/>
  <c r="Q25" i="36"/>
  <c r="U24" i="35"/>
  <c r="P25" i="35"/>
  <c r="N26" i="35"/>
  <c r="T26" i="35" s="1"/>
  <c r="R25" i="35"/>
  <c r="Q25" i="35"/>
  <c r="P25" i="34"/>
  <c r="N26" i="34"/>
  <c r="T26" i="34" s="1"/>
  <c r="R25" i="34"/>
  <c r="Q25" i="34"/>
  <c r="U24" i="34"/>
  <c r="U26" i="33"/>
  <c r="S26" i="33"/>
  <c r="P26" i="33"/>
  <c r="N27" i="33"/>
  <c r="W26" i="33"/>
  <c r="V26" i="33"/>
  <c r="X25" i="33"/>
  <c r="V26" i="32"/>
  <c r="U26" i="32"/>
  <c r="S26" i="32"/>
  <c r="R26" i="32"/>
  <c r="N27" i="32"/>
  <c r="P26" i="32"/>
  <c r="W26" i="32"/>
  <c r="Q26" i="32"/>
  <c r="X25" i="32"/>
  <c r="Q27" i="33" l="1"/>
  <c r="R27" i="33"/>
  <c r="R26" i="36"/>
  <c r="Q26" i="36"/>
  <c r="N27" i="36"/>
  <c r="T27" i="36" s="1"/>
  <c r="P26" i="36"/>
  <c r="U25" i="36"/>
  <c r="R26" i="35"/>
  <c r="Q26" i="35"/>
  <c r="P26" i="35"/>
  <c r="N27" i="35"/>
  <c r="T27" i="35" s="1"/>
  <c r="U25" i="35"/>
  <c r="R26" i="34"/>
  <c r="P26" i="34"/>
  <c r="N27" i="34"/>
  <c r="T27" i="34" s="1"/>
  <c r="Q26" i="34"/>
  <c r="U25" i="34"/>
  <c r="X26" i="33"/>
  <c r="S27" i="33"/>
  <c r="W27" i="33"/>
  <c r="V27" i="33"/>
  <c r="P27" i="33"/>
  <c r="U27" i="33"/>
  <c r="N28" i="33"/>
  <c r="X26" i="32"/>
  <c r="U27" i="32"/>
  <c r="S27" i="32"/>
  <c r="N28" i="32"/>
  <c r="R27" i="32"/>
  <c r="Q27" i="32"/>
  <c r="W27" i="32"/>
  <c r="V27" i="32"/>
  <c r="P27" i="32"/>
  <c r="Q28" i="33" l="1"/>
  <c r="R28" i="33"/>
  <c r="U26" i="36"/>
  <c r="Q27" i="36"/>
  <c r="P27" i="36"/>
  <c r="R27" i="36"/>
  <c r="N28" i="36"/>
  <c r="U26" i="35"/>
  <c r="R27" i="35"/>
  <c r="Q27" i="35"/>
  <c r="P27" i="35"/>
  <c r="N28" i="35"/>
  <c r="R27" i="34"/>
  <c r="P27" i="34"/>
  <c r="Q27" i="34"/>
  <c r="N28" i="34"/>
  <c r="U26" i="34"/>
  <c r="X27" i="33"/>
  <c r="N29" i="33"/>
  <c r="P28" i="33"/>
  <c r="W28" i="33"/>
  <c r="V28" i="33"/>
  <c r="U28" i="33"/>
  <c r="S28" i="33"/>
  <c r="R28" i="32"/>
  <c r="Q28" i="32"/>
  <c r="N29" i="32"/>
  <c r="P28" i="32"/>
  <c r="W28" i="32"/>
  <c r="V28" i="32"/>
  <c r="U28" i="32"/>
  <c r="S28" i="32"/>
  <c r="X27" i="32"/>
  <c r="R29" i="33" l="1"/>
  <c r="Q29" i="33"/>
  <c r="S28" i="34"/>
  <c r="T28" i="34"/>
  <c r="T28" i="36"/>
  <c r="S28" i="36"/>
  <c r="T28" i="35"/>
  <c r="S28" i="35"/>
  <c r="N29" i="36"/>
  <c r="T29" i="36" s="1"/>
  <c r="R28" i="36"/>
  <c r="Q28" i="36"/>
  <c r="P28" i="36"/>
  <c r="U27" i="36"/>
  <c r="U27" i="35"/>
  <c r="N29" i="35"/>
  <c r="T29" i="35" s="1"/>
  <c r="R28" i="35"/>
  <c r="P28" i="35"/>
  <c r="Q28" i="35"/>
  <c r="N29" i="34"/>
  <c r="T29" i="34" s="1"/>
  <c r="R28" i="34"/>
  <c r="P28" i="34"/>
  <c r="Q28" i="34"/>
  <c r="U27" i="34"/>
  <c r="X28" i="33"/>
  <c r="P29" i="33"/>
  <c r="W29" i="33"/>
  <c r="U29" i="33"/>
  <c r="V29" i="33"/>
  <c r="N30" i="33"/>
  <c r="S29" i="33"/>
  <c r="Q29" i="32"/>
  <c r="W29" i="32"/>
  <c r="P29" i="32"/>
  <c r="N30" i="32"/>
  <c r="V29" i="32"/>
  <c r="U29" i="32"/>
  <c r="S29" i="32"/>
  <c r="R29" i="32"/>
  <c r="X28" i="32"/>
  <c r="R30" i="33" l="1"/>
  <c r="Q30" i="33"/>
  <c r="U28" i="36"/>
  <c r="P29" i="36"/>
  <c r="N30" i="36"/>
  <c r="T30" i="36" s="1"/>
  <c r="R29" i="36"/>
  <c r="Q29" i="36"/>
  <c r="U28" i="35"/>
  <c r="P29" i="35"/>
  <c r="N30" i="35"/>
  <c r="T30" i="35" s="1"/>
  <c r="Q29" i="35"/>
  <c r="R29" i="35"/>
  <c r="P29" i="34"/>
  <c r="Q29" i="34"/>
  <c r="N30" i="34"/>
  <c r="T30" i="34" s="1"/>
  <c r="R29" i="34"/>
  <c r="U28" i="34"/>
  <c r="P30" i="33"/>
  <c r="W30" i="33"/>
  <c r="V30" i="33"/>
  <c r="S30" i="33"/>
  <c r="U30" i="33"/>
  <c r="N31" i="33"/>
  <c r="X29" i="33"/>
  <c r="R30" i="32"/>
  <c r="P30" i="32"/>
  <c r="Q30" i="32"/>
  <c r="W30" i="32"/>
  <c r="V30" i="32"/>
  <c r="S30" i="32"/>
  <c r="N31" i="32"/>
  <c r="U30" i="32"/>
  <c r="X29" i="32"/>
  <c r="Q31" i="33" l="1"/>
  <c r="R31" i="33"/>
  <c r="R30" i="36"/>
  <c r="Q30" i="36"/>
  <c r="N31" i="36"/>
  <c r="T31" i="36" s="1"/>
  <c r="P30" i="36"/>
  <c r="U29" i="36"/>
  <c r="R30" i="35"/>
  <c r="Q30" i="35"/>
  <c r="N31" i="35"/>
  <c r="T31" i="35" s="1"/>
  <c r="P30" i="35"/>
  <c r="U29" i="35"/>
  <c r="R30" i="34"/>
  <c r="Q30" i="34"/>
  <c r="N31" i="34"/>
  <c r="T31" i="34" s="1"/>
  <c r="P30" i="34"/>
  <c r="U29" i="34"/>
  <c r="U31" i="33"/>
  <c r="W31" i="33"/>
  <c r="S31" i="33"/>
  <c r="N32" i="33"/>
  <c r="V31" i="33"/>
  <c r="P31" i="33"/>
  <c r="X30" i="33"/>
  <c r="V31" i="32"/>
  <c r="U31" i="32"/>
  <c r="N32" i="32"/>
  <c r="S31" i="32"/>
  <c r="R31" i="32"/>
  <c r="P31" i="32"/>
  <c r="Q31" i="32"/>
  <c r="W31" i="32"/>
  <c r="X30" i="32"/>
  <c r="R32" i="33" l="1"/>
  <c r="Q32" i="33"/>
  <c r="U30" i="36"/>
  <c r="R31" i="36"/>
  <c r="N32" i="36"/>
  <c r="T32" i="36" s="1"/>
  <c r="P31" i="36"/>
  <c r="Q31" i="36"/>
  <c r="U30" i="35"/>
  <c r="R31" i="35"/>
  <c r="Q31" i="35"/>
  <c r="N32" i="35"/>
  <c r="T32" i="35" s="1"/>
  <c r="P31" i="35"/>
  <c r="U30" i="34"/>
  <c r="R31" i="34"/>
  <c r="Q31" i="34"/>
  <c r="N32" i="34"/>
  <c r="T32" i="34" s="1"/>
  <c r="P31" i="34"/>
  <c r="P32" i="33"/>
  <c r="W32" i="33"/>
  <c r="N33" i="33"/>
  <c r="V32" i="33"/>
  <c r="S32" i="33"/>
  <c r="U32" i="33"/>
  <c r="X31" i="33"/>
  <c r="X31" i="32"/>
  <c r="N33" i="32"/>
  <c r="R32" i="32"/>
  <c r="P32" i="32"/>
  <c r="Q32" i="32"/>
  <c r="W32" i="32"/>
  <c r="V32" i="32"/>
  <c r="U32" i="32"/>
  <c r="S32" i="32"/>
  <c r="R33" i="33" l="1"/>
  <c r="Q33" i="33"/>
  <c r="U31" i="36"/>
  <c r="R32" i="36"/>
  <c r="Q32" i="36"/>
  <c r="P32" i="36"/>
  <c r="N33" i="36"/>
  <c r="U31" i="35"/>
  <c r="R32" i="35"/>
  <c r="Q32" i="35"/>
  <c r="N33" i="35"/>
  <c r="P32" i="35"/>
  <c r="U31" i="34"/>
  <c r="R32" i="34"/>
  <c r="Q32" i="34"/>
  <c r="N33" i="34"/>
  <c r="P32" i="34"/>
  <c r="V33" i="33"/>
  <c r="U33" i="33"/>
  <c r="P33" i="33"/>
  <c r="N34" i="33"/>
  <c r="S33" i="33"/>
  <c r="W33" i="33"/>
  <c r="X32" i="33"/>
  <c r="X32" i="32"/>
  <c r="W33" i="32"/>
  <c r="U33" i="32"/>
  <c r="V33" i="32"/>
  <c r="S33" i="32"/>
  <c r="Q33" i="32"/>
  <c r="P33" i="32"/>
  <c r="N34" i="32"/>
  <c r="R33" i="32"/>
  <c r="Q34" i="33" l="1"/>
  <c r="R34" i="33"/>
  <c r="S33" i="36"/>
  <c r="T33" i="36"/>
  <c r="S33" i="34"/>
  <c r="T33" i="34"/>
  <c r="S33" i="35"/>
  <c r="T33" i="35"/>
  <c r="U32" i="36"/>
  <c r="Q33" i="36"/>
  <c r="P33" i="36"/>
  <c r="N34" i="36"/>
  <c r="T34" i="36" s="1"/>
  <c r="R33" i="36"/>
  <c r="Q33" i="35"/>
  <c r="P33" i="35"/>
  <c r="N34" i="35"/>
  <c r="T34" i="35" s="1"/>
  <c r="R33" i="35"/>
  <c r="U32" i="35"/>
  <c r="Q33" i="34"/>
  <c r="P33" i="34"/>
  <c r="N34" i="34"/>
  <c r="T34" i="34" s="1"/>
  <c r="R33" i="34"/>
  <c r="U32" i="34"/>
  <c r="X33" i="33"/>
  <c r="S34" i="33"/>
  <c r="P34" i="33"/>
  <c r="W34" i="33"/>
  <c r="N35" i="33"/>
  <c r="V34" i="33"/>
  <c r="U34" i="33"/>
  <c r="R34" i="32"/>
  <c r="S34" i="32"/>
  <c r="N35" i="32"/>
  <c r="Q34" i="32"/>
  <c r="P34" i="32"/>
  <c r="V34" i="32"/>
  <c r="W34" i="32"/>
  <c r="U34" i="32"/>
  <c r="X33" i="32"/>
  <c r="Q35" i="33" l="1"/>
  <c r="R35" i="33"/>
  <c r="U33" i="36"/>
  <c r="Q34" i="36"/>
  <c r="P34" i="36"/>
  <c r="N35" i="36"/>
  <c r="T35" i="36" s="1"/>
  <c r="R34" i="36"/>
  <c r="U33" i="35"/>
  <c r="Q34" i="35"/>
  <c r="P34" i="35"/>
  <c r="N35" i="35"/>
  <c r="T35" i="35" s="1"/>
  <c r="R34" i="35"/>
  <c r="Q34" i="34"/>
  <c r="P34" i="34"/>
  <c r="N35" i="34"/>
  <c r="T35" i="34" s="1"/>
  <c r="R34" i="34"/>
  <c r="U33" i="34"/>
  <c r="X34" i="33"/>
  <c r="P35" i="33"/>
  <c r="U35" i="33"/>
  <c r="S35" i="33"/>
  <c r="N36" i="33"/>
  <c r="W35" i="33"/>
  <c r="V35" i="33"/>
  <c r="R35" i="32"/>
  <c r="P35" i="32"/>
  <c r="Q35" i="32"/>
  <c r="W35" i="32"/>
  <c r="V35" i="32"/>
  <c r="N36" i="32"/>
  <c r="S35" i="32"/>
  <c r="U35" i="32"/>
  <c r="X34" i="32"/>
  <c r="Q36" i="33" l="1"/>
  <c r="R36" i="33"/>
  <c r="U34" i="36"/>
  <c r="Q35" i="36"/>
  <c r="P35" i="36"/>
  <c r="N36" i="36"/>
  <c r="T36" i="36" s="1"/>
  <c r="R35" i="36"/>
  <c r="Q35" i="35"/>
  <c r="P35" i="35"/>
  <c r="N36" i="35"/>
  <c r="T36" i="35" s="1"/>
  <c r="R35" i="35"/>
  <c r="U34" i="35"/>
  <c r="U34" i="34"/>
  <c r="Q35" i="34"/>
  <c r="P35" i="34"/>
  <c r="N36" i="34"/>
  <c r="T36" i="34" s="1"/>
  <c r="R35" i="34"/>
  <c r="X35" i="33"/>
  <c r="S36" i="33"/>
  <c r="N37" i="33"/>
  <c r="W36" i="33"/>
  <c r="V36" i="33"/>
  <c r="P36" i="33"/>
  <c r="U36" i="33"/>
  <c r="N37" i="32"/>
  <c r="U36" i="32"/>
  <c r="S36" i="32"/>
  <c r="R36" i="32"/>
  <c r="Q36" i="32"/>
  <c r="P36" i="32"/>
  <c r="W36" i="32"/>
  <c r="V36" i="32"/>
  <c r="X35" i="32"/>
  <c r="R37" i="33" l="1"/>
  <c r="Q37" i="33"/>
  <c r="R36" i="36"/>
  <c r="N37" i="36"/>
  <c r="T37" i="36" s="1"/>
  <c r="Q36" i="36"/>
  <c r="P36" i="36"/>
  <c r="U35" i="36"/>
  <c r="R36" i="35"/>
  <c r="N37" i="35"/>
  <c r="T37" i="35" s="1"/>
  <c r="Q36" i="35"/>
  <c r="P36" i="35"/>
  <c r="U35" i="35"/>
  <c r="R36" i="34"/>
  <c r="P36" i="34"/>
  <c r="N37" i="34"/>
  <c r="T37" i="34" s="1"/>
  <c r="Q36" i="34"/>
  <c r="U35" i="34"/>
  <c r="V37" i="33"/>
  <c r="N38" i="33"/>
  <c r="U37" i="33"/>
  <c r="S37" i="33"/>
  <c r="W37" i="33"/>
  <c r="P37" i="33"/>
  <c r="X36" i="33"/>
  <c r="X36" i="32"/>
  <c r="W37" i="32"/>
  <c r="N38" i="32"/>
  <c r="V37" i="32"/>
  <c r="U37" i="32"/>
  <c r="R37" i="32"/>
  <c r="S37" i="32"/>
  <c r="Q37" i="32"/>
  <c r="P37" i="32"/>
  <c r="R38" i="33" l="1"/>
  <c r="Q38" i="33"/>
  <c r="N38" i="36"/>
  <c r="Q37" i="36"/>
  <c r="P37" i="36"/>
  <c r="R37" i="36"/>
  <c r="U36" i="36"/>
  <c r="U36" i="35"/>
  <c r="R37" i="35"/>
  <c r="N38" i="35"/>
  <c r="Q37" i="35"/>
  <c r="P37" i="35"/>
  <c r="U36" i="34"/>
  <c r="R37" i="34"/>
  <c r="N38" i="34"/>
  <c r="Q37" i="34"/>
  <c r="P37" i="34"/>
  <c r="X37" i="33"/>
  <c r="P38" i="33"/>
  <c r="W38" i="33"/>
  <c r="V38" i="33"/>
  <c r="U38" i="33"/>
  <c r="N39" i="33"/>
  <c r="S38" i="33"/>
  <c r="X37" i="32"/>
  <c r="Q38" i="32"/>
  <c r="P38" i="32"/>
  <c r="W38" i="32"/>
  <c r="N39" i="32"/>
  <c r="V38" i="32"/>
  <c r="U38" i="32"/>
  <c r="S38" i="32"/>
  <c r="R38" i="32"/>
  <c r="Q39" i="33" l="1"/>
  <c r="R39" i="33"/>
  <c r="T38" i="34"/>
  <c r="S38" i="34"/>
  <c r="S38" i="35"/>
  <c r="T38" i="35"/>
  <c r="T38" i="36"/>
  <c r="S38" i="36"/>
  <c r="U37" i="36"/>
  <c r="N39" i="36"/>
  <c r="T39" i="36" s="1"/>
  <c r="R38" i="36"/>
  <c r="Q38" i="36"/>
  <c r="P38" i="36"/>
  <c r="U37" i="35"/>
  <c r="N39" i="35"/>
  <c r="T39" i="35" s="1"/>
  <c r="R38" i="35"/>
  <c r="Q38" i="35"/>
  <c r="P38" i="35"/>
  <c r="U37" i="34"/>
  <c r="N39" i="34"/>
  <c r="T39" i="34" s="1"/>
  <c r="R38" i="34"/>
  <c r="Q38" i="34"/>
  <c r="P38" i="34"/>
  <c r="X38" i="33"/>
  <c r="W39" i="33"/>
  <c r="P39" i="33"/>
  <c r="S39" i="33"/>
  <c r="V39" i="33"/>
  <c r="U39" i="33"/>
  <c r="N40" i="33"/>
  <c r="R39" i="32"/>
  <c r="Q39" i="32"/>
  <c r="W39" i="32"/>
  <c r="V39" i="32"/>
  <c r="U39" i="32"/>
  <c r="S39" i="32"/>
  <c r="P39" i="32"/>
  <c r="N40" i="32"/>
  <c r="X38" i="32"/>
  <c r="Q40" i="33" l="1"/>
  <c r="R40" i="33"/>
  <c r="U38" i="36"/>
  <c r="N40" i="36"/>
  <c r="T40" i="36" s="1"/>
  <c r="R39" i="36"/>
  <c r="Q39" i="36"/>
  <c r="P39" i="36"/>
  <c r="U38" i="35"/>
  <c r="N40" i="35"/>
  <c r="T40" i="35" s="1"/>
  <c r="Q39" i="35"/>
  <c r="R39" i="35"/>
  <c r="P39" i="35"/>
  <c r="U38" i="34"/>
  <c r="N40" i="34"/>
  <c r="T40" i="34" s="1"/>
  <c r="Q39" i="34"/>
  <c r="R39" i="34"/>
  <c r="P39" i="34"/>
  <c r="U40" i="33"/>
  <c r="S40" i="33"/>
  <c r="V40" i="33"/>
  <c r="P40" i="33"/>
  <c r="N41" i="33"/>
  <c r="W40" i="33"/>
  <c r="X39" i="33"/>
  <c r="V40" i="32"/>
  <c r="U40" i="32"/>
  <c r="S40" i="32"/>
  <c r="N41" i="32"/>
  <c r="R40" i="32"/>
  <c r="Q40" i="32"/>
  <c r="P40" i="32"/>
  <c r="W40" i="32"/>
  <c r="X39" i="32"/>
  <c r="R41" i="33" l="1"/>
  <c r="Q41" i="33"/>
  <c r="U39" i="36"/>
  <c r="P40" i="36"/>
  <c r="N41" i="36"/>
  <c r="T41" i="36" s="1"/>
  <c r="R40" i="36"/>
  <c r="Q40" i="36"/>
  <c r="U39" i="35"/>
  <c r="P40" i="35"/>
  <c r="N41" i="35"/>
  <c r="T41" i="35" s="1"/>
  <c r="R40" i="35"/>
  <c r="Q40" i="35"/>
  <c r="U39" i="34"/>
  <c r="P40" i="34"/>
  <c r="N41" i="34"/>
  <c r="T41" i="34" s="1"/>
  <c r="R40" i="34"/>
  <c r="Q40" i="34"/>
  <c r="X40" i="33"/>
  <c r="N42" i="33"/>
  <c r="P41" i="33"/>
  <c r="W41" i="33"/>
  <c r="U41" i="33"/>
  <c r="V41" i="33"/>
  <c r="S41" i="33"/>
  <c r="S41" i="32"/>
  <c r="R41" i="32"/>
  <c r="N42" i="32"/>
  <c r="Q41" i="32"/>
  <c r="P41" i="32"/>
  <c r="W41" i="32"/>
  <c r="V41" i="32"/>
  <c r="U41" i="32"/>
  <c r="X40" i="32"/>
  <c r="Q42" i="33" l="1"/>
  <c r="R42" i="33"/>
  <c r="Q41" i="36"/>
  <c r="P41" i="36"/>
  <c r="N42" i="36"/>
  <c r="T42" i="36" s="1"/>
  <c r="R41" i="36"/>
  <c r="U40" i="36"/>
  <c r="Q41" i="35"/>
  <c r="P41" i="35"/>
  <c r="N42" i="35"/>
  <c r="T42" i="35" s="1"/>
  <c r="R41" i="35"/>
  <c r="U40" i="35"/>
  <c r="Q41" i="34"/>
  <c r="P41" i="34"/>
  <c r="N42" i="34"/>
  <c r="T42" i="34" s="1"/>
  <c r="R41" i="34"/>
  <c r="U40" i="34"/>
  <c r="N43" i="33"/>
  <c r="P42" i="33"/>
  <c r="V42" i="33"/>
  <c r="W42" i="33"/>
  <c r="S42" i="33"/>
  <c r="U42" i="33"/>
  <c r="X41" i="33"/>
  <c r="X41" i="32"/>
  <c r="Q42" i="32"/>
  <c r="N43" i="32"/>
  <c r="P42" i="32"/>
  <c r="W42" i="32"/>
  <c r="V42" i="32"/>
  <c r="U42" i="32"/>
  <c r="S42" i="32"/>
  <c r="R42" i="32"/>
  <c r="Q43" i="33" l="1"/>
  <c r="R43" i="33"/>
  <c r="R42" i="36"/>
  <c r="P42" i="36"/>
  <c r="N43" i="36"/>
  <c r="Q42" i="36"/>
  <c r="U41" i="36"/>
  <c r="U41" i="35"/>
  <c r="R42" i="35"/>
  <c r="Q42" i="35"/>
  <c r="P42" i="35"/>
  <c r="N43" i="35"/>
  <c r="R42" i="34"/>
  <c r="Q42" i="34"/>
  <c r="P42" i="34"/>
  <c r="N43" i="34"/>
  <c r="U41" i="34"/>
  <c r="X42" i="33"/>
  <c r="W43" i="33"/>
  <c r="V43" i="33"/>
  <c r="U43" i="33"/>
  <c r="N44" i="33"/>
  <c r="S43" i="33"/>
  <c r="P43" i="33"/>
  <c r="X42" i="32"/>
  <c r="N44" i="32"/>
  <c r="P43" i="32"/>
  <c r="W43" i="32"/>
  <c r="V43" i="32"/>
  <c r="U43" i="32"/>
  <c r="S43" i="32"/>
  <c r="R43" i="32"/>
  <c r="Q43" i="32"/>
  <c r="Q44" i="33" l="1"/>
  <c r="R44" i="33"/>
  <c r="T43" i="36"/>
  <c r="S43" i="36"/>
  <c r="T43" i="35"/>
  <c r="S43" i="35"/>
  <c r="S43" i="34"/>
  <c r="T43" i="34"/>
  <c r="R43" i="36"/>
  <c r="P43" i="36"/>
  <c r="N44" i="36"/>
  <c r="T44" i="36" s="1"/>
  <c r="Q43" i="36"/>
  <c r="U42" i="36"/>
  <c r="R43" i="35"/>
  <c r="Q43" i="35"/>
  <c r="P43" i="35"/>
  <c r="N44" i="35"/>
  <c r="T44" i="35" s="1"/>
  <c r="U42" i="35"/>
  <c r="R43" i="34"/>
  <c r="Q43" i="34"/>
  <c r="P43" i="34"/>
  <c r="N44" i="34"/>
  <c r="T44" i="34" s="1"/>
  <c r="U42" i="34"/>
  <c r="V44" i="33"/>
  <c r="U44" i="33"/>
  <c r="W44" i="33"/>
  <c r="N45" i="33"/>
  <c r="P44" i="33"/>
  <c r="S44" i="33"/>
  <c r="X43" i="33"/>
  <c r="X43" i="32"/>
  <c r="N45" i="32"/>
  <c r="W44" i="32"/>
  <c r="V44" i="32"/>
  <c r="U44" i="32"/>
  <c r="S44" i="32"/>
  <c r="R44" i="32"/>
  <c r="Q44" i="32"/>
  <c r="P44" i="32"/>
  <c r="R45" i="33" l="1"/>
  <c r="Q45" i="33"/>
  <c r="U43" i="36"/>
  <c r="N45" i="36"/>
  <c r="T45" i="36" s="1"/>
  <c r="Q44" i="36"/>
  <c r="P44" i="36"/>
  <c r="R44" i="36"/>
  <c r="N45" i="35"/>
  <c r="T45" i="35" s="1"/>
  <c r="R44" i="35"/>
  <c r="Q44" i="35"/>
  <c r="P44" i="35"/>
  <c r="U43" i="35"/>
  <c r="N45" i="34"/>
  <c r="T45" i="34" s="1"/>
  <c r="R44" i="34"/>
  <c r="Q44" i="34"/>
  <c r="P44" i="34"/>
  <c r="U43" i="34"/>
  <c r="V45" i="33"/>
  <c r="U45" i="33"/>
  <c r="W45" i="33"/>
  <c r="S45" i="33"/>
  <c r="P45" i="33"/>
  <c r="N46" i="33"/>
  <c r="X44" i="33"/>
  <c r="W45" i="32"/>
  <c r="V45" i="32"/>
  <c r="U45" i="32"/>
  <c r="R45" i="32"/>
  <c r="S45" i="32"/>
  <c r="N46" i="32"/>
  <c r="Q45" i="32"/>
  <c r="P45" i="32"/>
  <c r="X44" i="32"/>
  <c r="R46" i="33" l="1"/>
  <c r="Q46" i="33"/>
  <c r="U44" i="36"/>
  <c r="N46" i="36"/>
  <c r="T46" i="36" s="1"/>
  <c r="R45" i="36"/>
  <c r="Q45" i="36"/>
  <c r="P45" i="36"/>
  <c r="U44" i="35"/>
  <c r="N46" i="35"/>
  <c r="T46" i="35" s="1"/>
  <c r="R45" i="35"/>
  <c r="Q45" i="35"/>
  <c r="P45" i="35"/>
  <c r="U44" i="34"/>
  <c r="N46" i="34"/>
  <c r="T46" i="34" s="1"/>
  <c r="R45" i="34"/>
  <c r="Q45" i="34"/>
  <c r="P45" i="34"/>
  <c r="X45" i="33"/>
  <c r="S46" i="33"/>
  <c r="N47" i="33"/>
  <c r="P46" i="33"/>
  <c r="W46" i="33"/>
  <c r="U46" i="33"/>
  <c r="V46" i="33"/>
  <c r="S46" i="32"/>
  <c r="R46" i="32"/>
  <c r="N47" i="32"/>
  <c r="Q46" i="32"/>
  <c r="W46" i="32"/>
  <c r="P46" i="32"/>
  <c r="V46" i="32"/>
  <c r="U46" i="32"/>
  <c r="X45" i="32"/>
  <c r="Q47" i="33" l="1"/>
  <c r="R47" i="33"/>
  <c r="U45" i="36"/>
  <c r="P46" i="36"/>
  <c r="N47" i="36"/>
  <c r="T47" i="36" s="1"/>
  <c r="R46" i="36"/>
  <c r="Q46" i="36"/>
  <c r="U45" i="35"/>
  <c r="P46" i="35"/>
  <c r="N47" i="35"/>
  <c r="T47" i="35" s="1"/>
  <c r="R46" i="35"/>
  <c r="Q46" i="35"/>
  <c r="U45" i="34"/>
  <c r="P46" i="34"/>
  <c r="N47" i="34"/>
  <c r="T47" i="34" s="1"/>
  <c r="R46" i="34"/>
  <c r="Q46" i="34"/>
  <c r="X46" i="33"/>
  <c r="N48" i="33"/>
  <c r="P47" i="33"/>
  <c r="W47" i="33"/>
  <c r="U47" i="33"/>
  <c r="S47" i="33"/>
  <c r="V47" i="33"/>
  <c r="X46" i="32"/>
  <c r="R47" i="32"/>
  <c r="N48" i="32"/>
  <c r="Q47" i="32"/>
  <c r="P47" i="32"/>
  <c r="W47" i="32"/>
  <c r="V47" i="32"/>
  <c r="U47" i="32"/>
  <c r="S47" i="32"/>
  <c r="Q48" i="33" l="1"/>
  <c r="Q49" i="33" s="1"/>
  <c r="R48" i="33"/>
  <c r="R49" i="33" s="1"/>
  <c r="Q47" i="36"/>
  <c r="P47" i="36"/>
  <c r="N48" i="36"/>
  <c r="R47" i="36"/>
  <c r="U46" i="36"/>
  <c r="Q47" i="35"/>
  <c r="P47" i="35"/>
  <c r="N48" i="35"/>
  <c r="R47" i="35"/>
  <c r="U46" i="35"/>
  <c r="Q47" i="34"/>
  <c r="P47" i="34"/>
  <c r="N48" i="34"/>
  <c r="R47" i="34"/>
  <c r="U46" i="34"/>
  <c r="X47" i="33"/>
  <c r="W48" i="33"/>
  <c r="W49" i="33" s="1"/>
  <c r="P59" i="33" s="1"/>
  <c r="R59" i="33" s="1"/>
  <c r="V48" i="33"/>
  <c r="V49" i="33" s="1"/>
  <c r="U48" i="33"/>
  <c r="U49" i="33" s="1"/>
  <c r="P48" i="33"/>
  <c r="S48" i="33"/>
  <c r="S49" i="33" s="1"/>
  <c r="X47" i="32"/>
  <c r="P48" i="32"/>
  <c r="W48" i="32"/>
  <c r="W49" i="32" s="1"/>
  <c r="P59" i="32" s="1"/>
  <c r="R59" i="32" s="1"/>
  <c r="V48" i="32"/>
  <c r="V49" i="32" s="1"/>
  <c r="U48" i="32"/>
  <c r="U49" i="32" s="1"/>
  <c r="S48" i="32"/>
  <c r="S49" i="32" s="1"/>
  <c r="R48" i="32"/>
  <c r="R49" i="32" s="1"/>
  <c r="Q48" i="32"/>
  <c r="Q49" i="32" s="1"/>
  <c r="P58" i="32" l="1"/>
  <c r="R58" i="32" s="1"/>
  <c r="T48" i="34"/>
  <c r="T49" i="34" s="1"/>
  <c r="P58" i="34" s="1"/>
  <c r="R58" i="34" s="1"/>
  <c r="S48" i="34"/>
  <c r="S49" i="34" s="1"/>
  <c r="S48" i="36"/>
  <c r="S49" i="36" s="1"/>
  <c r="T48" i="36"/>
  <c r="S48" i="35"/>
  <c r="T48" i="35"/>
  <c r="T49" i="35" s="1"/>
  <c r="P58" i="35" s="1"/>
  <c r="R58" i="35" s="1"/>
  <c r="P58" i="33"/>
  <c r="R58" i="33" s="1"/>
  <c r="U47" i="36"/>
  <c r="R48" i="36"/>
  <c r="R49" i="36" s="1"/>
  <c r="R50" i="36" s="1"/>
  <c r="P48" i="36"/>
  <c r="Q48" i="36"/>
  <c r="Q49" i="36" s="1"/>
  <c r="P56" i="36" s="1"/>
  <c r="R56" i="36" s="1"/>
  <c r="T49" i="36"/>
  <c r="P58" i="36" s="1"/>
  <c r="R58" i="36" s="1"/>
  <c r="U47" i="35"/>
  <c r="S49" i="35"/>
  <c r="R48" i="35"/>
  <c r="R49" i="35" s="1"/>
  <c r="Q48" i="35"/>
  <c r="Q49" i="35" s="1"/>
  <c r="P56" i="35" s="1"/>
  <c r="R56" i="35" s="1"/>
  <c r="P48" i="35"/>
  <c r="R48" i="34"/>
  <c r="R49" i="34" s="1"/>
  <c r="Q48" i="34"/>
  <c r="Q49" i="34" s="1"/>
  <c r="P56" i="34" s="1"/>
  <c r="R56" i="34" s="1"/>
  <c r="P48" i="34"/>
  <c r="U47" i="34"/>
  <c r="P56" i="33"/>
  <c r="R56" i="33" s="1"/>
  <c r="X48" i="33"/>
  <c r="X49" i="33" s="1"/>
  <c r="P49" i="33"/>
  <c r="P55" i="33" s="1"/>
  <c r="P57" i="33"/>
  <c r="R57" i="33" s="1"/>
  <c r="P57" i="32"/>
  <c r="R57" i="32" s="1"/>
  <c r="X48" i="32"/>
  <c r="X49" i="32" s="1"/>
  <c r="AB68" i="32" s="1"/>
  <c r="P49" i="32"/>
  <c r="P55" i="32" s="1"/>
  <c r="P56" i="32"/>
  <c r="R56" i="32" s="1"/>
  <c r="R50" i="35" l="1"/>
  <c r="R50" i="34"/>
  <c r="AG53" i="33"/>
  <c r="AB68" i="33"/>
  <c r="AG23" i="32"/>
  <c r="AG53" i="32"/>
  <c r="U48" i="36"/>
  <c r="U49" i="36" s="1"/>
  <c r="Y53" i="36" s="1"/>
  <c r="P49" i="36"/>
  <c r="P55" i="36" s="1"/>
  <c r="P57" i="36"/>
  <c r="R57" i="36" s="1"/>
  <c r="U48" i="35"/>
  <c r="U49" i="35" s="1"/>
  <c r="P49" i="35"/>
  <c r="P55" i="35" s="1"/>
  <c r="P57" i="35"/>
  <c r="R57" i="35" s="1"/>
  <c r="P57" i="34"/>
  <c r="R57" i="34" s="1"/>
  <c r="U48" i="34"/>
  <c r="U49" i="34" s="1"/>
  <c r="Y53" i="34" s="1"/>
  <c r="P49" i="34"/>
  <c r="P55" i="34" s="1"/>
  <c r="P60" i="33"/>
  <c r="R55" i="33"/>
  <c r="R60" i="33" s="1"/>
  <c r="B2" i="33"/>
  <c r="B3" i="33" s="1"/>
  <c r="AG23" i="33"/>
  <c r="AB53" i="33"/>
  <c r="AG38" i="33"/>
  <c r="AB38" i="33"/>
  <c r="AB23" i="33"/>
  <c r="P60" i="32"/>
  <c r="R55" i="32"/>
  <c r="R60" i="32" s="1"/>
  <c r="AB23" i="32"/>
  <c r="AB53" i="32"/>
  <c r="B2" i="32"/>
  <c r="B3" i="32" s="1"/>
  <c r="AG38" i="32"/>
  <c r="AB38" i="32"/>
  <c r="Y38" i="35" l="1"/>
  <c r="Y53" i="35"/>
  <c r="AD23" i="36"/>
  <c r="Y23" i="36"/>
  <c r="Y38" i="36"/>
  <c r="AD38" i="36"/>
  <c r="B2" i="36"/>
  <c r="B3" i="36" s="1"/>
  <c r="R55" i="36"/>
  <c r="R60" i="36" s="1"/>
  <c r="P60" i="36"/>
  <c r="R55" i="35"/>
  <c r="R60" i="35" s="1"/>
  <c r="P60" i="35"/>
  <c r="AD23" i="35"/>
  <c r="Y23" i="35"/>
  <c r="AD38" i="35"/>
  <c r="B2" i="35"/>
  <c r="B3" i="35" s="1"/>
  <c r="R55" i="34"/>
  <c r="R60" i="34" s="1"/>
  <c r="P60" i="34"/>
  <c r="AD23" i="34"/>
  <c r="AD38" i="34"/>
  <c r="Y38" i="34"/>
  <c r="Y23" i="34"/>
  <c r="B2" i="34"/>
  <c r="B3" i="34" s="1"/>
  <c r="AA12" i="1" l="1"/>
  <c r="AA59" i="1" l="1"/>
  <c r="AC64" i="1"/>
  <c r="AO32" i="1" s="1"/>
  <c r="G15" i="37" s="1"/>
  <c r="AC63" i="1"/>
  <c r="AO31" i="1" s="1"/>
  <c r="G14" i="37" s="1"/>
  <c r="AC62" i="1"/>
  <c r="AO30" i="1" s="1"/>
  <c r="G13" i="37" s="1"/>
  <c r="AC61" i="1"/>
  <c r="AO29" i="1" s="1"/>
  <c r="G12" i="37" s="1"/>
  <c r="AC60" i="1"/>
  <c r="AO28" i="1" s="1"/>
  <c r="G11" i="37" s="1"/>
  <c r="Z60" i="1"/>
  <c r="Z61" i="1" s="1"/>
  <c r="AA61" i="1" s="1"/>
  <c r="AC59" i="1"/>
  <c r="AO27" i="1" s="1"/>
  <c r="G10" i="37" s="1"/>
  <c r="AC58" i="1"/>
  <c r="AO26" i="1" s="1"/>
  <c r="G9" i="37" s="1"/>
  <c r="Z58" i="1"/>
  <c r="Z57" i="1" s="1"/>
  <c r="AA57" i="1" s="1"/>
  <c r="AC57" i="1"/>
  <c r="AO25" i="1" s="1"/>
  <c r="G8" i="37" s="1"/>
  <c r="AC56" i="1"/>
  <c r="AO24" i="1" s="1"/>
  <c r="G7" i="37" s="1"/>
  <c r="AC55" i="1"/>
  <c r="AO23" i="1" s="1"/>
  <c r="G6" i="37" s="1"/>
  <c r="AC54" i="1"/>
  <c r="AO22" i="1" s="1"/>
  <c r="G5" i="37" s="1"/>
  <c r="F37" i="1"/>
  <c r="F40" i="1" s="1"/>
  <c r="AA60" i="1" l="1"/>
  <c r="AA58" i="1"/>
  <c r="Z62" i="1"/>
  <c r="AA62" i="1" s="1"/>
  <c r="Z56" i="1"/>
  <c r="AA56" i="1" s="1"/>
  <c r="B31" i="1"/>
  <c r="J31" i="1"/>
  <c r="U9" i="1" s="1"/>
  <c r="Z63" i="1" l="1"/>
  <c r="AA63" i="1" s="1"/>
  <c r="Z55" i="1"/>
  <c r="AA55" i="1" s="1"/>
  <c r="Z54" i="1" l="1"/>
  <c r="AA54" i="1" s="1"/>
  <c r="Z64" i="1"/>
  <c r="AA64" i="1" s="1"/>
  <c r="B41" i="1" l="1"/>
  <c r="B43" i="1" s="1"/>
  <c r="AA11" i="1" l="1"/>
  <c r="W9" i="1" l="1"/>
  <c r="J34" i="1" l="1"/>
  <c r="F38" i="1"/>
  <c r="F41" i="1" s="1"/>
  <c r="AC44" i="1"/>
  <c r="AM27" i="1" s="1"/>
  <c r="E10" i="37" s="1"/>
  <c r="AC45" i="1"/>
  <c r="AM28" i="1" s="1"/>
  <c r="E11" i="37" s="1"/>
  <c r="AC46" i="1"/>
  <c r="AM29" i="1" s="1"/>
  <c r="E12" i="37" s="1"/>
  <c r="AC47" i="1"/>
  <c r="AM30" i="1" s="1"/>
  <c r="E13" i="37" s="1"/>
  <c r="AC48" i="1"/>
  <c r="AM31" i="1" s="1"/>
  <c r="E14" i="37" s="1"/>
  <c r="AC49" i="1"/>
  <c r="AM32" i="1" s="1"/>
  <c r="E15" i="37" s="1"/>
  <c r="AC40" i="1"/>
  <c r="AM23" i="1" s="1"/>
  <c r="E6" i="37" s="1"/>
  <c r="AC41" i="1"/>
  <c r="AM24" i="1" s="1"/>
  <c r="E7" i="37" s="1"/>
  <c r="AC42" i="1"/>
  <c r="AM25" i="1" s="1"/>
  <c r="E8" i="37" s="1"/>
  <c r="AC43" i="1"/>
  <c r="AM26" i="1" s="1"/>
  <c r="E9" i="37" s="1"/>
  <c r="AC39" i="1"/>
  <c r="AM22" i="1" s="1"/>
  <c r="E5" i="37" s="1"/>
  <c r="AH44" i="1"/>
  <c r="AN27" i="1" s="1"/>
  <c r="F10" i="37" s="1"/>
  <c r="AH49" i="1"/>
  <c r="AN32" i="1" s="1"/>
  <c r="F15" i="37" s="1"/>
  <c r="AH48" i="1"/>
  <c r="AN31" i="1" s="1"/>
  <c r="F14" i="37" s="1"/>
  <c r="AH47" i="1"/>
  <c r="AN30" i="1" s="1"/>
  <c r="F13" i="37" s="1"/>
  <c r="AH46" i="1"/>
  <c r="AN29" i="1" s="1"/>
  <c r="F12" i="37" s="1"/>
  <c r="AH45" i="1"/>
  <c r="AN28" i="1" s="1"/>
  <c r="F11" i="37" s="1"/>
  <c r="AH43" i="1"/>
  <c r="AN26" i="1" s="1"/>
  <c r="F9" i="37" s="1"/>
  <c r="AH42" i="1"/>
  <c r="AN25" i="1" s="1"/>
  <c r="F8" i="37" s="1"/>
  <c r="AH41" i="1"/>
  <c r="AN24" i="1" s="1"/>
  <c r="F7" i="37" s="1"/>
  <c r="AH40" i="1"/>
  <c r="AN23" i="1" s="1"/>
  <c r="F6" i="37" s="1"/>
  <c r="AH39" i="1"/>
  <c r="AN22" i="1" s="1"/>
  <c r="F5" i="37" s="1"/>
  <c r="V9" i="1" l="1"/>
  <c r="B44" i="1"/>
  <c r="B45" i="1" s="1"/>
  <c r="B46" i="1" l="1"/>
  <c r="AA9" i="1"/>
  <c r="AA8" i="1"/>
  <c r="J37" i="1"/>
  <c r="B33" i="1" l="1"/>
  <c r="B47" i="1" s="1"/>
  <c r="S9" i="1"/>
  <c r="R9" i="1"/>
  <c r="Q9" i="1" l="1"/>
  <c r="AF44" i="1" l="1"/>
  <c r="AE45" i="1"/>
  <c r="AF45" i="1" s="1"/>
  <c r="AE43" i="1"/>
  <c r="AF43" i="1" s="1"/>
  <c r="AA44" i="1"/>
  <c r="Z45" i="1"/>
  <c r="Z46" i="1" s="1"/>
  <c r="AA46" i="1" s="1"/>
  <c r="Z43" i="1"/>
  <c r="Z42" i="1" s="1"/>
  <c r="AA42" i="1" s="1"/>
  <c r="AC25" i="1"/>
  <c r="AL23" i="1" s="1"/>
  <c r="D6" i="37" s="1"/>
  <c r="AC26" i="1"/>
  <c r="AL24" i="1" s="1"/>
  <c r="D7" i="37" s="1"/>
  <c r="AC27" i="1"/>
  <c r="AL25" i="1" s="1"/>
  <c r="D8" i="37" s="1"/>
  <c r="AC28" i="1"/>
  <c r="AL26" i="1" s="1"/>
  <c r="D9" i="37" s="1"/>
  <c r="AC29" i="1"/>
  <c r="AL27" i="1" s="1"/>
  <c r="D10" i="37" s="1"/>
  <c r="AC30" i="1"/>
  <c r="AL28" i="1" s="1"/>
  <c r="D11" i="37" s="1"/>
  <c r="AC31" i="1"/>
  <c r="AL29" i="1" s="1"/>
  <c r="D12" i="37" s="1"/>
  <c r="AC32" i="1"/>
  <c r="AL30" i="1" s="1"/>
  <c r="D13" i="37" s="1"/>
  <c r="AC33" i="1"/>
  <c r="AL31" i="1" s="1"/>
  <c r="D14" i="37" s="1"/>
  <c r="AC34" i="1"/>
  <c r="AL32" i="1" s="1"/>
  <c r="D15" i="37" s="1"/>
  <c r="AC24" i="1"/>
  <c r="AL22" i="1" s="1"/>
  <c r="D5" i="37" s="1"/>
  <c r="AH34" i="1"/>
  <c r="AK32" i="1" s="1"/>
  <c r="C15" i="37" s="1"/>
  <c r="AH33" i="1"/>
  <c r="AK31" i="1" s="1"/>
  <c r="C14" i="37" s="1"/>
  <c r="AH32" i="1"/>
  <c r="AK30" i="1" s="1"/>
  <c r="C13" i="37" s="1"/>
  <c r="AH31" i="1"/>
  <c r="AK29" i="1" s="1"/>
  <c r="C12" i="37" s="1"/>
  <c r="AH30" i="1"/>
  <c r="AK28" i="1" s="1"/>
  <c r="C11" i="37" s="1"/>
  <c r="AH28" i="1"/>
  <c r="AK26" i="1" s="1"/>
  <c r="C9" i="37" s="1"/>
  <c r="AH27" i="1"/>
  <c r="AK25" i="1" s="1"/>
  <c r="C8" i="37" s="1"/>
  <c r="AH26" i="1"/>
  <c r="AK24" i="1" s="1"/>
  <c r="C7" i="37" s="1"/>
  <c r="AH25" i="1"/>
  <c r="AK23" i="1" s="1"/>
  <c r="C6" i="37" s="1"/>
  <c r="AH24" i="1"/>
  <c r="AK22" i="1" s="1"/>
  <c r="C5" i="37" s="1"/>
  <c r="AH29" i="1"/>
  <c r="AK27" i="1" s="1"/>
  <c r="C10" i="37" s="1"/>
  <c r="Z30" i="1"/>
  <c r="Z28" i="1"/>
  <c r="Z27" i="1" s="1"/>
  <c r="AE30" i="1"/>
  <c r="AE31" i="1" s="1"/>
  <c r="AE28" i="1"/>
  <c r="AE27" i="1" s="1"/>
  <c r="AE46" i="1" l="1"/>
  <c r="AF46" i="1" s="1"/>
  <c r="AA43" i="1"/>
  <c r="AA45" i="1"/>
  <c r="AE42" i="1"/>
  <c r="AF42" i="1" s="1"/>
  <c r="Z47" i="1"/>
  <c r="AA47" i="1" s="1"/>
  <c r="Z41" i="1"/>
  <c r="AA41" i="1" s="1"/>
  <c r="AA27" i="1"/>
  <c r="AA28" i="1"/>
  <c r="AA30" i="1"/>
  <c r="AA29" i="1"/>
  <c r="Z26" i="1"/>
  <c r="AA26" i="1" s="1"/>
  <c r="Z31" i="1"/>
  <c r="AA31" i="1" s="1"/>
  <c r="AE26" i="1"/>
  <c r="AE32" i="1"/>
  <c r="AE47" i="1" l="1"/>
  <c r="AE48" i="1" s="1"/>
  <c r="AE41" i="1"/>
  <c r="Z40" i="1"/>
  <c r="AA40" i="1" s="1"/>
  <c r="Z48" i="1"/>
  <c r="AA48" i="1" s="1"/>
  <c r="Z32" i="1"/>
  <c r="AA32" i="1" s="1"/>
  <c r="Z25" i="1"/>
  <c r="AA25" i="1" s="1"/>
  <c r="AE33" i="1"/>
  <c r="AE25" i="1"/>
  <c r="AF41" i="1" l="1"/>
  <c r="AE40" i="1"/>
  <c r="AE39" i="1" s="1"/>
  <c r="AF47" i="1"/>
  <c r="AF48" i="1"/>
  <c r="AE49" i="1"/>
  <c r="AF49" i="1" s="1"/>
  <c r="AF40" i="1"/>
  <c r="Z39" i="1"/>
  <c r="AA39" i="1" s="1"/>
  <c r="Z49" i="1"/>
  <c r="AA49" i="1" s="1"/>
  <c r="Z24" i="1"/>
  <c r="AA24" i="1" s="1"/>
  <c r="Z33" i="1"/>
  <c r="AA33" i="1" s="1"/>
  <c r="AE24" i="1"/>
  <c r="AE34" i="1"/>
  <c r="AF39" i="1" l="1"/>
  <c r="Z34" i="1"/>
  <c r="AA34" i="1" s="1"/>
  <c r="N10" i="1" l="1"/>
  <c r="W10" i="1" l="1"/>
  <c r="U10" i="1"/>
  <c r="V10" i="1"/>
  <c r="R10" i="1"/>
  <c r="Q10" i="1"/>
  <c r="N11" i="1"/>
  <c r="W11" i="1" l="1"/>
  <c r="U11" i="1"/>
  <c r="V11" i="1"/>
  <c r="R11" i="1"/>
  <c r="Q11" i="1"/>
  <c r="N12" i="1"/>
  <c r="W12" i="1" l="1"/>
  <c r="U12" i="1"/>
  <c r="V12" i="1"/>
  <c r="R12" i="1"/>
  <c r="Q12" i="1"/>
  <c r="N13" i="1"/>
  <c r="W13" i="1" l="1"/>
  <c r="U13" i="1"/>
  <c r="V13" i="1"/>
  <c r="R13" i="1"/>
  <c r="Q13" i="1"/>
  <c r="N14" i="1"/>
  <c r="W14" i="1" l="1"/>
  <c r="U14" i="1"/>
  <c r="V14" i="1"/>
  <c r="R14" i="1"/>
  <c r="Q14" i="1"/>
  <c r="N15" i="1"/>
  <c r="N16" i="1" s="1"/>
  <c r="W16" i="1" l="1"/>
  <c r="V16" i="1"/>
  <c r="R16" i="1"/>
  <c r="U16" i="1"/>
  <c r="Q16" i="1"/>
  <c r="S16" i="1"/>
  <c r="W15" i="1"/>
  <c r="U15" i="1"/>
  <c r="V15" i="1"/>
  <c r="R15" i="1"/>
  <c r="Q15" i="1"/>
  <c r="N17" i="1" l="1"/>
  <c r="W17" i="1" l="1"/>
  <c r="U17" i="1"/>
  <c r="V17" i="1"/>
  <c r="R17" i="1"/>
  <c r="Q17" i="1"/>
  <c r="N18" i="1"/>
  <c r="W18" i="1" l="1"/>
  <c r="U18" i="1"/>
  <c r="Q18" i="1"/>
  <c r="V18" i="1"/>
  <c r="R18" i="1"/>
  <c r="N19" i="1"/>
  <c r="U19" i="1" l="1"/>
  <c r="W19" i="1"/>
  <c r="N20" i="1"/>
  <c r="S19" i="1"/>
  <c r="V19" i="1"/>
  <c r="R19" i="1"/>
  <c r="P19" i="1"/>
  <c r="Q19" i="1"/>
  <c r="U20" i="1" l="1"/>
  <c r="X19" i="1"/>
  <c r="W20" i="1"/>
  <c r="P20" i="1"/>
  <c r="S20" i="1"/>
  <c r="R20" i="1"/>
  <c r="V20" i="1"/>
  <c r="Q20" i="1"/>
  <c r="N21" i="1"/>
  <c r="U21" i="1" l="1"/>
  <c r="X20" i="1"/>
  <c r="W21" i="1"/>
  <c r="R21" i="1"/>
  <c r="Q21" i="1"/>
  <c r="P21" i="1"/>
  <c r="V21" i="1"/>
  <c r="S21" i="1"/>
  <c r="N22" i="1"/>
  <c r="U22" i="1" l="1"/>
  <c r="X21" i="1"/>
  <c r="W22" i="1"/>
  <c r="Q22" i="1"/>
  <c r="R22" i="1"/>
  <c r="P22" i="1"/>
  <c r="S22" i="1"/>
  <c r="V22" i="1"/>
  <c r="N23" i="1"/>
  <c r="U23" i="1" l="1"/>
  <c r="X22" i="1"/>
  <c r="Q23" i="1"/>
  <c r="P23" i="1"/>
  <c r="R23" i="1"/>
  <c r="S23" i="1"/>
  <c r="V23" i="1"/>
  <c r="N24" i="1"/>
  <c r="U24" i="1" l="1"/>
  <c r="W24" i="1"/>
  <c r="Q24" i="1"/>
  <c r="V24" i="1"/>
  <c r="P24" i="1"/>
  <c r="R24" i="1"/>
  <c r="S24" i="1"/>
  <c r="N25" i="1"/>
  <c r="U25" i="1" l="1"/>
  <c r="X24" i="1"/>
  <c r="W25" i="1"/>
  <c r="R25" i="1"/>
  <c r="P25" i="1"/>
  <c r="V25" i="1"/>
  <c r="Q25" i="1"/>
  <c r="S25" i="1"/>
  <c r="N26" i="1"/>
  <c r="U26" i="1" l="1"/>
  <c r="X25" i="1"/>
  <c r="W26" i="1"/>
  <c r="V26" i="1"/>
  <c r="P26" i="1"/>
  <c r="Q26" i="1"/>
  <c r="R26" i="1"/>
  <c r="S26" i="1"/>
  <c r="N27" i="1"/>
  <c r="U27" i="1" l="1"/>
  <c r="X26" i="1"/>
  <c r="W27" i="1"/>
  <c r="S27" i="1"/>
  <c r="Q27" i="1"/>
  <c r="P27" i="1"/>
  <c r="V27" i="1"/>
  <c r="R27" i="1"/>
  <c r="N28" i="1"/>
  <c r="U28" i="1" l="1"/>
  <c r="X27" i="1"/>
  <c r="P28" i="1"/>
  <c r="S28" i="1"/>
  <c r="V28" i="1"/>
  <c r="R28" i="1"/>
  <c r="Q28" i="1"/>
  <c r="N29" i="1"/>
  <c r="U29" i="1" l="1"/>
  <c r="W29" i="1"/>
  <c r="R29" i="1"/>
  <c r="V29" i="1"/>
  <c r="P29" i="1"/>
  <c r="S29" i="1"/>
  <c r="Q29" i="1"/>
  <c r="N30" i="1"/>
  <c r="U30" i="1" l="1"/>
  <c r="X29" i="1"/>
  <c r="W30" i="1"/>
  <c r="R30" i="1"/>
  <c r="Q30" i="1"/>
  <c r="P30" i="1"/>
  <c r="S30" i="1"/>
  <c r="V30" i="1"/>
  <c r="N31" i="1"/>
  <c r="U31" i="1" l="1"/>
  <c r="X30" i="1"/>
  <c r="W31" i="1"/>
  <c r="Q31" i="1"/>
  <c r="V31" i="1"/>
  <c r="R31" i="1"/>
  <c r="P31" i="1"/>
  <c r="S31" i="1"/>
  <c r="N32" i="1"/>
  <c r="U32" i="1" l="1"/>
  <c r="X31" i="1"/>
  <c r="W32" i="1"/>
  <c r="P32" i="1"/>
  <c r="V32" i="1"/>
  <c r="Q32" i="1"/>
  <c r="R32" i="1"/>
  <c r="S32" i="1"/>
  <c r="N33" i="1"/>
  <c r="U33" i="1" l="1"/>
  <c r="X32" i="1"/>
  <c r="W33" i="1"/>
  <c r="R33" i="1"/>
  <c r="S33" i="1"/>
  <c r="Q33" i="1"/>
  <c r="V33" i="1"/>
  <c r="P33" i="1"/>
  <c r="N34" i="1"/>
  <c r="U34" i="1" l="1"/>
  <c r="X33" i="1"/>
  <c r="W34" i="1"/>
  <c r="B32" i="1"/>
  <c r="B48" i="1" s="1"/>
  <c r="V34" i="1"/>
  <c r="S34" i="1"/>
  <c r="R34" i="1"/>
  <c r="P34" i="1"/>
  <c r="Q34" i="1"/>
  <c r="N35" i="1"/>
  <c r="U35" i="1" l="1"/>
  <c r="B49" i="1"/>
  <c r="AA10" i="1" s="1"/>
  <c r="X34" i="1"/>
  <c r="W35" i="1"/>
  <c r="W23" i="1"/>
  <c r="X23" i="1" s="1"/>
  <c r="W28" i="1"/>
  <c r="X28" i="1" s="1"/>
  <c r="S35" i="1"/>
  <c r="V35" i="1"/>
  <c r="P35" i="1"/>
  <c r="Q35" i="1"/>
  <c r="R35" i="1"/>
  <c r="AF34" i="1"/>
  <c r="AF32" i="1"/>
  <c r="AF31" i="1"/>
  <c r="AF33" i="1"/>
  <c r="AF30" i="1"/>
  <c r="AF29" i="1"/>
  <c r="AF28" i="1"/>
  <c r="AF26" i="1"/>
  <c r="AF25" i="1"/>
  <c r="AF24" i="1"/>
  <c r="AF27" i="1"/>
  <c r="N36" i="1"/>
  <c r="U36" i="1" l="1"/>
  <c r="X35" i="1"/>
  <c r="W36" i="1"/>
  <c r="P36" i="1"/>
  <c r="S36" i="1"/>
  <c r="V36" i="1"/>
  <c r="R36" i="1"/>
  <c r="Q36" i="1"/>
  <c r="N37" i="1"/>
  <c r="U37" i="1" l="1"/>
  <c r="X36" i="1"/>
  <c r="W37" i="1"/>
  <c r="R37" i="1"/>
  <c r="P37" i="1"/>
  <c r="Q37" i="1"/>
  <c r="S37" i="1"/>
  <c r="V37" i="1"/>
  <c r="N38" i="1"/>
  <c r="U38" i="1" l="1"/>
  <c r="X37" i="1"/>
  <c r="W38" i="1"/>
  <c r="R38" i="1"/>
  <c r="S38" i="1"/>
  <c r="P38" i="1"/>
  <c r="Q38" i="1"/>
  <c r="V38" i="1"/>
  <c r="N39" i="1"/>
  <c r="U39" i="1" l="1"/>
  <c r="X38" i="1"/>
  <c r="W39" i="1"/>
  <c r="Q39" i="1"/>
  <c r="P39" i="1"/>
  <c r="V39" i="1"/>
  <c r="R39" i="1"/>
  <c r="S39" i="1"/>
  <c r="N40" i="1"/>
  <c r="U40" i="1" l="1"/>
  <c r="X39" i="1"/>
  <c r="W40" i="1"/>
  <c r="Q40" i="1"/>
  <c r="P40" i="1"/>
  <c r="R40" i="1"/>
  <c r="V40" i="1"/>
  <c r="S40" i="1"/>
  <c r="N41" i="1"/>
  <c r="U41" i="1" l="1"/>
  <c r="X40" i="1"/>
  <c r="W41" i="1"/>
  <c r="S41" i="1"/>
  <c r="P41" i="1"/>
  <c r="Q41" i="1"/>
  <c r="R41" i="1"/>
  <c r="V41" i="1"/>
  <c r="N42" i="1"/>
  <c r="U42" i="1" l="1"/>
  <c r="X41" i="1"/>
  <c r="W42" i="1"/>
  <c r="V42" i="1"/>
  <c r="R42" i="1"/>
  <c r="P42" i="1"/>
  <c r="Q42" i="1"/>
  <c r="S42" i="1"/>
  <c r="N43" i="1"/>
  <c r="U43" i="1" l="1"/>
  <c r="X42" i="1"/>
  <c r="W43" i="1"/>
  <c r="S43" i="1"/>
  <c r="V43" i="1"/>
  <c r="Q43" i="1"/>
  <c r="R43" i="1"/>
  <c r="P43" i="1"/>
  <c r="N44" i="1"/>
  <c r="U44" i="1" l="1"/>
  <c r="X43" i="1"/>
  <c r="W44" i="1"/>
  <c r="P44" i="1"/>
  <c r="S44" i="1"/>
  <c r="V44" i="1"/>
  <c r="Q44" i="1"/>
  <c r="R44" i="1"/>
  <c r="N45" i="1"/>
  <c r="U45" i="1" l="1"/>
  <c r="X44" i="1"/>
  <c r="W45" i="1"/>
  <c r="R45" i="1"/>
  <c r="P45" i="1"/>
  <c r="V45" i="1"/>
  <c r="S45" i="1"/>
  <c r="Q45" i="1"/>
  <c r="N46" i="1"/>
  <c r="U46" i="1" l="1"/>
  <c r="X45" i="1"/>
  <c r="W46" i="1"/>
  <c r="R46" i="1"/>
  <c r="S46" i="1"/>
  <c r="P46" i="1"/>
  <c r="V46" i="1"/>
  <c r="Q46" i="1"/>
  <c r="N47" i="1"/>
  <c r="U47" i="1" l="1"/>
  <c r="X46" i="1"/>
  <c r="W47" i="1"/>
  <c r="Q47" i="1"/>
  <c r="R47" i="1"/>
  <c r="P47" i="1"/>
  <c r="S47" i="1"/>
  <c r="V47" i="1"/>
  <c r="N48" i="1"/>
  <c r="U48" i="1" l="1"/>
  <c r="X47" i="1"/>
  <c r="W48" i="1"/>
  <c r="R48" i="1"/>
  <c r="Q48" i="1"/>
  <c r="V48" i="1"/>
  <c r="V49" i="1" s="1"/>
  <c r="P48" i="1"/>
  <c r="S48" i="1"/>
  <c r="X48" i="1" l="1"/>
  <c r="U49" i="1"/>
  <c r="P58" i="1" s="1"/>
  <c r="R58" i="1" s="1"/>
  <c r="R49" i="1"/>
  <c r="Q49" i="1"/>
  <c r="P56" i="1" l="1"/>
  <c r="R56" i="1" s="1"/>
  <c r="S17" i="1" l="1"/>
  <c r="S12" i="1" l="1"/>
  <c r="S11" i="1"/>
  <c r="S13" i="1"/>
  <c r="S10" i="1"/>
  <c r="S14" i="1"/>
  <c r="S18" i="1"/>
  <c r="S15" i="1"/>
  <c r="S49" i="1" l="1"/>
  <c r="P57" i="1" s="1"/>
  <c r="R57" i="1" s="1"/>
  <c r="W49" i="1"/>
  <c r="P59" i="1" s="1"/>
  <c r="R59" i="1" s="1"/>
  <c r="F31" i="1" l="1"/>
  <c r="O8" i="1" s="1"/>
  <c r="O49" i="1" l="1"/>
  <c r="X8" i="1"/>
  <c r="F32" i="1"/>
  <c r="F33" i="1" l="1"/>
  <c r="P9" i="1" l="1"/>
  <c r="P14" i="1"/>
  <c r="X14" i="1" s="1"/>
  <c r="P16" i="1"/>
  <c r="X16" i="1" s="1"/>
  <c r="P15" i="1"/>
  <c r="X15" i="1" s="1"/>
  <c r="P17" i="1"/>
  <c r="X17" i="1" s="1"/>
  <c r="P18" i="1"/>
  <c r="X18" i="1" s="1"/>
  <c r="P13" i="1"/>
  <c r="X13" i="1" s="1"/>
  <c r="P11" i="1"/>
  <c r="X11" i="1" s="1"/>
  <c r="P12" i="1"/>
  <c r="X12" i="1" s="1"/>
  <c r="P10" i="1"/>
  <c r="X10" i="1" s="1"/>
  <c r="X9" i="1" l="1"/>
  <c r="X49" i="1" s="1"/>
  <c r="AB68" i="1" s="1"/>
  <c r="P49" i="1"/>
  <c r="P55" i="1" s="1"/>
  <c r="AB53" i="1" l="1"/>
  <c r="AG53" i="1"/>
  <c r="P60" i="1"/>
  <c r="R55" i="1"/>
  <c r="R60" i="1" s="1"/>
  <c r="AG38" i="1"/>
  <c r="B2" i="1"/>
  <c r="B3" i="1" s="1"/>
  <c r="AB38" i="1"/>
  <c r="AB23" i="1"/>
  <c r="AG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tc={3B4C95D6-D5B3-4A4F-B534-775228892CA1}</author>
    <author>tc={D4CEFC3C-7325-4E34-A64D-30E52256CE03}</author>
    <author>tc={928E7189-DF96-4AF8-901E-1C3117C12B69}</author>
    <author>tc={928E7189-DF96-4AF9-901E-1C3117C12B69}</author>
    <author>tc={BEE3DC45-D192-48E4-B051-DA830092375D}</author>
    <author>tc={004D7F3F-C5C1-4610-A019-7D9E4061B6F1}</author>
    <author>tc={C56CAB35-0F73-4DA9-9E08-15FB1529777D}</author>
  </authors>
  <commentList>
    <comment ref="I7" authorId="0" shapeId="0" xr:uid="{3B4C95D6-D5B3-4A4F-B534-775228892C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Merefer pada harga E-BUS Malaysia</t>
        </r>
      </text>
    </comment>
    <comment ref="R7" authorId="1" shapeId="0" xr:uid="{D4CEFC3C-7325-4E34-A64D-30E52256CE0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2" shapeId="0" xr:uid="{928E7189-DF96-4AF8-901E-1C3117C12B6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3" shapeId="0" xr:uid="{8A835997-59CE-4BAE-ACDF-6137A8FD70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4" shapeId="0" xr:uid="{BEE3DC45-D192-48E4-B051-DA830092375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41" authorId="5" shapeId="0" xr:uid="{004D7F3F-C5C1-4610-A019-7D9E4061B6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4" authorId="6" shapeId="0" xr:uid="{C56CAB35-0F73-4DA9-9E08-15FB1529777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tc={AA19AE37-6AE7-493F-9AC9-499393E5D71B}</author>
    <author>tc={65D68FF8-744D-4403-A757-71D5700063BE}</author>
    <author>tc={853BE7F5-4CE0-4F48-9C89-E793FA376E05}</author>
  </authors>
  <commentList>
    <comment ref="B8" authorId="0" shapeId="0" xr:uid="{AA19AE37-6AE7-493F-9AC9-499393E5D71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  </r>
      </text>
    </comment>
    <comment ref="Q9" authorId="1" shapeId="0" xr:uid="{65D68FF8-744D-4403-A757-71D5700063B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38" authorId="2" shapeId="0" xr:uid="{853BE7F5-4CE0-4F48-9C89-E793FA376E0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tc={3E15F497-83DC-42EA-8A4A-EA8B509F55E3}</author>
    <author>tc={F70468D4-78B2-4E24-BD82-FBA7DF7EAE9C}</author>
    <author>tc={28B8E200-D3C1-4508-B540-C04DB4CF9E84}</author>
    <author>tc={60A9A1E3-482C-41D5-8F8A-26475A039E48}</author>
    <author>tc={8B7ABA41-DFB4-4727-B208-938EB4746884}</author>
    <author>tc={130878E0-FCE8-4C49-9F85-A1BB7DA8B86A}</author>
  </authors>
  <commentList>
    <comment ref="R7" authorId="0" shapeId="0" xr:uid="{3E15F497-83DC-42EA-8A4A-EA8B509F55E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1" shapeId="0" xr:uid="{F70468D4-78B2-4E24-BD82-FBA7DF7EAE9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2" shapeId="0" xr:uid="{28B8E200-D3C1-4508-B540-C04DB4CF9E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3" shapeId="0" xr:uid="{60A9A1E3-482C-41D5-8F8A-26475A039E4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41" authorId="4" shapeId="0" xr:uid="{8B7ABA41-DFB4-4727-B208-938EB47468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4" authorId="5" shapeId="0" xr:uid="{130878E0-FCE8-4C49-9F85-A1BB7DA8B86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tc={E24C02CF-5D89-4ABF-9EAD-608C370974F6}</author>
    <author>tc={CCD35750-254F-47A0-956C-7913D4D819CC}</author>
    <author>tc={1E429D0C-30F1-4A8D-82ED-B28BC370DEA5}</author>
  </authors>
  <commentList>
    <comment ref="B8" authorId="0" shapeId="0" xr:uid="{E24C02CF-5D89-4ABF-9EAD-608C370974F6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  </r>
      </text>
    </comment>
    <comment ref="Q9" authorId="1" shapeId="0" xr:uid="{CCD35750-254F-47A0-956C-7913D4D81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38" authorId="2" shapeId="0" xr:uid="{1E429D0C-30F1-4A8D-82ED-B28BC370DE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tc={C2923F75-E506-470A-A03C-1FB7D4D60F2D}</author>
    <author>tc={E89F3B31-5214-430C-93B5-1340C34599DC}</author>
    <author>tc={E5A23877-260E-41B8-BD61-548E31DF8BFF}</author>
    <author>tc={71F551F9-5820-468D-90EF-5BCD1BB93AAE}</author>
    <author>tc={B61816E4-42AF-4404-AE3C-21CB4CAEB476}</author>
    <author>tc={F1F9D4AA-D51C-4279-BC9D-5ED405E0411F}</author>
  </authors>
  <commentList>
    <comment ref="R7" authorId="0" shapeId="0" xr:uid="{C2923F75-E506-470A-A03C-1FB7D4D60F2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1" shapeId="0" xr:uid="{E89F3B31-5214-430C-93B5-1340C34599D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2" shapeId="0" xr:uid="{E5A23877-260E-41B8-BD61-548E31DF8BF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3" shapeId="0" xr:uid="{71F551F9-5820-468D-90EF-5BCD1BB93A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41" authorId="4" shapeId="0" xr:uid="{B61816E4-42AF-4404-AE3C-21CB4CAEB47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4" authorId="5" shapeId="0" xr:uid="{F1F9D4AA-D51C-4279-BC9D-5ED405E0411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tc={AA7DFC7D-1EA7-4848-A172-150D1853BE38}</author>
    <author>tc={B4906314-26F5-44F1-B287-A8EBB53B4699}</author>
    <author>tc={228B032C-D52D-4650-B2A4-2CB5242DAB25}</author>
  </authors>
  <commentList>
    <comment ref="B8" authorId="0" shapeId="0" xr:uid="{AA7DFC7D-1EA7-4848-A172-150D1853BE3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  </r>
      </text>
    </comment>
    <comment ref="Q9" authorId="1" shapeId="0" xr:uid="{B4906314-26F5-44F1-B287-A8EBB53B4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38" authorId="2" shapeId="0" xr:uid="{228B032C-D52D-4650-B2A4-2CB5242DAB2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</comments>
</file>

<file path=xl/sharedStrings.xml><?xml version="1.0" encoding="utf-8"?>
<sst xmlns="http://schemas.openxmlformats.org/spreadsheetml/2006/main" count="1482" uniqueCount="202">
  <si>
    <t>Exchange rate</t>
  </si>
  <si>
    <t>Country name</t>
  </si>
  <si>
    <t>Vehicle price</t>
  </si>
  <si>
    <t>US$</t>
  </si>
  <si>
    <t>%</t>
  </si>
  <si>
    <t>Retail discount</t>
  </si>
  <si>
    <t>VAT</t>
  </si>
  <si>
    <t>Income tax</t>
  </si>
  <si>
    <t>Import tariff</t>
  </si>
  <si>
    <t>US$/kWh</t>
  </si>
  <si>
    <t>Battery cost unit</t>
  </si>
  <si>
    <t>Country specific cost</t>
  </si>
  <si>
    <t>Capital cost</t>
  </si>
  <si>
    <t>Dasar Pengenaan Pajak</t>
  </si>
  <si>
    <t>Registration Fee</t>
  </si>
  <si>
    <t>Prefential Additional Registration Fee  (PARF) Benefits</t>
  </si>
  <si>
    <t>Certified Entiltment</t>
  </si>
  <si>
    <t>One time tax</t>
  </si>
  <si>
    <t>Resale Value</t>
  </si>
  <si>
    <t>Government Premium</t>
  </si>
  <si>
    <t>Financing costs</t>
  </si>
  <si>
    <t>Loan length</t>
  </si>
  <si>
    <t>Downpayment</t>
  </si>
  <si>
    <t>% of capital cost</t>
  </si>
  <si>
    <t>years</t>
  </si>
  <si>
    <t>%/ year</t>
  </si>
  <si>
    <t>Country specific costs</t>
  </si>
  <si>
    <t>Battery lifecycle</t>
  </si>
  <si>
    <t>cycles</t>
  </si>
  <si>
    <t>Battery leasing cost</t>
  </si>
  <si>
    <t>Battery capacity</t>
  </si>
  <si>
    <t>kWh</t>
  </si>
  <si>
    <t>Battery range</t>
  </si>
  <si>
    <t>km/cycle</t>
  </si>
  <si>
    <t>Electricity tariff</t>
  </si>
  <si>
    <t>kWh/km</t>
  </si>
  <si>
    <t>Electricity consumption</t>
  </si>
  <si>
    <t>km/year</t>
  </si>
  <si>
    <t>Analysis period</t>
  </si>
  <si>
    <t>Years</t>
  </si>
  <si>
    <t>Battery cost</t>
  </si>
  <si>
    <t>Interest rate (flat)</t>
  </si>
  <si>
    <t>km</t>
  </si>
  <si>
    <t>Charging cost</t>
  </si>
  <si>
    <t>One-time Costs</t>
  </si>
  <si>
    <t>Vehicle-related Costs</t>
  </si>
  <si>
    <t>US$/year</t>
  </si>
  <si>
    <t>Discount rate</t>
  </si>
  <si>
    <t>Variables</t>
  </si>
  <si>
    <t>Country</t>
  </si>
  <si>
    <t>Descriptions</t>
  </si>
  <si>
    <t>All</t>
  </si>
  <si>
    <t>ID</t>
  </si>
  <si>
    <t>SG</t>
  </si>
  <si>
    <t>Basis of Taxation</t>
  </si>
  <si>
    <t>Fuel price</t>
  </si>
  <si>
    <t>Specific fuel consumption</t>
  </si>
  <si>
    <t>L/km</t>
  </si>
  <si>
    <t>US$/km</t>
  </si>
  <si>
    <t>Electricity cost per km</t>
  </si>
  <si>
    <t>ASSUMPTIONS</t>
  </si>
  <si>
    <t>TCO ESTIMATION</t>
  </si>
  <si>
    <t>Year</t>
  </si>
  <si>
    <t>Equity</t>
  </si>
  <si>
    <t>Debt</t>
  </si>
  <si>
    <t>Debt interest</t>
  </si>
  <si>
    <t>Equity (US$)</t>
  </si>
  <si>
    <t>Other O&amp;M costs</t>
  </si>
  <si>
    <t>Installment (US$)</t>
  </si>
  <si>
    <t>Electricity tariff growth</t>
  </si>
  <si>
    <t>%/year</t>
  </si>
  <si>
    <t>Taxes (US$)</t>
  </si>
  <si>
    <t>Vehicle lifespan</t>
  </si>
  <si>
    <t>TCO (US$)</t>
  </si>
  <si>
    <t>Total</t>
  </si>
  <si>
    <t>TCO</t>
  </si>
  <si>
    <t>Sensitivity Analysis</t>
  </si>
  <si>
    <t>Relative change (%)</t>
  </si>
  <si>
    <t>Vehicle price (US$)</t>
  </si>
  <si>
    <t>Formula value</t>
  </si>
  <si>
    <t>TCO Estimation</t>
  </si>
  <si>
    <t>TCO changes (%)</t>
  </si>
  <si>
    <t>Electricity tariff (US$/kWh)</t>
  </si>
  <si>
    <t>Battery cost (US$)</t>
  </si>
  <si>
    <t>AKT (km/year)</t>
  </si>
  <si>
    <t>Annual kilometres travelled</t>
  </si>
  <si>
    <t>Total kilometres travelled during lifecycle</t>
  </si>
  <si>
    <t>Battery replacement costs (US$)</t>
  </si>
  <si>
    <t>Initial/Surcharge Charging Cost</t>
  </si>
  <si>
    <t>Annual kilometres traveled (AKT)</t>
  </si>
  <si>
    <t>Yearly Operational Cost</t>
  </si>
  <si>
    <t>Vehicle Depreciation</t>
  </si>
  <si>
    <t>Battery Depreciation</t>
  </si>
  <si>
    <t>Yearly charging surcharge cost</t>
  </si>
  <si>
    <t>Yearly charging cost</t>
  </si>
  <si>
    <t>Vehicle price + taxes/costs</t>
  </si>
  <si>
    <t>Financing cost</t>
  </si>
  <si>
    <t>Energy costs</t>
  </si>
  <si>
    <t>Battery lifespan</t>
  </si>
  <si>
    <t>Battery leasing costs (US$)</t>
  </si>
  <si>
    <t>Discounted TCO</t>
  </si>
  <si>
    <t>Resale Value (US$)</t>
  </si>
  <si>
    <t>Electric Bus</t>
  </si>
  <si>
    <t>Cost component</t>
  </si>
  <si>
    <t>Capital costs</t>
  </si>
  <si>
    <t>Battery costs</t>
  </si>
  <si>
    <t>Resale value</t>
  </si>
  <si>
    <t>US$/L</t>
  </si>
  <si>
    <t>Yearly fuel cost</t>
  </si>
  <si>
    <t>Reference value</t>
  </si>
  <si>
    <t>Annual kilometres travelled (AKT)</t>
  </si>
  <si>
    <t>Fuel price (US$/L)</t>
  </si>
  <si>
    <t>Please copy paste following values (values only) to the formula value if there is update/ differences with reference values in tables</t>
  </si>
  <si>
    <t xml:space="preserve">   CIF (Cost, Insurance, Freight)</t>
  </si>
  <si>
    <t>Yearly Cost + Taxes</t>
  </si>
  <si>
    <t>Battery price</t>
  </si>
  <si>
    <t>Vehicle Price+taxes</t>
  </si>
  <si>
    <t>Vehicle price + import levy</t>
  </si>
  <si>
    <t>Battery Price + import levy</t>
  </si>
  <si>
    <t>Electricity cost (US$)</t>
  </si>
  <si>
    <t>Charging surcharge cost (US$)</t>
  </si>
  <si>
    <t>O&amp;M Cost  (US$)</t>
  </si>
  <si>
    <t>O&amp;M Costs  (US$)</t>
  </si>
  <si>
    <t>Battery</t>
  </si>
  <si>
    <t>Fuel cost (US$)</t>
  </si>
  <si>
    <t>Other O&amp;M costs (US$/L)</t>
  </si>
  <si>
    <t>Vietnam</t>
  </si>
  <si>
    <t>VND/US$</t>
  </si>
  <si>
    <t xml:space="preserve">% </t>
  </si>
  <si>
    <t>VND/year</t>
  </si>
  <si>
    <t>VND/kWh</t>
  </si>
  <si>
    <t xml:space="preserve">VND </t>
  </si>
  <si>
    <t xml:space="preserve">Related to Yearly Costs </t>
  </si>
  <si>
    <t>VND/times</t>
  </si>
  <si>
    <t>VND</t>
  </si>
  <si>
    <t>Minimum SOC</t>
  </si>
  <si>
    <t>Periodic Technical Safety</t>
  </si>
  <si>
    <t>Fees for issuance of certificates of quality, technical safety and environmental protection</t>
  </si>
  <si>
    <t>Road maintenance fee</t>
  </si>
  <si>
    <t>SOC</t>
  </si>
  <si>
    <t>cycle</t>
  </si>
  <si>
    <t>VND/5 year</t>
  </si>
  <si>
    <t>Fuel Price</t>
  </si>
  <si>
    <t>Fuel Price Growth</t>
  </si>
  <si>
    <t>Income tax - import</t>
  </si>
  <si>
    <t>Import duty</t>
  </si>
  <si>
    <t>Fee of Euro 3, 4, 5 emission standard test (US$)</t>
  </si>
  <si>
    <t xml:space="preserve">   Excise Tax</t>
  </si>
  <si>
    <t xml:space="preserve">  Excise Tax</t>
  </si>
  <si>
    <t xml:space="preserve">   Corporate Income Tax (CIT)</t>
  </si>
  <si>
    <t xml:space="preserve">  CIF (Cost, Insurance, Freight) + Import</t>
  </si>
  <si>
    <t xml:space="preserve">  CIF + Import + Excise</t>
  </si>
  <si>
    <t>VND/km</t>
  </si>
  <si>
    <t>Battery Leasing?</t>
  </si>
  <si>
    <t>Yes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</si>
  <si>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</si>
  <si>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</si>
  <si>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</si>
  <si>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</si>
  <si>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</si>
  <si>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</si>
  <si>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</si>
  <si>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</si>
  <si>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rental cost unit</t>
  </si>
  <si>
    <t>Minimum AKT</t>
  </si>
  <si>
    <t>Minimum battery rental cost</t>
  </si>
  <si>
    <t>Additional battery rental cost</t>
  </si>
  <si>
    <t>Battery price (plus taxes)</t>
  </si>
  <si>
    <t>Battery price (plus interests)</t>
  </si>
  <si>
    <t>Mininum Kilometres traveled</t>
  </si>
  <si>
    <t>Mininum travelled (km)</t>
  </si>
  <si>
    <t>Incentive</t>
  </si>
  <si>
    <t>Incentive &amp; discount</t>
  </si>
  <si>
    <t>Net vehicle price</t>
  </si>
  <si>
    <t>Yearly operational Cost</t>
  </si>
  <si>
    <t>Diesel price per L</t>
  </si>
  <si>
    <t>Diesel cost per km</t>
  </si>
  <si>
    <t>Gasoline price per L</t>
  </si>
  <si>
    <t>Gasoline cost per km</t>
  </si>
  <si>
    <t>Gasoline price</t>
  </si>
  <si>
    <t>Diesel price</t>
  </si>
  <si>
    <t>Road insurance cost</t>
  </si>
  <si>
    <t>Registration Plate Fee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</si>
  <si>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</si>
  <si>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</si>
  <si>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</si>
  <si>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</si>
  <si>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</si>
  <si>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</si>
  <si>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</si>
  <si>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</si>
  <si>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</si>
  <si>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VIET NAM</t>
  </si>
  <si>
    <t>Energy Efficiency</t>
  </si>
  <si>
    <t>Manufacturer’s Recommended Retail Price (MRRP)</t>
  </si>
  <si>
    <t>∆TCO (%)</t>
  </si>
  <si>
    <t>∆Parameter (%)</t>
  </si>
  <si>
    <t>ICE-van</t>
  </si>
  <si>
    <t>E-van</t>
  </si>
  <si>
    <t>Fee for the certification of technical safety and environmental protection</t>
  </si>
  <si>
    <t>Fee for periodic technical safety tests</t>
  </si>
  <si>
    <t>Fee of Euro 3, 4, 5 emission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</si>
</sst>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_-* #,##0.00_-;\-* #,##0.00_-;_-* &quot;-&quot;_-;_-@_-"/>
    <numFmt numFmtId="168" formatCode="_-* #,##0.0000_-;\-* #,##0.0000_-;_-* &quot;-&quot;_-;_-@_-"/>
    <numFmt numFmtId="169" formatCode="0.0000"/>
    <numFmt numFmtId="170" formatCode="_(* #,##0_);_(* \(#,##0\);_(* &quot;-&quot;??_);_(@_)"/>
    <numFmt numFmtId="171" formatCode="_-* #,##0.0_-;\-* #,##0.0_-;_-* &quot;-&quot;_-;_-@_-"/>
    <numFmt numFmtId="172" formatCode="_(* #,##0.0_);_(* \(#,##0.0\);_(* &quot;-&quot;?_);_(@_)"/>
    <numFmt numFmtId="173" formatCode="_-* #,##0_-;\-* #,##0_-;_-* &quot;-&quot;_-;_-@"/>
    <numFmt numFmtId="174" formatCode="_-* #,##0.00_-;\-* #,##0.00_-;_-* &quot;-&quot;_-;_-@"/>
    <numFmt numFmtId="175" formatCode="_-* #,##0_-;\-* #,##0_-;_-* &quot;-&quot;??_-;_-@"/>
    <numFmt numFmtId="176" formatCode="_-* #,##0.00_-;\-* #,##0.00_-;_-* &quot;-&quot;??_-;_-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40">
    <xf numFmtId="0" fontId="0" fillId="0" borderId="0" xfId="0"/>
    <xf numFmtId="0" fontId="0" fillId="2" borderId="0" xfId="0" applyFill="1"/>
    <xf numFmtId="164" fontId="0" fillId="2" borderId="0" xfId="1" applyFont="1" applyFill="1"/>
    <xf numFmtId="0" fontId="4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0" xfId="1" applyFont="1" applyFill="1" applyBorder="1"/>
    <xf numFmtId="0" fontId="0" fillId="2" borderId="5" xfId="0" applyFill="1" applyBorder="1"/>
    <xf numFmtId="166" fontId="0" fillId="2" borderId="0" xfId="0" applyNumberFormat="1" applyFill="1"/>
    <xf numFmtId="0" fontId="4" fillId="2" borderId="4" xfId="0" applyFont="1" applyFill="1" applyBorder="1"/>
    <xf numFmtId="0" fontId="4" fillId="2" borderId="0" xfId="0" applyFont="1" applyFill="1"/>
    <xf numFmtId="167" fontId="0" fillId="2" borderId="0" xfId="1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2" xfId="1" applyFont="1" applyFill="1" applyBorder="1"/>
    <xf numFmtId="164" fontId="0" fillId="2" borderId="0" xfId="0" applyNumberFormat="1" applyFill="1"/>
    <xf numFmtId="166" fontId="4" fillId="2" borderId="0" xfId="0" applyNumberFormat="1" applyFont="1" applyFill="1"/>
    <xf numFmtId="165" fontId="0" fillId="2" borderId="0" xfId="0" applyNumberFormat="1" applyFill="1"/>
    <xf numFmtId="0" fontId="0" fillId="2" borderId="4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68" fontId="0" fillId="2" borderId="0" xfId="1" applyNumberFormat="1" applyFont="1" applyFill="1" applyBorder="1"/>
    <xf numFmtId="0" fontId="0" fillId="3" borderId="0" xfId="0" applyFill="1"/>
    <xf numFmtId="166" fontId="0" fillId="3" borderId="0" xfId="0" applyNumberFormat="1" applyFill="1"/>
    <xf numFmtId="164" fontId="0" fillId="3" borderId="0" xfId="1" applyFont="1" applyFill="1"/>
    <xf numFmtId="0" fontId="4" fillId="3" borderId="0" xfId="0" applyFont="1" applyFill="1"/>
    <xf numFmtId="165" fontId="0" fillId="3" borderId="0" xfId="0" applyNumberFormat="1" applyFill="1"/>
    <xf numFmtId="166" fontId="3" fillId="3" borderId="0" xfId="0" applyNumberFormat="1" applyFont="1" applyFill="1"/>
    <xf numFmtId="164" fontId="3" fillId="3" borderId="0" xfId="1" applyFont="1" applyFill="1"/>
    <xf numFmtId="0" fontId="0" fillId="4" borderId="0" xfId="0" applyFill="1"/>
    <xf numFmtId="0" fontId="4" fillId="4" borderId="0" xfId="0" applyFont="1" applyFill="1"/>
    <xf numFmtId="166" fontId="0" fillId="4" borderId="0" xfId="0" applyNumberFormat="1" applyFill="1"/>
    <xf numFmtId="166" fontId="4" fillId="4" borderId="0" xfId="0" applyNumberFormat="1" applyFont="1" applyFill="1"/>
    <xf numFmtId="164" fontId="0" fillId="4" borderId="0" xfId="1" applyFont="1" applyFill="1"/>
    <xf numFmtId="167" fontId="0" fillId="4" borderId="0" xfId="1" applyNumberFormat="1" applyFont="1" applyFill="1"/>
    <xf numFmtId="167" fontId="0" fillId="4" borderId="0" xfId="0" applyNumberForma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170" fontId="3" fillId="2" borderId="0" xfId="0" applyNumberFormat="1" applyFont="1" applyFill="1"/>
    <xf numFmtId="169" fontId="3" fillId="2" borderId="0" xfId="1" applyNumberFormat="1" applyFont="1" applyFill="1" applyBorder="1"/>
    <xf numFmtId="164" fontId="3" fillId="2" borderId="0" xfId="1" applyFont="1" applyFill="1" applyBorder="1"/>
    <xf numFmtId="164" fontId="3" fillId="2" borderId="0" xfId="1" applyFont="1" applyFill="1"/>
    <xf numFmtId="2" fontId="4" fillId="2" borderId="0" xfId="0" applyNumberFormat="1" applyFont="1" applyFill="1"/>
    <xf numFmtId="43" fontId="3" fillId="2" borderId="0" xfId="0" applyNumberFormat="1" applyFont="1" applyFill="1"/>
    <xf numFmtId="43" fontId="0" fillId="2" borderId="0" xfId="0" applyNumberFormat="1" applyFill="1"/>
    <xf numFmtId="167" fontId="4" fillId="2" borderId="0" xfId="0" applyNumberFormat="1" applyFont="1" applyFill="1"/>
    <xf numFmtId="169" fontId="0" fillId="2" borderId="0" xfId="0" applyNumberFormat="1" applyFill="1"/>
    <xf numFmtId="167" fontId="3" fillId="2" borderId="0" xfId="1" applyNumberFormat="1" applyFont="1" applyFill="1" applyBorder="1"/>
    <xf numFmtId="0" fontId="0" fillId="2" borderId="0" xfId="0" applyFill="1" applyAlignment="1">
      <alignment horizontal="center" vertical="center" wrapText="1"/>
    </xf>
    <xf numFmtId="0" fontId="1" fillId="2" borderId="0" xfId="1" applyNumberFormat="1" applyFont="1" applyFill="1"/>
    <xf numFmtId="166" fontId="1" fillId="2" borderId="0" xfId="1" applyNumberFormat="1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6" fontId="4" fillId="2" borderId="0" xfId="1" applyNumberFormat="1" applyFont="1" applyFill="1"/>
    <xf numFmtId="2" fontId="0" fillId="2" borderId="0" xfId="0" applyNumberFormat="1" applyFill="1"/>
    <xf numFmtId="165" fontId="4" fillId="2" borderId="0" xfId="1" applyNumberFormat="1" applyFont="1" applyFill="1"/>
    <xf numFmtId="1" fontId="0" fillId="3" borderId="0" xfId="0" applyNumberFormat="1" applyFill="1"/>
    <xf numFmtId="170" fontId="0" fillId="2" borderId="0" xfId="3" applyNumberFormat="1" applyFont="1" applyFill="1" applyBorder="1"/>
    <xf numFmtId="0" fontId="0" fillId="5" borderId="0" xfId="0" applyFill="1"/>
    <xf numFmtId="166" fontId="3" fillId="5" borderId="0" xfId="0" applyNumberFormat="1" applyFont="1" applyFill="1"/>
    <xf numFmtId="164" fontId="3" fillId="5" borderId="0" xfId="1" applyFont="1" applyFill="1"/>
    <xf numFmtId="1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0" fontId="2" fillId="2" borderId="0" xfId="0" applyFont="1" applyFill="1"/>
    <xf numFmtId="164" fontId="2" fillId="2" borderId="0" xfId="1" applyFont="1" applyFill="1"/>
    <xf numFmtId="43" fontId="0" fillId="2" borderId="0" xfId="3" applyFont="1" applyFill="1"/>
    <xf numFmtId="10" fontId="0" fillId="2" borderId="0" xfId="4" applyNumberFormat="1" applyFont="1" applyFill="1"/>
    <xf numFmtId="170" fontId="0" fillId="2" borderId="0" xfId="3" applyNumberFormat="1" applyFont="1" applyFill="1" applyAlignment="1">
      <alignment horizontal="center" vertical="center" wrapText="1"/>
    </xf>
    <xf numFmtId="1" fontId="0" fillId="2" borderId="0" xfId="0" applyNumberFormat="1" applyFill="1"/>
    <xf numFmtId="168" fontId="3" fillId="2" borderId="0" xfId="0" applyNumberFormat="1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170" fontId="0" fillId="2" borderId="0" xfId="3" applyNumberFormat="1" applyFont="1" applyFill="1"/>
    <xf numFmtId="170" fontId="0" fillId="2" borderId="0" xfId="0" applyNumberFormat="1" applyFill="1"/>
    <xf numFmtId="0" fontId="0" fillId="2" borderId="0" xfId="0" applyFill="1" applyAlignment="1">
      <alignment horizontal="left"/>
    </xf>
    <xf numFmtId="171" fontId="0" fillId="2" borderId="0" xfId="1" applyNumberFormat="1" applyFont="1" applyFill="1"/>
    <xf numFmtId="172" fontId="0" fillId="2" borderId="0" xfId="0" applyNumberFormat="1" applyFill="1"/>
    <xf numFmtId="0" fontId="0" fillId="0" borderId="5" xfId="0" applyBorder="1"/>
    <xf numFmtId="170" fontId="1" fillId="2" borderId="0" xfId="3" applyNumberFormat="1" applyFont="1" applyFill="1"/>
    <xf numFmtId="0" fontId="0" fillId="2" borderId="0" xfId="0" applyFill="1" applyAlignment="1">
      <alignment horizontal="left" wrapText="1" indent="1"/>
    </xf>
    <xf numFmtId="3" fontId="3" fillId="2" borderId="0" xfId="0" applyNumberFormat="1" applyFont="1" applyFill="1"/>
    <xf numFmtId="0" fontId="5" fillId="2" borderId="0" xfId="0" applyFont="1" applyFill="1"/>
    <xf numFmtId="170" fontId="5" fillId="2" borderId="0" xfId="3" applyNumberFormat="1" applyFont="1" applyFill="1"/>
    <xf numFmtId="170" fontId="6" fillId="0" borderId="0" xfId="3" applyNumberFormat="1" applyFont="1"/>
    <xf numFmtId="170" fontId="3" fillId="2" borderId="0" xfId="3" applyNumberFormat="1" applyFont="1" applyFill="1"/>
    <xf numFmtId="4" fontId="7" fillId="0" borderId="0" xfId="0" applyNumberFormat="1" applyFont="1" applyAlignment="1">
      <alignment horizontal="left"/>
    </xf>
    <xf numFmtId="0" fontId="0" fillId="2" borderId="4" xfId="0" applyFill="1" applyBorder="1" applyAlignment="1">
      <alignment horizontal="left" wrapText="1" indent="1"/>
    </xf>
    <xf numFmtId="43" fontId="0" fillId="4" borderId="0" xfId="3" applyFont="1" applyFill="1"/>
    <xf numFmtId="0" fontId="1" fillId="0" borderId="0" xfId="0" applyFont="1"/>
    <xf numFmtId="0" fontId="6" fillId="6" borderId="10" xfId="0" applyFont="1" applyFill="1" applyBorder="1"/>
    <xf numFmtId="173" fontId="6" fillId="6" borderId="10" xfId="0" applyNumberFormat="1" applyFont="1" applyFill="1" applyBorder="1"/>
    <xf numFmtId="0" fontId="6" fillId="6" borderId="11" xfId="0" applyFont="1" applyFill="1" applyBorder="1"/>
    <xf numFmtId="0" fontId="8" fillId="6" borderId="0" xfId="0" applyFont="1" applyFill="1"/>
    <xf numFmtId="0" fontId="6" fillId="6" borderId="0" xfId="0" applyFont="1" applyFill="1"/>
    <xf numFmtId="170" fontId="6" fillId="6" borderId="0" xfId="3" applyNumberFormat="1" applyFont="1" applyFill="1" applyBorder="1"/>
    <xf numFmtId="43" fontId="6" fillId="6" borderId="0" xfId="3" applyFont="1" applyFill="1" applyBorder="1"/>
    <xf numFmtId="173" fontId="6" fillId="6" borderId="0" xfId="0" applyNumberFormat="1" applyFont="1" applyFill="1"/>
    <xf numFmtId="170" fontId="6" fillId="6" borderId="0" xfId="0" applyNumberFormat="1" applyFont="1" applyFill="1"/>
    <xf numFmtId="0" fontId="1" fillId="2" borderId="0" xfId="0" applyFont="1" applyFill="1"/>
    <xf numFmtId="0" fontId="6" fillId="6" borderId="0" xfId="0" applyFont="1" applyFill="1" applyAlignment="1">
      <alignment horizontal="left"/>
    </xf>
    <xf numFmtId="174" fontId="6" fillId="6" borderId="0" xfId="0" applyNumberFormat="1" applyFont="1" applyFill="1"/>
    <xf numFmtId="0" fontId="6" fillId="6" borderId="9" xfId="0" applyFont="1" applyFill="1" applyBorder="1"/>
    <xf numFmtId="0" fontId="8" fillId="7" borderId="0" xfId="0" applyFont="1" applyFill="1"/>
    <xf numFmtId="0" fontId="6" fillId="7" borderId="0" xfId="0" applyFont="1" applyFill="1"/>
    <xf numFmtId="175" fontId="6" fillId="7" borderId="0" xfId="0" applyNumberFormat="1" applyFont="1" applyFill="1"/>
    <xf numFmtId="173" fontId="6" fillId="7" borderId="0" xfId="0" applyNumberFormat="1" applyFont="1" applyFill="1"/>
    <xf numFmtId="0" fontId="6" fillId="8" borderId="0" xfId="0" applyFont="1" applyFill="1"/>
    <xf numFmtId="175" fontId="6" fillId="9" borderId="0" xfId="0" applyNumberFormat="1" applyFont="1" applyFill="1"/>
    <xf numFmtId="173" fontId="6" fillId="8" borderId="0" xfId="0" applyNumberFormat="1" applyFont="1" applyFill="1"/>
    <xf numFmtId="0" fontId="10" fillId="0" borderId="0" xfId="5" applyFont="1"/>
    <xf numFmtId="0" fontId="9" fillId="0" borderId="0" xfId="5"/>
    <xf numFmtId="0" fontId="9" fillId="0" borderId="0" xfId="5" applyAlignment="1">
      <alignment wrapText="1"/>
    </xf>
    <xf numFmtId="0" fontId="1" fillId="0" borderId="0" xfId="5" applyFont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 vertical="center" wrapText="1"/>
    </xf>
    <xf numFmtId="0" fontId="4" fillId="0" borderId="0" xfId="5" applyFont="1" applyAlignment="1">
      <alignment wrapText="1"/>
    </xf>
    <xf numFmtId="0" fontId="4" fillId="10" borderId="0" xfId="5" applyFont="1" applyFill="1"/>
    <xf numFmtId="1" fontId="9" fillId="2" borderId="0" xfId="5" applyNumberFormat="1" applyFill="1" applyAlignment="1">
      <alignment wrapText="1"/>
    </xf>
    <xf numFmtId="1" fontId="9" fillId="2" borderId="0" xfId="5" applyNumberFormat="1" applyFill="1"/>
    <xf numFmtId="0" fontId="9" fillId="10" borderId="0" xfId="5" applyFill="1"/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" fontId="12" fillId="6" borderId="0" xfId="0" applyNumberFormat="1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4" fillId="10" borderId="0" xfId="5" applyFont="1" applyFill="1" applyAlignment="1">
      <alignment horizontal="center" wrapText="1"/>
    </xf>
    <xf numFmtId="176" fontId="6" fillId="7" borderId="0" xfId="0" applyNumberFormat="1" applyFont="1" applyFill="1"/>
    <xf numFmtId="1" fontId="6" fillId="7" borderId="0" xfId="0" applyNumberFormat="1" applyFont="1" applyFill="1"/>
    <xf numFmtId="176" fontId="6" fillId="9" borderId="0" xfId="0" applyNumberFormat="1" applyFont="1" applyFill="1"/>
    <xf numFmtId="1" fontId="6" fillId="9" borderId="0" xfId="0" applyNumberFormat="1" applyFont="1" applyFill="1"/>
    <xf numFmtId="0" fontId="8" fillId="11" borderId="0" xfId="0" applyFont="1" applyFill="1"/>
    <xf numFmtId="1" fontId="6" fillId="6" borderId="0" xfId="0" applyNumberFormat="1" applyFont="1" applyFill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 wrapText="1"/>
    </xf>
    <xf numFmtId="0" fontId="4" fillId="10" borderId="0" xfId="5" applyFont="1" applyFill="1" applyAlignment="1">
      <alignment horizontal="center" vertical="center" wrapText="1"/>
    </xf>
    <xf numFmtId="0" fontId="0" fillId="2" borderId="0" xfId="0" applyFill="1" applyAlignment="1">
      <alignment horizontal="left" vertical="top" wrapText="1" indent="1"/>
    </xf>
  </cellXfs>
  <cellStyles count="6">
    <cellStyle name="Comma" xfId="3" builtinId="3"/>
    <cellStyle name="Comma [0]" xfId="1" builtinId="6"/>
    <cellStyle name="Comma [0] 2" xfId="2" xr:uid="{4D2BC38B-AC2E-421D-83A6-5CCE85548F06}"/>
    <cellStyle name="Normal" xfId="0" builtinId="0"/>
    <cellStyle name="Normal 2" xfId="5" xr:uid="{24905F12-1B63-4C47-9FAB-703AC741FCBE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'E-Bus VN'!$P$55</c:f>
              <c:numCache>
                <c:formatCode>_-* #,##0_-;\-* #,##0_-;_-* "-"??_-;_-@_-</c:formatCode>
                <c:ptCount val="1"/>
                <c:pt idx="0">
                  <c:v>323684.60312606004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C-47E2-BC22-059379A66FF9}"/>
            </c:ext>
          </c:extLst>
        </c:ser>
        <c:ser>
          <c:idx val="1"/>
          <c:order val="1"/>
          <c:tx>
            <c:strRef>
              <c:f>'E-Bus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'E-Bus VN'!$P$56</c:f>
              <c:numCache>
                <c:formatCode>_-* #,##0_-;\-* #,##0_-;_-* "-"??_-;_-@_-</c:formatCode>
                <c:ptCount val="1"/>
                <c:pt idx="0">
                  <c:v>50745.563126507215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C-47E2-BC22-059379A66FF9}"/>
            </c:ext>
          </c:extLst>
        </c:ser>
        <c:ser>
          <c:idx val="2"/>
          <c:order val="2"/>
          <c:tx>
            <c:strRef>
              <c:f>'E-Bus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'E-Bus VN'!$P$57</c:f>
              <c:numCache>
                <c:formatCode>_-* #,##0_-;\-* #,##0_-;_-* "-"??_-;_-@_-</c:formatCode>
                <c:ptCount val="1"/>
                <c:pt idx="0">
                  <c:v>88175.570416079136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8C-47E2-BC22-059379A66FF9}"/>
            </c:ext>
          </c:extLst>
        </c:ser>
        <c:ser>
          <c:idx val="4"/>
          <c:order val="3"/>
          <c:tx>
            <c:strRef>
              <c:f>'E-Bus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'E-Bus VN'!$P$58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8C-47E2-BC22-059379A66FF9}"/>
            </c:ext>
          </c:extLst>
        </c:ser>
        <c:ser>
          <c:idx val="5"/>
          <c:order val="4"/>
          <c:tx>
            <c:strRef>
              <c:f>'E-Bus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'E-Bus VN'!$P$59</c:f>
              <c:numCache>
                <c:formatCode>_-* #,##0_-;\-* #,##0_-;_-* "-"??_-;_-@_-</c:formatCode>
                <c:ptCount val="1"/>
                <c:pt idx="0">
                  <c:v>-70899.07291199264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4-44B3-8CC2-CB5273242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'E-Bus VN'!$R$55</c:f>
              <c:numCache>
                <c:formatCode>0.00</c:formatCode>
                <c:ptCount val="1"/>
                <c:pt idx="0">
                  <c:v>1.0166612322572399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8-4F80-BCFF-C7EBE38ED460}"/>
            </c:ext>
          </c:extLst>
        </c:ser>
        <c:ser>
          <c:idx val="1"/>
          <c:order val="1"/>
          <c:tx>
            <c:strRef>
              <c:f>'E-Bus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'E-Bus VN'!$R$56</c:f>
              <c:numCache>
                <c:formatCode>0.00</c:formatCode>
                <c:ptCount val="1"/>
                <c:pt idx="0">
                  <c:v>0.15938678034583584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8-4F80-BCFF-C7EBE38ED460}"/>
            </c:ext>
          </c:extLst>
        </c:ser>
        <c:ser>
          <c:idx val="2"/>
          <c:order val="2"/>
          <c:tx>
            <c:strRef>
              <c:f>'E-Bus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'E-Bus VN'!$R$57</c:f>
              <c:numCache>
                <c:formatCode>0.00</c:formatCode>
                <c:ptCount val="1"/>
                <c:pt idx="0">
                  <c:v>0.27695072057314885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8-4F80-BCFF-C7EBE38ED460}"/>
            </c:ext>
          </c:extLst>
        </c:ser>
        <c:ser>
          <c:idx val="4"/>
          <c:order val="3"/>
          <c:tx>
            <c:strRef>
              <c:f>'E-Bus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'E-Bus VN'!$R$58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8-4F80-BCFF-C7EBE38ED460}"/>
            </c:ext>
          </c:extLst>
        </c:ser>
        <c:ser>
          <c:idx val="5"/>
          <c:order val="4"/>
          <c:tx>
            <c:strRef>
              <c:f>'E-Bus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'E-Bus VN'!$R$59</c:f>
              <c:numCache>
                <c:formatCode>0.00</c:formatCode>
                <c:ptCount val="1"/>
                <c:pt idx="0">
                  <c:v>-0.22268695556251222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E-451F-A446-56F7F1D5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'ICE-Bus VN'!$P$55</c:f>
              <c:numCache>
                <c:formatCode>_-* #,##0_-;\-* #,##0_-;_-* "-"??_-;_-@_-</c:formatCode>
                <c:ptCount val="1"/>
                <c:pt idx="0">
                  <c:v>147238.49012620578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5-4736-99BC-88EE06976FBD}"/>
            </c:ext>
          </c:extLst>
        </c:ser>
        <c:ser>
          <c:idx val="1"/>
          <c:order val="1"/>
          <c:tx>
            <c:strRef>
              <c:f>'ICE-Bus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'ICE-Bus VN'!$P$56</c:f>
              <c:numCache>
                <c:formatCode>_-* #,##0_-;\-* #,##0_-;_-* "-"??_-;_-@_-</c:formatCode>
                <c:ptCount val="1"/>
                <c:pt idx="0">
                  <c:v>108666.85119521637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5-4736-99BC-88EE06976FBD}"/>
            </c:ext>
          </c:extLst>
        </c:ser>
        <c:ser>
          <c:idx val="2"/>
          <c:order val="2"/>
          <c:tx>
            <c:strRef>
              <c:f>'ICE-Bus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C5-4736-99BC-88EE06976FBD}"/>
              </c:ext>
            </c:extLst>
          </c:dPt>
          <c:val>
            <c:numRef>
              <c:f>'ICE-Bus VN'!$P$57</c:f>
              <c:numCache>
                <c:formatCode>_-* #,##0_-;\-* #,##0_-;_-* "-"??_-;_-@_-</c:formatCode>
                <c:ptCount val="1"/>
                <c:pt idx="0">
                  <c:v>66969.184648295093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C5-4736-99BC-88EE06976FBD}"/>
            </c:ext>
          </c:extLst>
        </c:ser>
        <c:ser>
          <c:idx val="4"/>
          <c:order val="3"/>
          <c:tx>
            <c:strRef>
              <c:f>'ICE-Bus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'ICE-Bus VN'!$P$58</c:f>
              <c:numCache>
                <c:formatCode>_-* #,##0_-;\-* #,##0_-;_-* "-"??_-;_-@_-</c:formatCode>
                <c:ptCount val="1"/>
                <c:pt idx="0">
                  <c:v>-30027.861866470197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C5-4736-99BC-88EE06976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'ICE-Bus VN'!$R$55</c:f>
              <c:numCache>
                <c:formatCode>0.00</c:formatCode>
                <c:ptCount val="1"/>
                <c:pt idx="0">
                  <c:v>0.46246149295246491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A-411B-9C24-FD068F91B234}"/>
            </c:ext>
          </c:extLst>
        </c:ser>
        <c:ser>
          <c:idx val="1"/>
          <c:order val="1"/>
          <c:tx>
            <c:strRef>
              <c:f>'ICE-Bus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'ICE-Bus VN'!$R$56</c:f>
              <c:numCache>
                <c:formatCode>0.00</c:formatCode>
                <c:ptCount val="1"/>
                <c:pt idx="0">
                  <c:v>0.34131180097749975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A-411B-9C24-FD068F91B234}"/>
            </c:ext>
          </c:extLst>
        </c:ser>
        <c:ser>
          <c:idx val="2"/>
          <c:order val="2"/>
          <c:tx>
            <c:strRef>
              <c:f>'ICE-Bus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'ICE-Bus VN'!$R$57</c:f>
              <c:numCache>
                <c:formatCode>0.00</c:formatCode>
                <c:ptCount val="1"/>
                <c:pt idx="0">
                  <c:v>0.21034356633047016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A-411B-9C24-FD068F91B234}"/>
            </c:ext>
          </c:extLst>
        </c:ser>
        <c:ser>
          <c:idx val="4"/>
          <c:order val="3"/>
          <c:tx>
            <c:strRef>
              <c:f>'ICE-Bus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'ICE-Bus VN'!$R$58</c:f>
              <c:numCache>
                <c:formatCode>0.00</c:formatCode>
                <c:ptCount val="1"/>
                <c:pt idx="0">
                  <c:v>-9.4314535669546451E-2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A-411B-9C24-FD068F91B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'E-Truck VN'!$P$55</c:f>
              <c:numCache>
                <c:formatCode>_-* #,##0_-;\-* #,##0_-;_-* "-"??_-;_-@_-</c:formatCode>
                <c:ptCount val="1"/>
                <c:pt idx="0">
                  <c:v>65305.000999138785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A-4B89-B11E-EB426C81D1CB}"/>
            </c:ext>
          </c:extLst>
        </c:ser>
        <c:ser>
          <c:idx val="1"/>
          <c:order val="1"/>
          <c:tx>
            <c:strRef>
              <c:f>'E-Truck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'E-Truck VN'!$P$56</c:f>
              <c:numCache>
                <c:formatCode>_-* #,##0_-;\-* #,##0_-;_-* "-"??_-;_-@_-</c:formatCode>
                <c:ptCount val="1"/>
                <c:pt idx="0">
                  <c:v>9501.0620760900565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A-4B89-B11E-EB426C81D1CB}"/>
            </c:ext>
          </c:extLst>
        </c:ser>
        <c:ser>
          <c:idx val="2"/>
          <c:order val="2"/>
          <c:tx>
            <c:strRef>
              <c:f>'E-Truck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'E-Truck VN'!$P$57</c:f>
              <c:numCache>
                <c:formatCode>_-* #,##0_-;\-* #,##0_-;_-* "-"??_-;_-@_-</c:formatCode>
                <c:ptCount val="1"/>
                <c:pt idx="0">
                  <c:v>15831.639100528504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A-4B89-B11E-EB426C81D1CB}"/>
            </c:ext>
          </c:extLst>
        </c:ser>
        <c:ser>
          <c:idx val="4"/>
          <c:order val="3"/>
          <c:tx>
            <c:strRef>
              <c:f>'E-Truck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'E-Truck VN'!$P$58</c:f>
              <c:numCache>
                <c:formatCode>_-* #,##0_-;\-* #,##0_-;_-* "-"??_-;_-@_-</c:formatCode>
                <c:ptCount val="1"/>
                <c:pt idx="0">
                  <c:v>11885.2222671784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A-4B89-B11E-EB426C81D1CB}"/>
            </c:ext>
          </c:extLst>
        </c:ser>
        <c:ser>
          <c:idx val="5"/>
          <c:order val="4"/>
          <c:tx>
            <c:strRef>
              <c:f>'E-Truck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'E-Truck VN'!$P$59</c:f>
              <c:numCache>
                <c:formatCode>_-* #,##0_-;\-* #,##0_-;_-* "-"??_-;_-@_-</c:formatCode>
                <c:ptCount val="1"/>
                <c:pt idx="0">
                  <c:v>-14171.38526068286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7A-4B89-B11E-EB426C81D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'E-Truck VN'!$R$55</c:f>
              <c:numCache>
                <c:formatCode>0.00</c:formatCode>
                <c:ptCount val="1"/>
                <c:pt idx="0">
                  <c:v>0.21025434964307399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4-4874-8EEC-B963ECA114D6}"/>
            </c:ext>
          </c:extLst>
        </c:ser>
        <c:ser>
          <c:idx val="1"/>
          <c:order val="1"/>
          <c:tx>
            <c:strRef>
              <c:f>'E-Truck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'E-Truck VN'!$R$56</c:f>
              <c:numCache>
                <c:formatCode>0.00</c:formatCode>
                <c:ptCount val="1"/>
                <c:pt idx="0">
                  <c:v>3.0589382086574555E-2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4-4874-8EEC-B963ECA114D6}"/>
            </c:ext>
          </c:extLst>
        </c:ser>
        <c:ser>
          <c:idx val="2"/>
          <c:order val="2"/>
          <c:tx>
            <c:strRef>
              <c:f>'E-Truck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'E-Truck VN'!$R$57</c:f>
              <c:numCache>
                <c:formatCode>0.00</c:formatCode>
                <c:ptCount val="1"/>
                <c:pt idx="0">
                  <c:v>5.0971149711939806E-2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4-4874-8EEC-B963ECA114D6}"/>
            </c:ext>
          </c:extLst>
        </c:ser>
        <c:ser>
          <c:idx val="4"/>
          <c:order val="3"/>
          <c:tx>
            <c:strRef>
              <c:f>'E-Truck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'E-Truck VN'!$R$58</c:f>
              <c:numCache>
                <c:formatCode>0.00</c:formatCode>
                <c:ptCount val="1"/>
                <c:pt idx="0">
                  <c:v>3.8265364672177719E-2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4-4874-8EEC-B963ECA114D6}"/>
            </c:ext>
          </c:extLst>
        </c:ser>
        <c:ser>
          <c:idx val="5"/>
          <c:order val="4"/>
          <c:tx>
            <c:strRef>
              <c:f>'E-Truck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'E-Truck VN'!$R$59</c:f>
              <c:numCache>
                <c:formatCode>0.00</c:formatCode>
                <c:ptCount val="1"/>
                <c:pt idx="0">
                  <c:v>-4.5625837928792212E-2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4-4874-8EEC-B963ECA11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'ICE-Truck VN'!$P$55</c:f>
              <c:numCache>
                <c:formatCode>_-* #,##0_-;\-* #,##0_-;_-* "-"??_-;_-@_-</c:formatCode>
                <c:ptCount val="1"/>
                <c:pt idx="0">
                  <c:v>13899.91012998187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1-4F72-B9DC-DDB4EC49773E}"/>
            </c:ext>
          </c:extLst>
        </c:ser>
        <c:ser>
          <c:idx val="1"/>
          <c:order val="1"/>
          <c:tx>
            <c:strRef>
              <c:f>'ICE-Truck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'ICE-Truck VN'!$P$56</c:f>
              <c:numCache>
                <c:formatCode>_-* #,##0_-;\-* #,##0_-;_-* "-"??_-;_-@_-</c:formatCode>
                <c:ptCount val="1"/>
                <c:pt idx="0">
                  <c:v>34615.982166077185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1-4F72-B9DC-DDB4EC49773E}"/>
            </c:ext>
          </c:extLst>
        </c:ser>
        <c:ser>
          <c:idx val="2"/>
          <c:order val="2"/>
          <c:tx>
            <c:strRef>
              <c:f>'ICE-Truck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01-4F72-B9DC-DDB4EC49773E}"/>
              </c:ext>
            </c:extLst>
          </c:dPt>
          <c:val>
            <c:numRef>
              <c:f>'ICE-Truck VN'!$P$57</c:f>
              <c:numCache>
                <c:formatCode>_-* #,##0_-;\-* #,##0_-;_-* "-"??_-;_-@_-</c:formatCode>
                <c:ptCount val="1"/>
                <c:pt idx="0">
                  <c:v>39227.007375338639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01-4F72-B9DC-DDB4EC49773E}"/>
            </c:ext>
          </c:extLst>
        </c:ser>
        <c:ser>
          <c:idx val="4"/>
          <c:order val="3"/>
          <c:tx>
            <c:strRef>
              <c:f>'ICE-Truck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'ICE-Truck VN'!$P$58</c:f>
              <c:numCache>
                <c:formatCode>_-* #,##0_-;\-* #,##0_-;_-* "-"??_-;_-@_-</c:formatCode>
                <c:ptCount val="1"/>
                <c:pt idx="0">
                  <c:v>-2850.7463797281835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01-4F72-B9DC-DDB4EC497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'ICE-Truck VN'!$R$55</c:f>
              <c:numCache>
                <c:formatCode>0.00</c:formatCode>
                <c:ptCount val="1"/>
                <c:pt idx="0">
                  <c:v>4.4751803380495399E-2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0-4201-A473-E177F5544102}"/>
            </c:ext>
          </c:extLst>
        </c:ser>
        <c:ser>
          <c:idx val="1"/>
          <c:order val="1"/>
          <c:tx>
            <c:strRef>
              <c:f>'ICE-Truck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'ICE-Truck VN'!$R$56</c:f>
              <c:numCache>
                <c:formatCode>0.00</c:formatCode>
                <c:ptCount val="1"/>
                <c:pt idx="0">
                  <c:v>0.11144875133959171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0-4201-A473-E177F5544102}"/>
            </c:ext>
          </c:extLst>
        </c:ser>
        <c:ser>
          <c:idx val="2"/>
          <c:order val="2"/>
          <c:tx>
            <c:strRef>
              <c:f>'ICE-Truck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'ICE-Truck VN'!$R$57</c:f>
              <c:numCache>
                <c:formatCode>0.00</c:formatCode>
                <c:ptCount val="1"/>
                <c:pt idx="0">
                  <c:v>0.12629429290192737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F0-4201-A473-E177F5544102}"/>
            </c:ext>
          </c:extLst>
        </c:ser>
        <c:ser>
          <c:idx val="4"/>
          <c:order val="3"/>
          <c:tx>
            <c:strRef>
              <c:f>'ICE-Truck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'ICE-Truck VN'!$R$58</c:f>
              <c:numCache>
                <c:formatCode>0.00</c:formatCode>
                <c:ptCount val="1"/>
                <c:pt idx="0">
                  <c:v>-9.1781918214043252E-3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F0-4201-A473-E177F5544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'E-Kargo VN'!$P$55</c:f>
              <c:numCache>
                <c:formatCode>_-* #,##0_-;\-* #,##0_-;_-* "-"??_-;_-@_-</c:formatCode>
                <c:ptCount val="1"/>
                <c:pt idx="0">
                  <c:v>20654.035493699343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9-4BBD-8EDF-7D17B73CA72D}"/>
            </c:ext>
          </c:extLst>
        </c:ser>
        <c:ser>
          <c:idx val="1"/>
          <c:order val="1"/>
          <c:tx>
            <c:strRef>
              <c:f>'E-Kargo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'E-Kargo VN'!$P$56</c:f>
              <c:numCache>
                <c:formatCode>_-* #,##0_-;\-* #,##0_-;_-* "-"??_-;_-@_-</c:formatCode>
                <c:ptCount val="1"/>
                <c:pt idx="0">
                  <c:v>5023.3657867125776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9-4BBD-8EDF-7D17B73CA72D}"/>
            </c:ext>
          </c:extLst>
        </c:ser>
        <c:ser>
          <c:idx val="2"/>
          <c:order val="2"/>
          <c:tx>
            <c:strRef>
              <c:f>'E-Kargo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'E-Kargo VN'!$P$57</c:f>
              <c:numCache>
                <c:formatCode>_-* #,##0_-;\-* #,##0_-;_-* "-"??_-;_-@_-</c:formatCode>
                <c:ptCount val="1"/>
                <c:pt idx="0">
                  <c:v>5320.0743776653781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09-4BBD-8EDF-7D17B73CA72D}"/>
            </c:ext>
          </c:extLst>
        </c:ser>
        <c:ser>
          <c:idx val="4"/>
          <c:order val="3"/>
          <c:tx>
            <c:strRef>
              <c:f>'E-Kargo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'E-Kargo VN'!$P$58</c:f>
              <c:numCache>
                <c:formatCode>_-* #,##0_-;\-* #,##0_-;_-* "-"??_-;_-@_-</c:formatCode>
                <c:ptCount val="1"/>
                <c:pt idx="0">
                  <c:v>3134.1046658738355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09-4BBD-8EDF-7D17B73CA72D}"/>
            </c:ext>
          </c:extLst>
        </c:ser>
        <c:ser>
          <c:idx val="5"/>
          <c:order val="4"/>
          <c:tx>
            <c:strRef>
              <c:f>'E-Kargo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'E-Kargo VN'!$P$59</c:f>
              <c:numCache>
                <c:formatCode>_-* #,##0_-;\-* #,##0_-;_-* "-"??_-;_-@_-</c:formatCode>
                <c:ptCount val="1"/>
                <c:pt idx="0">
                  <c:v>-4303.1062243777487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09-4BBD-8EDF-7D17B73CA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'E-Kargo VN'!$R$55</c:f>
              <c:numCache>
                <c:formatCode>0.00</c:formatCode>
                <c:ptCount val="1"/>
                <c:pt idx="0">
                  <c:v>9.3997339888496526E-2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1-431B-80EA-1765A7DC5B31}"/>
            </c:ext>
          </c:extLst>
        </c:ser>
        <c:ser>
          <c:idx val="1"/>
          <c:order val="1"/>
          <c:tx>
            <c:strRef>
              <c:f>'E-Kargo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'E-Kargo VN'!$R$56</c:f>
              <c:numCache>
                <c:formatCode>0.00</c:formatCode>
                <c:ptCount val="1"/>
                <c:pt idx="0">
                  <c:v>2.2861538191018875E-2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1-431B-80EA-1765A7DC5B31}"/>
            </c:ext>
          </c:extLst>
        </c:ser>
        <c:ser>
          <c:idx val="2"/>
          <c:order val="2"/>
          <c:tx>
            <c:strRef>
              <c:f>'E-Kargo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'E-Kargo VN'!$R$57</c:f>
              <c:numCache>
                <c:formatCode>0.00</c:formatCode>
                <c:ptCount val="1"/>
                <c:pt idx="0">
                  <c:v>2.4211870830862323E-2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1-431B-80EA-1765A7DC5B31}"/>
            </c:ext>
          </c:extLst>
        </c:ser>
        <c:ser>
          <c:idx val="4"/>
          <c:order val="3"/>
          <c:tx>
            <c:strRef>
              <c:f>'E-Kargo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'E-Kargo VN'!$R$58</c:f>
              <c:numCache>
                <c:formatCode>0.00</c:formatCode>
                <c:ptCount val="1"/>
                <c:pt idx="0">
                  <c:v>1.42634354247205E-2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1-431B-80EA-1765A7DC5B31}"/>
            </c:ext>
          </c:extLst>
        </c:ser>
        <c:ser>
          <c:idx val="5"/>
          <c:order val="4"/>
          <c:tx>
            <c:strRef>
              <c:f>'E-Kargo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'E-Kargo VN'!$R$59</c:f>
              <c:numCache>
                <c:formatCode>0.00</c:formatCode>
                <c:ptCount val="1"/>
                <c:pt idx="0">
                  <c:v>-1.9583608175386832E-2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F1-431B-80EA-1765A7DC5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'ICE-Kargo VN'!$P$55</c:f>
              <c:numCache>
                <c:formatCode>_-* #,##0_-;\-* #,##0_-;_-* "-"??_-;_-@_-</c:formatCode>
                <c:ptCount val="1"/>
                <c:pt idx="0">
                  <c:v>6316.9236906565602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7-4148-85D3-F3F76B1B0D1B}"/>
            </c:ext>
          </c:extLst>
        </c:ser>
        <c:ser>
          <c:idx val="1"/>
          <c:order val="1"/>
          <c:tx>
            <c:strRef>
              <c:f>'ICE-Kargo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'ICE-Kargo VN'!$P$56</c:f>
              <c:numCache>
                <c:formatCode>_-* #,##0_-;\-* #,##0_-;_-* "-"??_-;_-@_-</c:formatCode>
                <c:ptCount val="1"/>
                <c:pt idx="0">
                  <c:v>11096.412340993844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7-4148-85D3-F3F76B1B0D1B}"/>
            </c:ext>
          </c:extLst>
        </c:ser>
        <c:ser>
          <c:idx val="2"/>
          <c:order val="2"/>
          <c:tx>
            <c:strRef>
              <c:f>'ICE-Kargo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B7-4148-85D3-F3F76B1B0D1B}"/>
              </c:ext>
            </c:extLst>
          </c:dPt>
          <c:val>
            <c:numRef>
              <c:f>'ICE-Kargo VN'!$P$57</c:f>
              <c:numCache>
                <c:formatCode>_-* #,##0_-;\-* #,##0_-;_-* "-"??_-;_-@_-</c:formatCode>
                <c:ptCount val="1"/>
                <c:pt idx="0">
                  <c:v>8846.8470404760956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B7-4148-85D3-F3F76B1B0D1B}"/>
            </c:ext>
          </c:extLst>
        </c:ser>
        <c:ser>
          <c:idx val="4"/>
          <c:order val="3"/>
          <c:tx>
            <c:strRef>
              <c:f>'ICE-Kargo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'ICE-Kargo VN'!$P$58</c:f>
              <c:numCache>
                <c:formatCode>_-* #,##0_-;\-* #,##0_-;_-* "-"??_-;_-@_-</c:formatCode>
                <c:ptCount val="1"/>
                <c:pt idx="0">
                  <c:v>-1368.358262269528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B7-4148-85D3-F3F76B1B0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'ICE-Kargo VN'!$R$55</c:f>
              <c:numCache>
                <c:formatCode>0.00</c:formatCode>
                <c:ptCount val="1"/>
                <c:pt idx="0">
                  <c:v>2.8748571841153054E-2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6-4A9D-ABB7-736600E2047B}"/>
            </c:ext>
          </c:extLst>
        </c:ser>
        <c:ser>
          <c:idx val="1"/>
          <c:order val="1"/>
          <c:tx>
            <c:strRef>
              <c:f>'ICE-Kargo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'ICE-Kargo VN'!$R$56</c:f>
              <c:numCache>
                <c:formatCode>0.00</c:formatCode>
                <c:ptCount val="1"/>
                <c:pt idx="0">
                  <c:v>5.0500215450752485E-2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6-4A9D-ABB7-736600E2047B}"/>
            </c:ext>
          </c:extLst>
        </c:ser>
        <c:ser>
          <c:idx val="2"/>
          <c:order val="2"/>
          <c:tx>
            <c:strRef>
              <c:f>'ICE-Kargo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'ICE-Kargo VN'!$R$57</c:f>
              <c:numCache>
                <c:formatCode>0.00</c:formatCode>
                <c:ptCount val="1"/>
                <c:pt idx="0">
                  <c:v>4.0262353982051136E-2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F6-4A9D-ABB7-736600E2047B}"/>
            </c:ext>
          </c:extLst>
        </c:ser>
        <c:ser>
          <c:idx val="4"/>
          <c:order val="3"/>
          <c:tx>
            <c:strRef>
              <c:f>'ICE-Kargo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'ICE-Kargo VN'!$R$58</c:f>
              <c:numCache>
                <c:formatCode>0.00</c:formatCode>
                <c:ptCount val="1"/>
                <c:pt idx="0">
                  <c:v>-6.2274530663520141E-3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F6-4A9D-ABB7-736600E20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-41.317219373008648</c:v>
                </c:pt>
                <c:pt idx="1">
                  <c:v>-33.053775498406921</c:v>
                </c:pt>
                <c:pt idx="2">
                  <c:v>-24.790331623805191</c:v>
                </c:pt>
                <c:pt idx="3">
                  <c:v>-16.526887749203453</c:v>
                </c:pt>
                <c:pt idx="4">
                  <c:v>-8.2634438746017036</c:v>
                </c:pt>
                <c:pt idx="5">
                  <c:v>0</c:v>
                </c:pt>
                <c:pt idx="6">
                  <c:v>8.263443874601748</c:v>
                </c:pt>
                <c:pt idx="7">
                  <c:v>16.526887749203453</c:v>
                </c:pt>
                <c:pt idx="8">
                  <c:v>24.790331623805233</c:v>
                </c:pt>
                <c:pt idx="9">
                  <c:v>33.053775498406985</c:v>
                </c:pt>
                <c:pt idx="10">
                  <c:v>41.317219373008747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-6.4774955115433617</c:v>
                </c:pt>
                <c:pt idx="1">
                  <c:v>-5.1819964092346948</c:v>
                </c:pt>
                <c:pt idx="2">
                  <c:v>-3.8864973069260138</c:v>
                </c:pt>
                <c:pt idx="3">
                  <c:v>-2.5909982046173328</c:v>
                </c:pt>
                <c:pt idx="4">
                  <c:v>-1.2954991023086515</c:v>
                </c:pt>
                <c:pt idx="5">
                  <c:v>0</c:v>
                </c:pt>
                <c:pt idx="6">
                  <c:v>1.2954991023086959</c:v>
                </c:pt>
                <c:pt idx="7">
                  <c:v>2.5909982046173621</c:v>
                </c:pt>
                <c:pt idx="8">
                  <c:v>3.8864973069260289</c:v>
                </c:pt>
                <c:pt idx="9">
                  <c:v>5.1819964092347393</c:v>
                </c:pt>
                <c:pt idx="10">
                  <c:v>6.4774955115434061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-4.6900500238037353</c:v>
                </c:pt>
                <c:pt idx="1">
                  <c:v>-3.7520400190429881</c:v>
                </c:pt>
                <c:pt idx="2">
                  <c:v>-2.8140300142822561</c:v>
                </c:pt>
                <c:pt idx="3">
                  <c:v>-1.8760200095214792</c:v>
                </c:pt>
                <c:pt idx="4">
                  <c:v>-0.93801000476074703</c:v>
                </c:pt>
                <c:pt idx="5">
                  <c:v>0</c:v>
                </c:pt>
                <c:pt idx="6">
                  <c:v>0.9380100047607618</c:v>
                </c:pt>
                <c:pt idx="7">
                  <c:v>1.8760200095214941</c:v>
                </c:pt>
                <c:pt idx="8">
                  <c:v>2.8140300142822561</c:v>
                </c:pt>
                <c:pt idx="9">
                  <c:v>3.7520400190429881</c:v>
                </c:pt>
                <c:pt idx="10">
                  <c:v>4.6900500238037797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-17.473472175419065</c:v>
                </c:pt>
                <c:pt idx="1">
                  <c:v>-13.97877774033525</c:v>
                </c:pt>
                <c:pt idx="2">
                  <c:v>-10.484083305251449</c:v>
                </c:pt>
                <c:pt idx="3">
                  <c:v>-6.9893888701676179</c:v>
                </c:pt>
                <c:pt idx="4">
                  <c:v>-3.4946944350837867</c:v>
                </c:pt>
                <c:pt idx="5">
                  <c:v>0</c:v>
                </c:pt>
                <c:pt idx="6">
                  <c:v>3.4946944350838458</c:v>
                </c:pt>
                <c:pt idx="7">
                  <c:v>6.9893888701676179</c:v>
                </c:pt>
                <c:pt idx="8">
                  <c:v>10.484083305251449</c:v>
                </c:pt>
                <c:pt idx="9">
                  <c:v>13.97877774033528</c:v>
                </c:pt>
                <c:pt idx="10">
                  <c:v>17.473472175419094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-10.995976663875675</c:v>
                </c:pt>
                <c:pt idx="1">
                  <c:v>-8.7967813311005258</c:v>
                </c:pt>
                <c:pt idx="2">
                  <c:v>-6.5975859983253908</c:v>
                </c:pt>
                <c:pt idx="3">
                  <c:v>-4.39839066555027</c:v>
                </c:pt>
                <c:pt idx="4">
                  <c:v>-2.1991953327751204</c:v>
                </c:pt>
                <c:pt idx="5">
                  <c:v>1.4860012938056297E-14</c:v>
                </c:pt>
                <c:pt idx="6">
                  <c:v>2.1991953327751794</c:v>
                </c:pt>
                <c:pt idx="7">
                  <c:v>4.3983906655503002</c:v>
                </c:pt>
                <c:pt idx="8">
                  <c:v>6.5975859983254352</c:v>
                </c:pt>
                <c:pt idx="9">
                  <c:v>8.7967813311005845</c:v>
                </c:pt>
                <c:pt idx="10">
                  <c:v>10.995976663875705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6.4774955115434061</c:v>
                </c:pt>
                <c:pt idx="1">
                  <c:v>5.1819964092347393</c:v>
                </c:pt>
                <c:pt idx="2">
                  <c:v>3.8864973069260289</c:v>
                </c:pt>
                <c:pt idx="3">
                  <c:v>2.5909982046173621</c:v>
                </c:pt>
                <c:pt idx="4">
                  <c:v>1.2954991023086959</c:v>
                </c:pt>
                <c:pt idx="5">
                  <c:v>0</c:v>
                </c:pt>
                <c:pt idx="6">
                  <c:v>-1.2954991023086515</c:v>
                </c:pt>
                <c:pt idx="7">
                  <c:v>-2.5909982046173328</c:v>
                </c:pt>
                <c:pt idx="8">
                  <c:v>-3.8864973069260138</c:v>
                </c:pt>
                <c:pt idx="9">
                  <c:v>-5.1819964092346948</c:v>
                </c:pt>
                <c:pt idx="10">
                  <c:v>-6.4774955115433617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-25.139178309761277</c:v>
                </c:pt>
                <c:pt idx="1">
                  <c:v>-20.111342647809028</c:v>
                </c:pt>
                <c:pt idx="2">
                  <c:v>-15.083506985856779</c:v>
                </c:pt>
                <c:pt idx="3">
                  <c:v>-10.055671323904539</c:v>
                </c:pt>
                <c:pt idx="4">
                  <c:v>-5.02783566195225</c:v>
                </c:pt>
                <c:pt idx="5">
                  <c:v>0</c:v>
                </c:pt>
                <c:pt idx="6">
                  <c:v>5.02783566195225</c:v>
                </c:pt>
                <c:pt idx="7">
                  <c:v>10.055671323904479</c:v>
                </c:pt>
                <c:pt idx="8">
                  <c:v>15.083506985856749</c:v>
                </c:pt>
                <c:pt idx="9">
                  <c:v>20.111342647809</c:v>
                </c:pt>
                <c:pt idx="10">
                  <c:v>25.139178309761267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-18.553540899633468</c:v>
                </c:pt>
                <c:pt idx="1">
                  <c:v>-14.842832719706795</c:v>
                </c:pt>
                <c:pt idx="2">
                  <c:v>-11.132124539780113</c:v>
                </c:pt>
                <c:pt idx="3">
                  <c:v>-7.4214163598534029</c:v>
                </c:pt>
                <c:pt idx="4">
                  <c:v>-3.7107081799267112</c:v>
                </c:pt>
                <c:pt idx="5">
                  <c:v>0</c:v>
                </c:pt>
                <c:pt idx="6">
                  <c:v>3.7107081799266717</c:v>
                </c:pt>
                <c:pt idx="7">
                  <c:v>7.4214163598533816</c:v>
                </c:pt>
                <c:pt idx="8">
                  <c:v>11.132124539780055</c:v>
                </c:pt>
                <c:pt idx="9">
                  <c:v>14.842832719706745</c:v>
                </c:pt>
                <c:pt idx="10">
                  <c:v>18.553540899633475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-8.7307936843104592</c:v>
                </c:pt>
                <c:pt idx="1">
                  <c:v>-6.9846349474483596</c:v>
                </c:pt>
                <c:pt idx="2">
                  <c:v>-5.238476210586299</c:v>
                </c:pt>
                <c:pt idx="3">
                  <c:v>-3.4923174737241998</c:v>
                </c:pt>
                <c:pt idx="4">
                  <c:v>-1.7461587368620999</c:v>
                </c:pt>
                <c:pt idx="5">
                  <c:v>0</c:v>
                </c:pt>
                <c:pt idx="6">
                  <c:v>1.7461587368620599</c:v>
                </c:pt>
                <c:pt idx="7">
                  <c:v>3.4923174737241593</c:v>
                </c:pt>
                <c:pt idx="8">
                  <c:v>5.2384762105862599</c:v>
                </c:pt>
                <c:pt idx="9">
                  <c:v>6.98463494744834</c:v>
                </c:pt>
                <c:pt idx="10">
                  <c:v>8.7307936843104397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-27.284334583943938</c:v>
                </c:pt>
                <c:pt idx="1">
                  <c:v>-21.827467667155155</c:v>
                </c:pt>
                <c:pt idx="2">
                  <c:v>-16.370600750366343</c:v>
                </c:pt>
                <c:pt idx="3">
                  <c:v>-10.913733833577561</c:v>
                </c:pt>
                <c:pt idx="4">
                  <c:v>-5.4568669167888109</c:v>
                </c:pt>
                <c:pt idx="5">
                  <c:v>0</c:v>
                </c:pt>
                <c:pt idx="6">
                  <c:v>5.4568669167887913</c:v>
                </c:pt>
                <c:pt idx="7">
                  <c:v>10.913733833577561</c:v>
                </c:pt>
                <c:pt idx="8">
                  <c:v>16.370600750366311</c:v>
                </c:pt>
                <c:pt idx="9">
                  <c:v>21.827467667155144</c:v>
                </c:pt>
                <c:pt idx="10">
                  <c:v>27.284334583943874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18.553540899633475</c:v>
                </c:pt>
                <c:pt idx="1">
                  <c:v>14.842832719706745</c:v>
                </c:pt>
                <c:pt idx="2">
                  <c:v>11.132124539780055</c:v>
                </c:pt>
                <c:pt idx="3">
                  <c:v>7.4214163598533816</c:v>
                </c:pt>
                <c:pt idx="4">
                  <c:v>3.7107081799266717</c:v>
                </c:pt>
                <c:pt idx="5">
                  <c:v>0</c:v>
                </c:pt>
                <c:pt idx="6">
                  <c:v>-3.7107081799267112</c:v>
                </c:pt>
                <c:pt idx="7">
                  <c:v>-7.4214163598534029</c:v>
                </c:pt>
                <c:pt idx="8">
                  <c:v>-11.132124539780113</c:v>
                </c:pt>
                <c:pt idx="9">
                  <c:v>-14.842832719706795</c:v>
                </c:pt>
                <c:pt idx="10">
                  <c:v>-18.553540899633468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Sensitivity!$O$3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Sensitivity!$P$3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</a:t>
            </a:r>
            <a:r>
              <a:rPr lang="en-US" b="1"/>
              <a:t>truck</a:t>
            </a:r>
            <a:endParaRPr lang="id-ID" b="1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-36.957477823010329</c:v>
                </c:pt>
                <c:pt idx="1">
                  <c:v>-29.565982258408262</c:v>
                </c:pt>
                <c:pt idx="2">
                  <c:v>-22.174486693806195</c:v>
                </c:pt>
                <c:pt idx="3">
                  <c:v>-14.782991129204119</c:v>
                </c:pt>
                <c:pt idx="4">
                  <c:v>-7.3914955646020752</c:v>
                </c:pt>
                <c:pt idx="5">
                  <c:v>0</c:v>
                </c:pt>
                <c:pt idx="6">
                  <c:v>7.3914955646020752</c:v>
                </c:pt>
                <c:pt idx="7">
                  <c:v>14.78299112920415</c:v>
                </c:pt>
                <c:pt idx="8">
                  <c:v>22.174486693806227</c:v>
                </c:pt>
                <c:pt idx="9">
                  <c:v>29.565982258408269</c:v>
                </c:pt>
                <c:pt idx="10">
                  <c:v>36.95747782301035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2-41D6-B8CB-0B7FBC952EC7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-5.3768514753835337</c:v>
                </c:pt>
                <c:pt idx="1">
                  <c:v>-4.3014811803068298</c:v>
                </c:pt>
                <c:pt idx="2">
                  <c:v>-3.2261108852301099</c:v>
                </c:pt>
                <c:pt idx="3">
                  <c:v>-2.1507405901534069</c:v>
                </c:pt>
                <c:pt idx="4">
                  <c:v>-1.075370295076687</c:v>
                </c:pt>
                <c:pt idx="5">
                  <c:v>0</c:v>
                </c:pt>
                <c:pt idx="6">
                  <c:v>1.075370295076687</c:v>
                </c:pt>
                <c:pt idx="7">
                  <c:v>2.1507405901534562</c:v>
                </c:pt>
                <c:pt idx="8">
                  <c:v>3.2261108852301268</c:v>
                </c:pt>
                <c:pt idx="9">
                  <c:v>4.3014811803068467</c:v>
                </c:pt>
                <c:pt idx="10">
                  <c:v>5.3768514753835337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2-41D6-B8CB-0B7FBC952EC7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-5.2306235180329699</c:v>
                </c:pt>
                <c:pt idx="1">
                  <c:v>-4.1844988144263597</c:v>
                </c:pt>
                <c:pt idx="2">
                  <c:v>-3.138374110819766</c:v>
                </c:pt>
                <c:pt idx="3">
                  <c:v>-2.0922494072131879</c:v>
                </c:pt>
                <c:pt idx="4">
                  <c:v>-1.0461247036065939</c:v>
                </c:pt>
                <c:pt idx="5">
                  <c:v>0</c:v>
                </c:pt>
                <c:pt idx="6">
                  <c:v>1.0461247036065775</c:v>
                </c:pt>
                <c:pt idx="7">
                  <c:v>2.0922494072131719</c:v>
                </c:pt>
                <c:pt idx="8">
                  <c:v>3.1383741108197492</c:v>
                </c:pt>
                <c:pt idx="9">
                  <c:v>4.1844988144263437</c:v>
                </c:pt>
                <c:pt idx="10">
                  <c:v>5.230623518032937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2-41D6-B8CB-0B7FBC952EC7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-26.97277957215795</c:v>
                </c:pt>
                <c:pt idx="1">
                  <c:v>-18.063452542544187</c:v>
                </c:pt>
                <c:pt idx="2">
                  <c:v>-15.049075322539304</c:v>
                </c:pt>
                <c:pt idx="3">
                  <c:v>-12.019185076719678</c:v>
                </c:pt>
                <c:pt idx="4">
                  <c:v>-8.973006153794568</c:v>
                </c:pt>
                <c:pt idx="5">
                  <c:v>0</c:v>
                </c:pt>
                <c:pt idx="6">
                  <c:v>2.7041167037096683</c:v>
                </c:pt>
                <c:pt idx="7">
                  <c:v>6.3911037263950199</c:v>
                </c:pt>
                <c:pt idx="8">
                  <c:v>9.0952204301046891</c:v>
                </c:pt>
                <c:pt idx="9">
                  <c:v>11.79933713381434</c:v>
                </c:pt>
                <c:pt idx="10">
                  <c:v>21.772479701272836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C2-41D6-B8CB-0B7FBC952EC7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-8.1437320431647748</c:v>
                </c:pt>
                <c:pt idx="1">
                  <c:v>-6.5149856345317936</c:v>
                </c:pt>
                <c:pt idx="2">
                  <c:v>-4.8862392258988621</c:v>
                </c:pt>
                <c:pt idx="3">
                  <c:v>-3.2574928172658968</c:v>
                </c:pt>
                <c:pt idx="4">
                  <c:v>-1.6287464086329484</c:v>
                </c:pt>
                <c:pt idx="5">
                  <c:v>0</c:v>
                </c:pt>
                <c:pt idx="6">
                  <c:v>1.628746408632965</c:v>
                </c:pt>
                <c:pt idx="7">
                  <c:v>3.2574928172658968</c:v>
                </c:pt>
                <c:pt idx="8">
                  <c:v>4.8862392258988789</c:v>
                </c:pt>
                <c:pt idx="9">
                  <c:v>6.5149856345318096</c:v>
                </c:pt>
                <c:pt idx="10">
                  <c:v>8.1437320431647926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2-41D6-B8CB-0B7FBC952EC7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5.3768514753835337</c:v>
                </c:pt>
                <c:pt idx="1">
                  <c:v>4.3014811803068467</c:v>
                </c:pt>
                <c:pt idx="2">
                  <c:v>3.2261108852301437</c:v>
                </c:pt>
                <c:pt idx="3">
                  <c:v>2.1507405901534562</c:v>
                </c:pt>
                <c:pt idx="4">
                  <c:v>1.075370295076687</c:v>
                </c:pt>
                <c:pt idx="5">
                  <c:v>0</c:v>
                </c:pt>
                <c:pt idx="6">
                  <c:v>-1.075370295076687</c:v>
                </c:pt>
                <c:pt idx="7">
                  <c:v>-2.1507405901534069</c:v>
                </c:pt>
                <c:pt idx="8">
                  <c:v>-3.2261108852301099</c:v>
                </c:pt>
                <c:pt idx="9">
                  <c:v>-4.3014811803068298</c:v>
                </c:pt>
                <c:pt idx="10">
                  <c:v>-5.3768514753835337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C2-41D6-B8CB-0B7FBC952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-34.621341046062312</c:v>
                </c:pt>
                <c:pt idx="1">
                  <c:v>-27.697072836849852</c:v>
                </c:pt>
                <c:pt idx="2">
                  <c:v>-20.772804627637385</c:v>
                </c:pt>
                <c:pt idx="3">
                  <c:v>-13.848536418424921</c:v>
                </c:pt>
                <c:pt idx="4">
                  <c:v>-6.9242682092124532</c:v>
                </c:pt>
                <c:pt idx="5">
                  <c:v>0</c:v>
                </c:pt>
                <c:pt idx="6">
                  <c:v>6.9242682092125136</c:v>
                </c:pt>
                <c:pt idx="7">
                  <c:v>13.848536418424931</c:v>
                </c:pt>
                <c:pt idx="8">
                  <c:v>20.772804627637424</c:v>
                </c:pt>
                <c:pt idx="9">
                  <c:v>27.697072836849891</c:v>
                </c:pt>
                <c:pt idx="10">
                  <c:v>34.621341046062327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-8.4204203170828844</c:v>
                </c:pt>
                <c:pt idx="1">
                  <c:v>-6.7363362536663072</c:v>
                </c:pt>
                <c:pt idx="2">
                  <c:v>-5.0522521902497308</c:v>
                </c:pt>
                <c:pt idx="3">
                  <c:v>-3.3681681268331416</c:v>
                </c:pt>
                <c:pt idx="4">
                  <c:v>-1.6840840634165646</c:v>
                </c:pt>
                <c:pt idx="5">
                  <c:v>0</c:v>
                </c:pt>
                <c:pt idx="6">
                  <c:v>1.6840840634166137</c:v>
                </c:pt>
                <c:pt idx="7">
                  <c:v>3.368168126833202</c:v>
                </c:pt>
                <c:pt idx="8">
                  <c:v>5.0522521902497921</c:v>
                </c:pt>
                <c:pt idx="9">
                  <c:v>6.736336253666356</c:v>
                </c:pt>
                <c:pt idx="10">
                  <c:v>8.4204203170829199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-8.0334263461467046</c:v>
                </c:pt>
                <c:pt idx="1">
                  <c:v>-6.4267410769173638</c:v>
                </c:pt>
                <c:pt idx="2">
                  <c:v>-4.8200558076880222</c:v>
                </c:pt>
                <c:pt idx="3">
                  <c:v>-3.2133705384586695</c:v>
                </c:pt>
                <c:pt idx="4">
                  <c:v>-1.6066852692293285</c:v>
                </c:pt>
                <c:pt idx="5">
                  <c:v>0</c:v>
                </c:pt>
                <c:pt idx="6">
                  <c:v>1.606685269229341</c:v>
                </c:pt>
                <c:pt idx="7">
                  <c:v>3.2133705384587179</c:v>
                </c:pt>
                <c:pt idx="8">
                  <c:v>4.8200558076880347</c:v>
                </c:pt>
                <c:pt idx="9">
                  <c:v>6.4267410769173754</c:v>
                </c:pt>
                <c:pt idx="10">
                  <c:v>8.0334263461467046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-26.009292561326031</c:v>
                </c:pt>
                <c:pt idx="1">
                  <c:v>-22.90885208030944</c:v>
                </c:pt>
                <c:pt idx="2">
                  <c:v>-10.731992071170025</c:v>
                </c:pt>
                <c:pt idx="3">
                  <c:v>-7.1777306137473351</c:v>
                </c:pt>
                <c:pt idx="4">
                  <c:v>-3.6007781075043321</c:v>
                </c:pt>
                <c:pt idx="5">
                  <c:v>0</c:v>
                </c:pt>
                <c:pt idx="6">
                  <c:v>3.625794988828738</c:v>
                </c:pt>
                <c:pt idx="7">
                  <c:v>6.7262354698452684</c:v>
                </c:pt>
                <c:pt idx="8">
                  <c:v>19.45471771218747</c:v>
                </c:pt>
                <c:pt idx="9">
                  <c:v>22.5551581932041</c:v>
                </c:pt>
                <c:pt idx="10">
                  <c:v>27.165135020716114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-7.0817820879998754</c:v>
                </c:pt>
                <c:pt idx="1">
                  <c:v>-5.6654256703998858</c:v>
                </c:pt>
                <c:pt idx="2">
                  <c:v>-4.2490692527999201</c:v>
                </c:pt>
                <c:pt idx="3">
                  <c:v>-2.8327128351999189</c:v>
                </c:pt>
                <c:pt idx="4">
                  <c:v>-1.4163564175999654</c:v>
                </c:pt>
                <c:pt idx="5">
                  <c:v>0</c:v>
                </c:pt>
                <c:pt idx="6">
                  <c:v>1.4163564176000021</c:v>
                </c:pt>
                <c:pt idx="7">
                  <c:v>2.8327128351999797</c:v>
                </c:pt>
                <c:pt idx="8">
                  <c:v>4.249069252799945</c:v>
                </c:pt>
                <c:pt idx="9">
                  <c:v>5.6654256703999231</c:v>
                </c:pt>
                <c:pt idx="10">
                  <c:v>7.0817820879999243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8.4204203170829093</c:v>
                </c:pt>
                <c:pt idx="1">
                  <c:v>6.736336253666356</c:v>
                </c:pt>
                <c:pt idx="2">
                  <c:v>5.0522521902497921</c:v>
                </c:pt>
                <c:pt idx="3">
                  <c:v>3.368168126833202</c:v>
                </c:pt>
                <c:pt idx="4">
                  <c:v>1.6840840634166137</c:v>
                </c:pt>
                <c:pt idx="5">
                  <c:v>0</c:v>
                </c:pt>
                <c:pt idx="6">
                  <c:v>-1.6840840634165646</c:v>
                </c:pt>
                <c:pt idx="7">
                  <c:v>-3.3681681268331416</c:v>
                </c:pt>
                <c:pt idx="8">
                  <c:v>-5.0522521902497308</c:v>
                </c:pt>
                <c:pt idx="9">
                  <c:v>-6.7363362536663072</c:v>
                </c:pt>
                <c:pt idx="10">
                  <c:v>-8.4204203170828844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-8.1868050173171163</c:v>
                </c:pt>
                <c:pt idx="1">
                  <c:v>-6.5494440138536918</c:v>
                </c:pt>
                <c:pt idx="2">
                  <c:v>-4.9120830103902691</c:v>
                </c:pt>
                <c:pt idx="3">
                  <c:v>-3.2747220069268459</c:v>
                </c:pt>
                <c:pt idx="4">
                  <c:v>-1.6373610034634229</c:v>
                </c:pt>
                <c:pt idx="5">
                  <c:v>0</c:v>
                </c:pt>
                <c:pt idx="6">
                  <c:v>1.6373610034634229</c:v>
                </c:pt>
                <c:pt idx="7">
                  <c:v>3.2747220069268459</c:v>
                </c:pt>
                <c:pt idx="8">
                  <c:v>4.9120830103902691</c:v>
                </c:pt>
                <c:pt idx="9">
                  <c:v>6.5494440138536918</c:v>
                </c:pt>
                <c:pt idx="10">
                  <c:v>8.1868050173171163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-20.388210702551504</c:v>
                </c:pt>
                <c:pt idx="1">
                  <c:v>-16.310568562041205</c:v>
                </c:pt>
                <c:pt idx="2">
                  <c:v>-12.232926421530891</c:v>
                </c:pt>
                <c:pt idx="3">
                  <c:v>-8.1552842810205952</c:v>
                </c:pt>
                <c:pt idx="4">
                  <c:v>-4.0776421405102976</c:v>
                </c:pt>
                <c:pt idx="5">
                  <c:v>0</c:v>
                </c:pt>
                <c:pt idx="6">
                  <c:v>4.0776421405103145</c:v>
                </c:pt>
                <c:pt idx="7">
                  <c:v>8.1552842810206112</c:v>
                </c:pt>
                <c:pt idx="8">
                  <c:v>12.232926421530909</c:v>
                </c:pt>
                <c:pt idx="9">
                  <c:v>16.31056856204119</c:v>
                </c:pt>
                <c:pt idx="10">
                  <c:v>20.388210702551504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-14.125986772679463</c:v>
                </c:pt>
                <c:pt idx="1">
                  <c:v>-11.300789418143566</c:v>
                </c:pt>
                <c:pt idx="2">
                  <c:v>-8.4755920636076834</c:v>
                </c:pt>
                <c:pt idx="3">
                  <c:v>-5.650394709071783</c:v>
                </c:pt>
                <c:pt idx="4">
                  <c:v>-2.8251973545358826</c:v>
                </c:pt>
                <c:pt idx="5">
                  <c:v>0</c:v>
                </c:pt>
                <c:pt idx="6">
                  <c:v>2.8251973545359172</c:v>
                </c:pt>
                <c:pt idx="7">
                  <c:v>5.6503947090717999</c:v>
                </c:pt>
                <c:pt idx="8">
                  <c:v>8.4755920636076656</c:v>
                </c:pt>
                <c:pt idx="9">
                  <c:v>11.300789418143566</c:v>
                </c:pt>
                <c:pt idx="10">
                  <c:v>14.125986772679463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-34.514197475230965</c:v>
                </c:pt>
                <c:pt idx="1">
                  <c:v>-27.611357980184771</c:v>
                </c:pt>
                <c:pt idx="2">
                  <c:v>-20.70851848513859</c:v>
                </c:pt>
                <c:pt idx="3">
                  <c:v>-13.805678990092392</c:v>
                </c:pt>
                <c:pt idx="4">
                  <c:v>-6.9028394950461962</c:v>
                </c:pt>
                <c:pt idx="5">
                  <c:v>0</c:v>
                </c:pt>
                <c:pt idx="6">
                  <c:v>6.9028394950462149</c:v>
                </c:pt>
                <c:pt idx="7">
                  <c:v>13.805678990092412</c:v>
                </c:pt>
                <c:pt idx="8">
                  <c:v>20.708518485138576</c:v>
                </c:pt>
                <c:pt idx="9">
                  <c:v>27.611357980184771</c:v>
                </c:pt>
                <c:pt idx="10">
                  <c:v>34.514197475230986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20.388210702551504</c:v>
                </c:pt>
                <c:pt idx="1">
                  <c:v>16.31056856204119</c:v>
                </c:pt>
                <c:pt idx="2">
                  <c:v>12.232926421530909</c:v>
                </c:pt>
                <c:pt idx="3">
                  <c:v>8.1552842810206112</c:v>
                </c:pt>
                <c:pt idx="4">
                  <c:v>4.0776421405103145</c:v>
                </c:pt>
                <c:pt idx="5">
                  <c:v>0</c:v>
                </c:pt>
                <c:pt idx="6">
                  <c:v>-4.0776421405102976</c:v>
                </c:pt>
                <c:pt idx="7">
                  <c:v>-8.1552842810205952</c:v>
                </c:pt>
                <c:pt idx="8">
                  <c:v>-12.232926421530891</c:v>
                </c:pt>
                <c:pt idx="9">
                  <c:v>-16.310568562041205</c:v>
                </c:pt>
                <c:pt idx="10">
                  <c:v>-20.388210702551504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Sensitivity!$O$20:$O$30</c:f>
            </c:strRef>
          </c:tx>
          <c:layout>
            <c:manualLayout>
              <c:xMode val="edge"/>
              <c:yMode val="edge"/>
              <c:x val="0.71456340119950312"/>
              <c:y val="0.50707557847879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Sensitivity!$O$20:$O$30</c:f>
            </c:strRef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-12.688751706454045</c:v>
                </c:pt>
                <c:pt idx="1">
                  <c:v>-10.151001365163225</c:v>
                </c:pt>
                <c:pt idx="2">
                  <c:v>-7.6132510238724196</c:v>
                </c:pt>
                <c:pt idx="3">
                  <c:v>-5.0755006825816125</c:v>
                </c:pt>
                <c:pt idx="4">
                  <c:v>-2.5377503412908062</c:v>
                </c:pt>
                <c:pt idx="5">
                  <c:v>0</c:v>
                </c:pt>
                <c:pt idx="6">
                  <c:v>2.5377503412908355</c:v>
                </c:pt>
                <c:pt idx="7">
                  <c:v>5.0755006825816418</c:v>
                </c:pt>
                <c:pt idx="8">
                  <c:v>7.6132510238724489</c:v>
                </c:pt>
                <c:pt idx="9">
                  <c:v>10.151001365163255</c:v>
                </c:pt>
                <c:pt idx="10">
                  <c:v>12.688751706454063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-22.289270525075644</c:v>
                </c:pt>
                <c:pt idx="1">
                  <c:v>-17.831416420060524</c:v>
                </c:pt>
                <c:pt idx="2">
                  <c:v>-13.373562315045403</c:v>
                </c:pt>
                <c:pt idx="3">
                  <c:v>-8.9157082100302549</c:v>
                </c:pt>
                <c:pt idx="4">
                  <c:v>-4.4578541050151346</c:v>
                </c:pt>
                <c:pt idx="5">
                  <c:v>0</c:v>
                </c:pt>
                <c:pt idx="6">
                  <c:v>4.4578541050151497</c:v>
                </c:pt>
                <c:pt idx="7">
                  <c:v>8.9157082100302691</c:v>
                </c:pt>
                <c:pt idx="8">
                  <c:v>13.373562315045417</c:v>
                </c:pt>
                <c:pt idx="9">
                  <c:v>17.831416420060524</c:v>
                </c:pt>
                <c:pt idx="10">
                  <c:v>22.28927052507569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-10.76972455712561</c:v>
                </c:pt>
                <c:pt idx="1">
                  <c:v>-8.6157796457004867</c:v>
                </c:pt>
                <c:pt idx="2">
                  <c:v>-6.4618347342753513</c:v>
                </c:pt>
                <c:pt idx="3">
                  <c:v>-4.3078898228502434</c:v>
                </c:pt>
                <c:pt idx="4">
                  <c:v>-2.1539449114251217</c:v>
                </c:pt>
                <c:pt idx="5">
                  <c:v>0</c:v>
                </c:pt>
                <c:pt idx="6">
                  <c:v>2.1539449114251363</c:v>
                </c:pt>
                <c:pt idx="7">
                  <c:v>4.3078898228502291</c:v>
                </c:pt>
                <c:pt idx="8">
                  <c:v>6.4618347342753655</c:v>
                </c:pt>
                <c:pt idx="9">
                  <c:v>8.6157796457004867</c:v>
                </c:pt>
                <c:pt idx="10">
                  <c:v>10.76972455712561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-33.058995082201278</c:v>
                </c:pt>
                <c:pt idx="1">
                  <c:v>-26.447196065761013</c:v>
                </c:pt>
                <c:pt idx="2">
                  <c:v>-19.835397049320754</c:v>
                </c:pt>
                <c:pt idx="3">
                  <c:v>-13.223598032880499</c:v>
                </c:pt>
                <c:pt idx="4">
                  <c:v>-6.6117990164402274</c:v>
                </c:pt>
                <c:pt idx="5">
                  <c:v>0</c:v>
                </c:pt>
                <c:pt idx="6">
                  <c:v>6.6117990164402718</c:v>
                </c:pt>
                <c:pt idx="7">
                  <c:v>13.223598032880513</c:v>
                </c:pt>
                <c:pt idx="8">
                  <c:v>19.8353970493208</c:v>
                </c:pt>
                <c:pt idx="9">
                  <c:v>26.447196065760998</c:v>
                </c:pt>
                <c:pt idx="10">
                  <c:v>33.058995082201257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22.289270525075676</c:v>
                </c:pt>
                <c:pt idx="1">
                  <c:v>17.831416420060552</c:v>
                </c:pt>
                <c:pt idx="2">
                  <c:v>13.373562315045417</c:v>
                </c:pt>
                <c:pt idx="3">
                  <c:v>8.9157082100302691</c:v>
                </c:pt>
                <c:pt idx="4">
                  <c:v>4.4578541050151497</c:v>
                </c:pt>
                <c:pt idx="5">
                  <c:v>0</c:v>
                </c:pt>
                <c:pt idx="6">
                  <c:v>-4.4578541050151346</c:v>
                </c:pt>
                <c:pt idx="7">
                  <c:v>-8.9157082100302549</c:v>
                </c:pt>
                <c:pt idx="8">
                  <c:v>-13.373562315045403</c:v>
                </c:pt>
                <c:pt idx="9">
                  <c:v>-17.831416420060524</c:v>
                </c:pt>
                <c:pt idx="10">
                  <c:v>-22.289270525075644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Sensitivity!$O$33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308134872350781"/>
              <c:y val="0.43034595567847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Sensitivity!$P$33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216888909782755"/>
              <c:y val="6.6986728831724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92A7F-A34F-6B19-D05C-D1ECC170A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CF90C-F23B-44A3-934E-2D7D3E9D9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94FD4-1715-4A95-A479-B49832E1D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7922B-6587-47F8-B8DF-9584813AC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ADB6E-7C65-49EE-9AD3-5949DAD6A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5F1C2C-155A-42BB-A05A-E894718D6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A81F3-0ABB-4F2C-815F-265018E45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5555A-0641-4550-ABE9-21E62EC24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421C0-2E18-4150-8184-58286879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27B19F-2A20-4E2E-9BEC-A45A90495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E68F8-CC68-4504-9F4D-F3EA693B8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8337C0-91C7-4C88-9817-16BDEA87A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284466</xdr:colOff>
      <xdr:row>1</xdr:row>
      <xdr:rowOff>92082</xdr:rowOff>
    </xdr:from>
    <xdr:to>
      <xdr:col>13</xdr:col>
      <xdr:colOff>71888</xdr:colOff>
      <xdr:row>16</xdr:row>
      <xdr:rowOff>131060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BDAF0-8841-472E-991F-008DC711D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335805</xdr:colOff>
      <xdr:row>1</xdr:row>
      <xdr:rowOff>8916</xdr:rowOff>
    </xdr:from>
    <xdr:to>
      <xdr:col>25</xdr:col>
      <xdr:colOff>194559</xdr:colOff>
      <xdr:row>16</xdr:row>
      <xdr:rowOff>51297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88E491-6142-4032-A2C1-CA1B1748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300102</xdr:colOff>
      <xdr:row>17</xdr:row>
      <xdr:rowOff>117431</xdr:rowOff>
    </xdr:from>
    <xdr:to>
      <xdr:col>13</xdr:col>
      <xdr:colOff>82625</xdr:colOff>
      <xdr:row>33</xdr:row>
      <xdr:rowOff>31380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79B7617-0352-4087-80AE-B6F6CD2FB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255548</xdr:colOff>
      <xdr:row>33</xdr:row>
      <xdr:rowOff>151007</xdr:rowOff>
    </xdr:from>
    <xdr:to>
      <xdr:col>13</xdr:col>
      <xdr:colOff>34243</xdr:colOff>
      <xdr:row>49</xdr:row>
      <xdr:rowOff>51888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313EB64-A491-43CE-937D-C54D057F8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334389</xdr:colOff>
      <xdr:row>17</xdr:row>
      <xdr:rowOff>70932</xdr:rowOff>
    </xdr:from>
    <xdr:to>
      <xdr:col>25</xdr:col>
      <xdr:colOff>193143</xdr:colOff>
      <xdr:row>32</xdr:row>
      <xdr:rowOff>163977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324718-A349-4CD7-A316-6C8ACDEC6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330302</xdr:colOff>
      <xdr:row>33</xdr:row>
      <xdr:rowOff>184355</xdr:rowOff>
    </xdr:from>
    <xdr:to>
      <xdr:col>25</xdr:col>
      <xdr:colOff>189056</xdr:colOff>
      <xdr:row>49</xdr:row>
      <xdr:rowOff>85363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C279AA9-ADDD-4FC4-A154-D2A7D2D69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lentinus Febri" id="{7690CEC2-A4B3-4AE6-BBB9-89109360F2C5}" userId="S::ValentinusFebri@microindo.net::91b2b0ab-4839-4c13-82b0-268e9dcb63e7" providerId="AD"/>
  <person displayName="Yohanes Gunawan" id="{EFE82F4D-4668-47C4-8960-553518D8057C}" userId="S::YohanesGunawan@365msoffice.live::9b0526c5-c95e-4072-8949-4b7803609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4-04-28T03:55:03.84" personId="{EFE82F4D-4668-47C4-8960-553518D8057C}" id="{3B4C95D6-D5B3-4A4F-B534-775228892CA1}">
    <text>Merefer pada harga E-BUS Malaysia</text>
  </threadedComment>
  <threadedComment ref="R7" dT="2024-01-08T06:31:29.24" personId="{7690CEC2-A4B3-4AE6-BBB9-89109360F2C5}" id="{D4CEFC3C-7325-4E34-A64D-30E52256CE03}">
    <text>Dipengaruhi dengan growth tidak? 25000 apakah diasumsikan konstan?</text>
  </threadedComment>
  <threadedComment ref="U7" dT="2024-01-08T06:37:21.49" personId="{7690CEC2-A4B3-4AE6-BBB9-89109360F2C5}" id="{928E7189-DF96-4AF8-901E-1C3117C12B69}">
    <text>Ada battery replacement 8 tahun</text>
  </threadedComment>
  <threadedComment ref="V7" dT="2024-01-08T06:37:21.49" personId="{7690CEC2-A4B3-4AE6-BBB9-89109360F2C5}" id="{928E7189-DF96-4AF9-901E-1C3117C12B69}">
    <text>Ada battery replacement 8 tahun</text>
  </threadedComment>
  <threadedComment ref="Q9" dT="2024-01-08T06:34:04.84" personId="{7690CEC2-A4B3-4AE6-BBB9-89109360F2C5}" id="{BEE3DC45-D192-48E4-B051-DA830092375D}">
    <text>Rubah rumus sedikit, hasil sama</text>
  </threadedComment>
  <threadedComment ref="F41" dT="2024-01-08T05:29:15.39" personId="{7690CEC2-A4B3-4AE6-BBB9-89109360F2C5}" id="{004D7F3F-C5C1-4610-A019-7D9E4061B6F1}">
    <text>tambahan</text>
  </threadedComment>
  <threadedComment ref="B44" dT="2024-01-08T05:08:49.98" personId="{7690CEC2-A4B3-4AE6-BBB9-89109360F2C5}" id="{C56CAB35-0F73-4DA9-9E08-15FB1529777D}">
    <text>Perlu di breakdown untuk analisa komposisi biaya TCO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AA19AE37-6AE7-493F-9AC9-499393E5D71B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65D68FF8-744D-4403-A757-71D5700063BE}">
    <text>Rubah rumus sedikit, hasil sama</text>
  </threadedComment>
  <threadedComment ref="F38" dT="2024-01-08T05:29:15.39" personId="{7690CEC2-A4B3-4AE6-BBB9-89109360F2C5}" id="{853BE7F5-4CE0-4F48-9C89-E793FA376E05}">
    <text>tambahan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7" dT="2024-01-08T06:31:29.24" personId="{7690CEC2-A4B3-4AE6-BBB9-89109360F2C5}" id="{3E15F497-83DC-42EA-8A4A-EA8B509F55E3}">
    <text>Dipengaruhi dengan growth tidak? 25000 apakah diasumsikan konstan?</text>
  </threadedComment>
  <threadedComment ref="U7" dT="2024-01-08T06:37:21.49" personId="{7690CEC2-A4B3-4AE6-BBB9-89109360F2C5}" id="{F70468D4-78B2-4E24-BD82-FBA7DF7EAE9C}">
    <text>Ada battery replacement 8 tahun</text>
  </threadedComment>
  <threadedComment ref="V7" dT="2024-01-08T06:37:21.49" personId="{7690CEC2-A4B3-4AE6-BBB9-89109360F2C5}" id="{28B8E200-D3C1-4508-B540-C04DB4CF9E84}">
    <text>Ada battery replacement 8 tahun</text>
  </threadedComment>
  <threadedComment ref="Q9" dT="2024-01-08T06:34:04.84" personId="{7690CEC2-A4B3-4AE6-BBB9-89109360F2C5}" id="{60A9A1E3-482C-41D5-8F8A-26475A039E48}">
    <text>Rubah rumus sedikit, hasil sama</text>
  </threadedComment>
  <threadedComment ref="F41" dT="2024-01-08T05:29:15.39" personId="{7690CEC2-A4B3-4AE6-BBB9-89109360F2C5}" id="{8B7ABA41-DFB4-4727-B208-938EB4746884}">
    <text>tambahan</text>
  </threadedComment>
  <threadedComment ref="B44" dT="2024-01-08T05:08:49.98" personId="{7690CEC2-A4B3-4AE6-BBB9-89109360F2C5}" id="{130878E0-FCE8-4C49-9F85-A1BB7DA8B86A}">
    <text>Perlu di breakdown untuk analisa komposisi biaya TCO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E24C02CF-5D89-4ABF-9EAD-608C370974F6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CCD35750-254F-47A0-956C-7913D4D819CC}">
    <text>Rubah rumus sedikit, hasil sama</text>
  </threadedComment>
  <threadedComment ref="F38" dT="2024-01-08T05:29:15.39" personId="{7690CEC2-A4B3-4AE6-BBB9-89109360F2C5}" id="{1E429D0C-30F1-4A8D-82ED-B28BC370DEA5}">
    <text>tambahan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7" dT="2024-01-08T06:31:29.24" personId="{7690CEC2-A4B3-4AE6-BBB9-89109360F2C5}" id="{C2923F75-E506-470A-A03C-1FB7D4D60F2D}">
    <text>Dipengaruhi dengan growth tidak? 25000 apakah diasumsikan konstan?</text>
  </threadedComment>
  <threadedComment ref="U7" dT="2024-01-08T06:37:21.49" personId="{7690CEC2-A4B3-4AE6-BBB9-89109360F2C5}" id="{E89F3B31-5214-430C-93B5-1340C34599DC}">
    <text>Ada battery replacement 8 tahun</text>
  </threadedComment>
  <threadedComment ref="V7" dT="2024-01-08T06:37:21.49" personId="{7690CEC2-A4B3-4AE6-BBB9-89109360F2C5}" id="{E5A23877-260E-41B8-BD61-548E31DF8BFF}">
    <text>Ada battery replacement 8 tahun</text>
  </threadedComment>
  <threadedComment ref="Q9" dT="2024-01-08T06:34:04.84" personId="{7690CEC2-A4B3-4AE6-BBB9-89109360F2C5}" id="{71F551F9-5820-468D-90EF-5BCD1BB93AAE}">
    <text>Rubah rumus sedikit, hasil sama</text>
  </threadedComment>
  <threadedComment ref="F41" dT="2024-01-08T05:29:15.39" personId="{7690CEC2-A4B3-4AE6-BBB9-89109360F2C5}" id="{B61816E4-42AF-4404-AE3C-21CB4CAEB476}">
    <text>tambahan</text>
  </threadedComment>
  <threadedComment ref="B44" dT="2024-01-08T05:08:49.98" personId="{7690CEC2-A4B3-4AE6-BBB9-89109360F2C5}" id="{F1F9D4AA-D51C-4279-BC9D-5ED405E0411F}">
    <text>Perlu di breakdown untuk analisa komposisi biaya TCO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AA7DFC7D-1EA7-4848-A172-150D1853BE38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B4906314-26F5-44F1-B287-A8EBB53B4699}">
    <text>Rubah rumus sedikit, hasil sama</text>
  </threadedComment>
  <threadedComment ref="F38" dT="2024-01-08T05:29:15.39" personId="{7690CEC2-A4B3-4AE6-BBB9-89109360F2C5}" id="{228B032C-D52D-4650-B2A4-2CB5242DAB25}">
    <text>tambahan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AW95"/>
  <sheetViews>
    <sheetView topLeftCell="A5" zoomScale="85" zoomScaleNormal="85" workbookViewId="0">
      <selection activeCell="E16" sqref="E16:E17"/>
    </sheetView>
  </sheetViews>
  <sheetFormatPr defaultColWidth="8.85546875" defaultRowHeight="15" x14ac:dyDescent="0.25"/>
  <cols>
    <col min="1" max="1" width="63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71.5703125" style="1" bestFit="1" customWidth="1"/>
    <col min="6" max="6" width="17" style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customWidth="1"/>
    <col min="20" max="20" width="11.140625" style="1" customWidth="1"/>
    <col min="21" max="22" width="31.28515625" style="1" customWidth="1"/>
    <col min="23" max="23" width="23.85546875" style="1" customWidth="1"/>
    <col min="24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391706.66375665372</v>
      </c>
      <c r="C2" s="12" t="s">
        <v>3</v>
      </c>
    </row>
    <row r="3" spans="1:30" x14ac:dyDescent="0.25">
      <c r="B3" s="44">
        <f>B2/J34</f>
        <v>1.2303117776137122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77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 t="s">
        <v>71</v>
      </c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77">
        <v>5396573806.4516125</v>
      </c>
      <c r="K8" s="1" t="s">
        <v>134</v>
      </c>
      <c r="L8" s="9"/>
      <c r="N8" s="31">
        <v>0</v>
      </c>
      <c r="O8" s="33">
        <f>F31</f>
        <v>85241.288455464863</v>
      </c>
      <c r="P8" s="31"/>
      <c r="Q8" s="31"/>
      <c r="R8" s="31"/>
      <c r="S8" s="31"/>
      <c r="T8" s="31"/>
      <c r="U8" s="31"/>
      <c r="V8" s="31"/>
      <c r="W8" s="31"/>
      <c r="X8" s="34">
        <f t="shared" ref="X8:X48" si="0">SUM(O8:W8)</f>
        <v>85241.288455464863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13">
        <v>105</v>
      </c>
      <c r="K9" s="1" t="s">
        <v>9</v>
      </c>
      <c r="L9" s="9"/>
      <c r="N9" s="31">
        <v>1</v>
      </c>
      <c r="O9" s="31"/>
      <c r="P9" s="35">
        <f t="shared" ref="P9:P48" si="1">IF(N9&gt;0,IF(N9&lt;=$J$20,(($F$32+$F$33)/$J$20)/((1+($F$11/100))^N9),0),0)</f>
        <v>52451.806162929373</v>
      </c>
      <c r="Q9" s="36">
        <f t="shared" ref="Q9:Q48" si="2">IF(N9&gt;0,($F$41*((1+($F$14/100))^(N9-1)))/((1+($F$11/100))^N9),0)</f>
        <v>6006.267634386315</v>
      </c>
      <c r="R9" s="37">
        <f t="shared" ref="R9:R48" si="3">IF(N9&gt;0,$F$40/((1+($F$11/100))^N9),0)</f>
        <v>0</v>
      </c>
      <c r="S9" s="37">
        <f t="shared" ref="S9:S48" si="4">IF(N9&gt;0,$J$37/((1+($F$11/100))^N9),0)</f>
        <v>10875.371208639075</v>
      </c>
      <c r="T9" s="37"/>
      <c r="U9" s="37">
        <f t="shared" ref="U9:U48" si="5">IF(AND(MOD(N9,$J$31)=0,N9&gt;0),$B$42/((1+($F$11/100))^N9),0)</f>
        <v>0</v>
      </c>
      <c r="V9" s="37">
        <f t="shared" ref="V9:V48" si="6">IF(N9&gt;0,$J$32/((1+($F$11/100))^N9),0)</f>
        <v>0</v>
      </c>
      <c r="W9" s="35">
        <f t="shared" ref="W9:W18" si="7">IF(N9=$B$5,((((1-$J$15/100)^N9)*$B$43+((1-$J$16/100)^N9)*$B$44)/((1+($F$11/100))^N9))*-1,0)</f>
        <v>0</v>
      </c>
      <c r="X9" s="34">
        <f t="shared" si="0"/>
        <v>69333.445005954767</v>
      </c>
      <c r="Y9" s="19"/>
      <c r="Z9" s="39" t="s">
        <v>40</v>
      </c>
      <c r="AA9" s="40">
        <f>B44</f>
        <v>33810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322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1"/>
        <v>49954.101107551782</v>
      </c>
      <c r="Q10" s="36">
        <f t="shared" si="2"/>
        <v>5777.457438790645</v>
      </c>
      <c r="R10" s="37">
        <f t="shared" si="3"/>
        <v>0</v>
      </c>
      <c r="S10" s="37">
        <f t="shared" si="4"/>
        <v>10357.496389180071</v>
      </c>
      <c r="T10" s="37"/>
      <c r="U10" s="37">
        <f t="shared" si="5"/>
        <v>0</v>
      </c>
      <c r="V10" s="37">
        <f t="shared" si="6"/>
        <v>0</v>
      </c>
      <c r="W10" s="35">
        <f t="shared" si="7"/>
        <v>0</v>
      </c>
      <c r="X10" s="34">
        <f t="shared" si="0"/>
        <v>66089.054935522494</v>
      </c>
      <c r="Y10" s="19"/>
      <c r="Z10" s="39" t="s">
        <v>173</v>
      </c>
      <c r="AA10" s="73">
        <f>B49</f>
        <v>284137.62818488287</v>
      </c>
      <c r="AB10" s="39" t="s">
        <v>3</v>
      </c>
      <c r="AD10" s="2"/>
    </row>
    <row r="11" spans="1:30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4000</v>
      </c>
      <c r="K11" s="1" t="s">
        <v>28</v>
      </c>
      <c r="L11" s="9"/>
      <c r="N11" s="31">
        <f t="shared" ref="N11:N48" si="8">IF((N10+1)&gt;$B$5,,IF(N10=0,,N10+1))</f>
        <v>3</v>
      </c>
      <c r="O11" s="31"/>
      <c r="P11" s="35">
        <f t="shared" si="1"/>
        <v>47575.334388144554</v>
      </c>
      <c r="Q11" s="36">
        <f t="shared" si="2"/>
        <v>5557.3638220748107</v>
      </c>
      <c r="R11" s="37">
        <f t="shared" si="3"/>
        <v>0</v>
      </c>
      <c r="S11" s="37">
        <f t="shared" si="4"/>
        <v>9864.2822754095905</v>
      </c>
      <c r="T11" s="37"/>
      <c r="U11" s="37">
        <f t="shared" si="5"/>
        <v>0</v>
      </c>
      <c r="V11" s="37">
        <f t="shared" si="6"/>
        <v>0</v>
      </c>
      <c r="W11" s="35">
        <f t="shared" si="7"/>
        <v>0</v>
      </c>
      <c r="X11" s="34">
        <f t="shared" si="0"/>
        <v>62996.980485628956</v>
      </c>
      <c r="Y11" s="19"/>
      <c r="Z11" s="39" t="s">
        <v>110</v>
      </c>
      <c r="AA11" s="74">
        <f>F12</f>
        <v>31838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31838</v>
      </c>
      <c r="G12" s="1" t="s">
        <v>37</v>
      </c>
      <c r="H12" s="9"/>
      <c r="I12" s="38" t="s">
        <v>32</v>
      </c>
      <c r="J12" s="42">
        <v>235</v>
      </c>
      <c r="K12" s="39" t="s">
        <v>33</v>
      </c>
      <c r="L12" s="9"/>
      <c r="N12" s="31">
        <f t="shared" si="8"/>
        <v>4</v>
      </c>
      <c r="O12" s="31"/>
      <c r="P12" s="35">
        <f t="shared" si="1"/>
        <v>45309.84227442339</v>
      </c>
      <c r="Q12" s="36">
        <f t="shared" si="2"/>
        <v>5345.6547240910095</v>
      </c>
      <c r="R12" s="37">
        <f t="shared" si="3"/>
        <v>0</v>
      </c>
      <c r="S12" s="37">
        <f t="shared" si="4"/>
        <v>9394.554548009135</v>
      </c>
      <c r="T12" s="37"/>
      <c r="U12" s="37">
        <f t="shared" si="5"/>
        <v>0</v>
      </c>
      <c r="V12" s="37">
        <f t="shared" si="6"/>
        <v>0</v>
      </c>
      <c r="W12" s="35">
        <f t="shared" si="7"/>
        <v>0</v>
      </c>
      <c r="X12" s="34">
        <f t="shared" si="0"/>
        <v>60050.051546523537</v>
      </c>
      <c r="Y12" s="19"/>
      <c r="Z12" s="79" t="s">
        <v>67</v>
      </c>
      <c r="AA12" s="73">
        <f>J42</f>
        <v>11156.0352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1"/>
        <v>43152.23073754608</v>
      </c>
      <c r="Q13" s="36">
        <f t="shared" si="2"/>
        <v>5142.0107346018276</v>
      </c>
      <c r="R13" s="37">
        <f t="shared" si="3"/>
        <v>0</v>
      </c>
      <c r="S13" s="37">
        <f t="shared" si="4"/>
        <v>8947.1948076277477</v>
      </c>
      <c r="T13" s="37"/>
      <c r="U13" s="37">
        <f t="shared" si="5"/>
        <v>0</v>
      </c>
      <c r="V13" s="37">
        <f t="shared" si="6"/>
        <v>0</v>
      </c>
      <c r="W13" s="35">
        <f t="shared" si="7"/>
        <v>0</v>
      </c>
      <c r="X13" s="34">
        <f t="shared" si="0"/>
        <v>57241.436279775655</v>
      </c>
      <c r="Y13" s="19"/>
      <c r="Z13" s="98" t="s">
        <v>169</v>
      </c>
      <c r="AA13" s="101">
        <f>J26</f>
        <v>117.5</v>
      </c>
      <c r="AB13" s="98" t="s">
        <v>161</v>
      </c>
      <c r="AD13" s="2"/>
    </row>
    <row r="14" spans="1:30" x14ac:dyDescent="0.25">
      <c r="A14" s="21" t="s">
        <v>144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135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1"/>
        <v>0</v>
      </c>
      <c r="Q14" s="36">
        <f t="shared" si="2"/>
        <v>4946.1246113789011</v>
      </c>
      <c r="R14" s="37">
        <f t="shared" si="3"/>
        <v>0</v>
      </c>
      <c r="S14" s="37">
        <f t="shared" si="4"/>
        <v>8521.1379120264264</v>
      </c>
      <c r="T14" s="37"/>
      <c r="U14" s="37">
        <f t="shared" si="5"/>
        <v>0</v>
      </c>
      <c r="V14" s="37">
        <f t="shared" si="6"/>
        <v>0</v>
      </c>
      <c r="W14" s="35">
        <f t="shared" si="7"/>
        <v>0</v>
      </c>
      <c r="X14" s="34">
        <f t="shared" si="0"/>
        <v>13467.262523405327</v>
      </c>
      <c r="Y14" s="19"/>
      <c r="Z14" s="98" t="s">
        <v>193</v>
      </c>
      <c r="AA14" s="105">
        <f>J17</f>
        <v>0.99</v>
      </c>
      <c r="AB14" s="98" t="s">
        <v>35</v>
      </c>
      <c r="AD14" s="2"/>
    </row>
    <row r="15" spans="1:30" x14ac:dyDescent="0.25">
      <c r="A15" s="1" t="s">
        <v>147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1"/>
        <v>0</v>
      </c>
      <c r="Q15" s="36">
        <f t="shared" si="2"/>
        <v>4757.7008166597043</v>
      </c>
      <c r="R15" s="37">
        <f t="shared" si="3"/>
        <v>0</v>
      </c>
      <c r="S15" s="37">
        <f t="shared" si="4"/>
        <v>8115.369440025167</v>
      </c>
      <c r="T15" s="37"/>
      <c r="U15" s="37">
        <f t="shared" si="5"/>
        <v>0</v>
      </c>
      <c r="V15" s="37">
        <f t="shared" si="6"/>
        <v>0</v>
      </c>
      <c r="W15" s="35">
        <f t="shared" si="7"/>
        <v>0</v>
      </c>
      <c r="X15" s="34">
        <f t="shared" si="0"/>
        <v>12873.07025668487</v>
      </c>
      <c r="Y15" s="19"/>
      <c r="AD15" s="2"/>
    </row>
    <row r="16" spans="1:30" ht="16.5" customHeight="1" x14ac:dyDescent="0.25">
      <c r="A16" s="1" t="s">
        <v>149</v>
      </c>
      <c r="B16" s="1">
        <v>0</v>
      </c>
      <c r="C16" s="1" t="s">
        <v>4</v>
      </c>
      <c r="E16" s="139" t="s">
        <v>199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1"/>
        <v>0</v>
      </c>
      <c r="Q16" s="36">
        <f t="shared" si="2"/>
        <v>4576.4550712631435</v>
      </c>
      <c r="R16" s="37">
        <f t="shared" si="3"/>
        <v>0</v>
      </c>
      <c r="S16" s="37">
        <f t="shared" si="4"/>
        <v>7728.9232762144457</v>
      </c>
      <c r="T16" s="37"/>
      <c r="U16" s="37">
        <f t="shared" si="5"/>
        <v>0</v>
      </c>
      <c r="V16" s="37">
        <f t="shared" si="6"/>
        <v>0</v>
      </c>
      <c r="W16" s="35">
        <f t="shared" si="7"/>
        <v>0</v>
      </c>
      <c r="X16" s="34">
        <f t="shared" si="0"/>
        <v>12305.378347477588</v>
      </c>
      <c r="Y16" s="19"/>
      <c r="AD16" s="2"/>
    </row>
    <row r="17" spans="1:49" x14ac:dyDescent="0.25">
      <c r="A17" s="21" t="s">
        <v>8</v>
      </c>
      <c r="B17" s="1">
        <v>0</v>
      </c>
      <c r="C17" s="1" t="s">
        <v>4</v>
      </c>
      <c r="E17" s="22" t="s">
        <v>200</v>
      </c>
      <c r="F17" s="2">
        <v>200000</v>
      </c>
      <c r="G17" s="1" t="s">
        <v>129</v>
      </c>
      <c r="H17" s="9"/>
      <c r="I17" s="22" t="s">
        <v>36</v>
      </c>
      <c r="J17" s="13">
        <v>0.99</v>
      </c>
      <c r="K17" s="1" t="s">
        <v>35</v>
      </c>
      <c r="L17" s="9"/>
      <c r="N17" s="31">
        <f t="shared" si="8"/>
        <v>9</v>
      </c>
      <c r="O17" s="31"/>
      <c r="P17" s="35">
        <f t="shared" si="1"/>
        <v>0</v>
      </c>
      <c r="Q17" s="36">
        <f t="shared" si="2"/>
        <v>4402.1139256912156</v>
      </c>
      <c r="R17" s="37">
        <f t="shared" si="3"/>
        <v>0</v>
      </c>
      <c r="S17" s="37">
        <f t="shared" si="4"/>
        <v>7360.8793106804242</v>
      </c>
      <c r="T17" s="37"/>
      <c r="U17" s="37">
        <f t="shared" si="5"/>
        <v>0</v>
      </c>
      <c r="V17" s="37">
        <f t="shared" si="6"/>
        <v>0</v>
      </c>
      <c r="W17" s="35">
        <f t="shared" si="7"/>
        <v>0</v>
      </c>
      <c r="X17" s="34">
        <f t="shared" si="0"/>
        <v>11762.99323637164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1"/>
        <v>0</v>
      </c>
      <c r="Q18" s="36">
        <f t="shared" si="2"/>
        <v>4234.4143475696455</v>
      </c>
      <c r="R18" s="37">
        <f t="shared" si="3"/>
        <v>0</v>
      </c>
      <c r="S18" s="37">
        <f t="shared" si="4"/>
        <v>7010.3612482670706</v>
      </c>
      <c r="T18" s="37"/>
      <c r="U18" s="37">
        <f t="shared" si="5"/>
        <v>0</v>
      </c>
      <c r="V18" s="37">
        <f t="shared" si="6"/>
        <v>0</v>
      </c>
      <c r="W18" s="35">
        <f t="shared" si="7"/>
        <v>-70899.07291199264</v>
      </c>
      <c r="X18" s="34">
        <f t="shared" si="0"/>
        <v>-59654.29731615592</v>
      </c>
      <c r="Y18" s="19"/>
      <c r="AD18" s="2"/>
    </row>
    <row r="19" spans="1:49" x14ac:dyDescent="0.25">
      <c r="A19" s="21" t="s">
        <v>182</v>
      </c>
      <c r="B19" s="77">
        <v>20000000</v>
      </c>
      <c r="C19" s="1" t="s">
        <v>134</v>
      </c>
      <c r="E19" s="22" t="s">
        <v>181</v>
      </c>
      <c r="F19" s="2">
        <v>4632000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f t="shared" si="4"/>
        <v>0</v>
      </c>
      <c r="T19" s="37"/>
      <c r="U19" s="37">
        <f t="shared" si="5"/>
        <v>0</v>
      </c>
      <c r="V19" s="37">
        <f t="shared" si="6"/>
        <v>0</v>
      </c>
      <c r="W19" s="35">
        <f t="shared" ref="W19:W48" si="9">IF(N19=$B$5,((((1-$J$15/100)^N19)*$B$49+((1-$J$16/100)^N19)*$B$44)/((1+($F$11/100))^N19))*-1,0)</f>
        <v>0</v>
      </c>
      <c r="X19" s="34">
        <f t="shared" si="0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f t="shared" si="4"/>
        <v>0</v>
      </c>
      <c r="T20" s="37"/>
      <c r="U20" s="37">
        <f t="shared" si="5"/>
        <v>0</v>
      </c>
      <c r="V20" s="37">
        <f t="shared" si="6"/>
        <v>0</v>
      </c>
      <c r="W20" s="35">
        <f t="shared" si="9"/>
        <v>0</v>
      </c>
      <c r="X20" s="34">
        <f t="shared" si="0"/>
        <v>0</v>
      </c>
      <c r="Y20" s="19"/>
    </row>
    <row r="21" spans="1:49" x14ac:dyDescent="0.25">
      <c r="E21" s="22" t="s">
        <v>67</v>
      </c>
      <c r="F21" s="43">
        <v>8645.97984</v>
      </c>
      <c r="G21" s="1" t="s">
        <v>152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f t="shared" si="4"/>
        <v>0</v>
      </c>
      <c r="T21" s="37"/>
      <c r="U21" s="37">
        <f t="shared" si="5"/>
        <v>0</v>
      </c>
      <c r="V21" s="37">
        <f t="shared" si="6"/>
        <v>0</v>
      </c>
      <c r="W21" s="35">
        <f t="shared" si="9"/>
        <v>0</v>
      </c>
      <c r="X21" s="34">
        <f t="shared" si="0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185</v>
      </c>
      <c r="AK21" s="125" t="s">
        <v>186</v>
      </c>
      <c r="AL21" s="125" t="s">
        <v>187</v>
      </c>
      <c r="AM21" s="125" t="s">
        <v>40</v>
      </c>
      <c r="AN21" s="125" t="s">
        <v>188</v>
      </c>
      <c r="AO21" s="125" t="s">
        <v>189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106"/>
      <c r="N22" s="31">
        <f t="shared" si="8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f t="shared" si="4"/>
        <v>0</v>
      </c>
      <c r="T22" s="37"/>
      <c r="U22" s="37">
        <f t="shared" si="5"/>
        <v>0</v>
      </c>
      <c r="V22" s="37">
        <f t="shared" si="6"/>
        <v>0</v>
      </c>
      <c r="W22" s="35">
        <f t="shared" si="9"/>
        <v>0</v>
      </c>
      <c r="X22" s="34">
        <f t="shared" si="0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-41.317219373008648</v>
      </c>
      <c r="AL22" s="127">
        <f>AC24</f>
        <v>-6.4774955115433617</v>
      </c>
      <c r="AM22" s="128">
        <f t="shared" ref="AM22:AM32" si="10">AC39</f>
        <v>-4.6900500238037353</v>
      </c>
      <c r="AN22" s="128">
        <f t="shared" ref="AN22:AN32" si="11">AH39</f>
        <v>-17.473472175419065</v>
      </c>
      <c r="AO22" s="128">
        <f>AC54</f>
        <v>-10.995976663875675</v>
      </c>
      <c r="AP22" s="135">
        <f>AC69</f>
        <v>6.4774955115434061</v>
      </c>
    </row>
    <row r="23" spans="1:49" x14ac:dyDescent="0.25">
      <c r="A23" s="12"/>
      <c r="H23" s="9"/>
      <c r="I23" s="12" t="s">
        <v>156</v>
      </c>
      <c r="L23" s="106"/>
      <c r="N23" s="31">
        <f t="shared" si="8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 t="shared" si="4"/>
        <v>0</v>
      </c>
      <c r="T23" s="37"/>
      <c r="U23" s="37">
        <f t="shared" si="5"/>
        <v>0</v>
      </c>
      <c r="V23" s="37">
        <f t="shared" si="6"/>
        <v>0</v>
      </c>
      <c r="W23" s="35">
        <f t="shared" si="9"/>
        <v>0</v>
      </c>
      <c r="X23" s="34">
        <f t="shared" si="0"/>
        <v>0</v>
      </c>
      <c r="Y23" s="19"/>
      <c r="Z23" s="24" t="s">
        <v>109</v>
      </c>
      <c r="AA23" s="28">
        <v>0.20008429721251814</v>
      </c>
      <c r="AB23" s="26">
        <f>X49</f>
        <v>391706.66375665372</v>
      </c>
      <c r="AC23" s="24"/>
      <c r="AE23" s="24" t="s">
        <v>109</v>
      </c>
      <c r="AF23" s="29">
        <v>284137.62818488281</v>
      </c>
      <c r="AG23" s="30">
        <f>X49</f>
        <v>391706.66375665372</v>
      </c>
      <c r="AH23" s="24"/>
      <c r="AJ23" s="126">
        <v>-40</v>
      </c>
      <c r="AK23" s="127">
        <f>AH25</f>
        <v>-33.053775498406921</v>
      </c>
      <c r="AL23" s="127">
        <f t="shared" ref="AL23:AL32" si="12">AC25</f>
        <v>-5.1819964092346948</v>
      </c>
      <c r="AM23" s="128">
        <f t="shared" si="10"/>
        <v>-3.7520400190429881</v>
      </c>
      <c r="AN23" s="128">
        <f t="shared" si="11"/>
        <v>-13.97877774033525</v>
      </c>
      <c r="AO23" s="128">
        <f t="shared" ref="AO23:AO32" si="13">AC55</f>
        <v>-8.7967813311005258</v>
      </c>
      <c r="AP23" s="135">
        <f t="shared" ref="AP23:AP32" si="14">AC70</f>
        <v>5.1819964092347393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157</v>
      </c>
      <c r="J24" s="60" t="s">
        <v>155</v>
      </c>
      <c r="L24" s="106"/>
      <c r="N24" s="31">
        <f t="shared" si="8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f t="shared" si="4"/>
        <v>0</v>
      </c>
      <c r="T24" s="37"/>
      <c r="U24" s="37">
        <f t="shared" si="5"/>
        <v>0</v>
      </c>
      <c r="V24" s="37">
        <f t="shared" si="6"/>
        <v>0</v>
      </c>
      <c r="W24" s="35">
        <f t="shared" si="9"/>
        <v>0</v>
      </c>
      <c r="X24" s="34">
        <f t="shared" si="0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 ca="1"/>
        <v>366333.88219340023</v>
      </c>
      <c r="AC24" s="58">
        <f>100*((AB24-$AB$29)/$AB$29)</f>
        <v>-6.4774955115433617</v>
      </c>
      <c r="AE24" s="24">
        <f t="shared" ref="AE24:AE27" si="17">AE25-10</f>
        <v>-50</v>
      </c>
      <c r="AF24" s="29">
        <f t="shared" ref="AF24:AF34" si="18">$AF$23*(1+(AE24/100))</f>
        <v>142068.8140924414</v>
      </c>
      <c r="AG24" s="30">
        <f t="dataTable" ref="AG24:AG34" dt2D="0" dtr="0" r1="B49"/>
        <v>229864.36219362373</v>
      </c>
      <c r="AH24" s="58">
        <f t="shared" ref="AH24:AH34" si="19">100*((AG24-$AG$29)/$AG$29)</f>
        <v>-41.317219373008648</v>
      </c>
      <c r="AJ24" s="126">
        <v>-30</v>
      </c>
      <c r="AK24" s="127">
        <f t="shared" ref="AK24:AK32" si="20">AH26</f>
        <v>-24.790331623805191</v>
      </c>
      <c r="AL24" s="127">
        <f t="shared" si="12"/>
        <v>-3.8864973069260138</v>
      </c>
      <c r="AM24" s="128">
        <f t="shared" si="10"/>
        <v>-2.8140300142822561</v>
      </c>
      <c r="AN24" s="128">
        <f t="shared" si="11"/>
        <v>-10.484083305251449</v>
      </c>
      <c r="AO24" s="128">
        <f t="shared" si="13"/>
        <v>-6.5975859983253908</v>
      </c>
      <c r="AP24" s="135">
        <f t="shared" si="14"/>
        <v>3.8864973069260289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158</v>
      </c>
      <c r="J25" s="98">
        <v>1.3</v>
      </c>
      <c r="K25" s="98" t="s">
        <v>159</v>
      </c>
      <c r="L25" s="106"/>
      <c r="N25" s="31">
        <f t="shared" si="8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f t="shared" si="4"/>
        <v>0</v>
      </c>
      <c r="T25" s="37"/>
      <c r="U25" s="37">
        <f t="shared" si="5"/>
        <v>0</v>
      </c>
      <c r="V25" s="37">
        <f t="shared" si="6"/>
        <v>0</v>
      </c>
      <c r="W25" s="35">
        <f t="shared" si="9"/>
        <v>0</v>
      </c>
      <c r="X25" s="34">
        <f t="shared" si="0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371408.43850605091</v>
      </c>
      <c r="AC25" s="58">
        <f t="shared" ref="AC25:AC34" si="21">100*((AB25-$AB$29)/$AB$29)</f>
        <v>-5.1819964092346948</v>
      </c>
      <c r="AE25" s="24">
        <f t="shared" si="17"/>
        <v>-40</v>
      </c>
      <c r="AF25" s="29">
        <f t="shared" si="18"/>
        <v>170482.57691092967</v>
      </c>
      <c r="AG25" s="30">
        <v>262232.82250622968</v>
      </c>
      <c r="AH25" s="58">
        <f t="shared" si="19"/>
        <v>-33.053775498406921</v>
      </c>
      <c r="AJ25" s="126">
        <v>-20</v>
      </c>
      <c r="AK25" s="127">
        <f t="shared" si="20"/>
        <v>-16.526887749203453</v>
      </c>
      <c r="AL25" s="127">
        <f t="shared" si="12"/>
        <v>-2.5909982046173328</v>
      </c>
      <c r="AM25" s="128">
        <f t="shared" si="10"/>
        <v>-1.8760200095214792</v>
      </c>
      <c r="AN25" s="128">
        <f t="shared" si="11"/>
        <v>-6.9893888701676179</v>
      </c>
      <c r="AO25" s="128">
        <f t="shared" si="13"/>
        <v>-4.39839066555027</v>
      </c>
      <c r="AP25" s="135">
        <f t="shared" si="14"/>
        <v>2.5909982046173621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160</v>
      </c>
      <c r="J26" s="95">
        <f>J12/2</f>
        <v>117.5</v>
      </c>
      <c r="K26" s="94" t="s">
        <v>161</v>
      </c>
      <c r="L26" s="96"/>
      <c r="N26" s="31">
        <f t="shared" si="8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f t="shared" si="4"/>
        <v>0</v>
      </c>
      <c r="T26" s="37"/>
      <c r="U26" s="37">
        <f t="shared" si="5"/>
        <v>0</v>
      </c>
      <c r="V26" s="37">
        <f t="shared" si="6"/>
        <v>0</v>
      </c>
      <c r="W26" s="35">
        <f t="shared" si="9"/>
        <v>0</v>
      </c>
      <c r="X26" s="34">
        <f t="shared" si="0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376482.99481870164</v>
      </c>
      <c r="AC26" s="58">
        <f t="shared" si="21"/>
        <v>-3.8864973069260138</v>
      </c>
      <c r="AE26" s="24">
        <f t="shared" si="17"/>
        <v>-30</v>
      </c>
      <c r="AF26" s="29">
        <f t="shared" si="18"/>
        <v>198896.33972941796</v>
      </c>
      <c r="AG26" s="30">
        <v>294601.28281883569</v>
      </c>
      <c r="AH26" s="58">
        <f t="shared" si="19"/>
        <v>-24.790331623805191</v>
      </c>
      <c r="AJ26" s="126">
        <v>-10</v>
      </c>
      <c r="AK26" s="127">
        <f t="shared" si="20"/>
        <v>-8.2634438746017036</v>
      </c>
      <c r="AL26" s="127">
        <f t="shared" si="12"/>
        <v>-1.2954991023086515</v>
      </c>
      <c r="AM26" s="128">
        <f t="shared" si="10"/>
        <v>-0.93801000476074703</v>
      </c>
      <c r="AN26" s="128">
        <f t="shared" si="11"/>
        <v>-3.4946944350837867</v>
      </c>
      <c r="AO26" s="128">
        <f t="shared" si="13"/>
        <v>-2.1991953327751204</v>
      </c>
      <c r="AP26" s="135">
        <f t="shared" si="14"/>
        <v>1.2954991023086959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f t="shared" si="4"/>
        <v>0</v>
      </c>
      <c r="T27" s="37"/>
      <c r="U27" s="37">
        <f t="shared" si="5"/>
        <v>0</v>
      </c>
      <c r="V27" s="37">
        <f t="shared" si="6"/>
        <v>0</v>
      </c>
      <c r="W27" s="35">
        <f t="shared" si="9"/>
        <v>0</v>
      </c>
      <c r="X27" s="34">
        <f t="shared" si="0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381557.55113135237</v>
      </c>
      <c r="AC27" s="58">
        <f t="shared" si="21"/>
        <v>-2.5909982046173328</v>
      </c>
      <c r="AE27" s="24">
        <f t="shared" si="17"/>
        <v>-20</v>
      </c>
      <c r="AF27" s="29">
        <f t="shared" si="18"/>
        <v>227310.10254790625</v>
      </c>
      <c r="AG27" s="30">
        <v>326969.7431314417</v>
      </c>
      <c r="AH27" s="58">
        <f t="shared" si="19"/>
        <v>-16.526887749203453</v>
      </c>
      <c r="AJ27" s="126">
        <v>0</v>
      </c>
      <c r="AK27" s="127">
        <f t="shared" si="20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1.4860012938056297E-14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/>
      <c r="J28" s="2"/>
      <c r="K28" s="46"/>
      <c r="N28" s="31">
        <f t="shared" si="8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 t="shared" si="4"/>
        <v>0</v>
      </c>
      <c r="T28" s="37"/>
      <c r="U28" s="37">
        <f t="shared" si="5"/>
        <v>0</v>
      </c>
      <c r="V28" s="37">
        <f t="shared" si="6"/>
        <v>0</v>
      </c>
      <c r="W28" s="35">
        <f t="shared" si="9"/>
        <v>0</v>
      </c>
      <c r="X28" s="34">
        <f t="shared" si="0"/>
        <v>0</v>
      </c>
      <c r="Y28" s="19"/>
      <c r="Z28" s="24">
        <f>Z29-10</f>
        <v>-10</v>
      </c>
      <c r="AA28" s="28">
        <f t="shared" si="16"/>
        <v>0.18007586749126633</v>
      </c>
      <c r="AB28" s="30">
        <v>386632.10744400311</v>
      </c>
      <c r="AC28" s="58">
        <f t="shared" si="21"/>
        <v>-1.2954991023086515</v>
      </c>
      <c r="AE28" s="24">
        <f>AE29-10</f>
        <v>-10</v>
      </c>
      <c r="AF28" s="29">
        <f t="shared" si="18"/>
        <v>255723.86536639454</v>
      </c>
      <c r="AG28" s="30">
        <v>359338.20344404777</v>
      </c>
      <c r="AH28" s="58">
        <f t="shared" si="19"/>
        <v>-8.2634438746017036</v>
      </c>
      <c r="AJ28" s="126">
        <v>10</v>
      </c>
      <c r="AK28" s="127">
        <f t="shared" si="20"/>
        <v>8.263443874601748</v>
      </c>
      <c r="AL28" s="127">
        <f t="shared" si="12"/>
        <v>1.2954991023086959</v>
      </c>
      <c r="AM28" s="128">
        <f t="shared" si="10"/>
        <v>0.9380100047607618</v>
      </c>
      <c r="AN28" s="128">
        <f t="shared" si="11"/>
        <v>3.4946944350838458</v>
      </c>
      <c r="AO28" s="128">
        <f t="shared" si="13"/>
        <v>2.1991953327751794</v>
      </c>
      <c r="AP28" s="135">
        <f t="shared" si="14"/>
        <v>-1.2954991023086515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f t="shared" si="4"/>
        <v>0</v>
      </c>
      <c r="T29" s="37"/>
      <c r="U29" s="37">
        <f t="shared" si="5"/>
        <v>0</v>
      </c>
      <c r="V29" s="37">
        <f t="shared" si="6"/>
        <v>0</v>
      </c>
      <c r="W29" s="35">
        <f t="shared" si="9"/>
        <v>0</v>
      </c>
      <c r="X29" s="34">
        <f t="shared" si="0"/>
        <v>0</v>
      </c>
      <c r="Y29" s="19"/>
      <c r="Z29" s="60">
        <v>0</v>
      </c>
      <c r="AA29" s="64">
        <f>$AA$23*(1+(Z29/100))</f>
        <v>0.20008429721251814</v>
      </c>
      <c r="AB29" s="62">
        <v>391706.66375665372</v>
      </c>
      <c r="AC29" s="63">
        <f t="shared" si="21"/>
        <v>0</v>
      </c>
      <c r="AE29" s="60">
        <v>0</v>
      </c>
      <c r="AF29" s="61">
        <f t="shared" si="18"/>
        <v>284137.62818488281</v>
      </c>
      <c r="AG29" s="62">
        <v>391706.66375665367</v>
      </c>
      <c r="AH29" s="63">
        <f t="shared" si="19"/>
        <v>0</v>
      </c>
      <c r="AJ29" s="126">
        <v>20</v>
      </c>
      <c r="AK29" s="127">
        <f t="shared" si="20"/>
        <v>16.526887749203453</v>
      </c>
      <c r="AL29" s="127">
        <f t="shared" si="12"/>
        <v>2.5909982046173621</v>
      </c>
      <c r="AM29" s="128">
        <f t="shared" si="10"/>
        <v>1.8760200095214941</v>
      </c>
      <c r="AN29" s="128">
        <f t="shared" si="11"/>
        <v>6.9893888701676179</v>
      </c>
      <c r="AO29" s="128">
        <f t="shared" si="13"/>
        <v>4.3983906655503002</v>
      </c>
      <c r="AP29" s="135">
        <f t="shared" si="14"/>
        <v>-2.5909982046173328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f t="shared" si="4"/>
        <v>0</v>
      </c>
      <c r="T30" s="37"/>
      <c r="U30" s="37">
        <f t="shared" si="5"/>
        <v>0</v>
      </c>
      <c r="V30" s="37">
        <f t="shared" si="6"/>
        <v>0</v>
      </c>
      <c r="W30" s="35">
        <f t="shared" si="9"/>
        <v>0</v>
      </c>
      <c r="X30" s="34">
        <f t="shared" si="0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396781.22006930452</v>
      </c>
      <c r="AC30" s="58">
        <f t="shared" si="21"/>
        <v>1.2954991023086959</v>
      </c>
      <c r="AE30" s="24">
        <f>AE29+10</f>
        <v>10</v>
      </c>
      <c r="AF30" s="29">
        <f t="shared" si="18"/>
        <v>312551.3910033711</v>
      </c>
      <c r="AG30" s="30">
        <v>424075.12406925973</v>
      </c>
      <c r="AH30" s="58">
        <f t="shared" si="19"/>
        <v>8.263443874601748</v>
      </c>
      <c r="AJ30" s="126">
        <v>30</v>
      </c>
      <c r="AK30" s="127">
        <f t="shared" si="20"/>
        <v>24.790331623805233</v>
      </c>
      <c r="AL30" s="127">
        <f t="shared" si="12"/>
        <v>3.8864973069260289</v>
      </c>
      <c r="AM30" s="128">
        <f t="shared" si="10"/>
        <v>2.8140300142822561</v>
      </c>
      <c r="AN30" s="128">
        <f t="shared" si="11"/>
        <v>10.484083305251449</v>
      </c>
      <c r="AO30" s="128">
        <f t="shared" si="13"/>
        <v>6.5975859983254352</v>
      </c>
      <c r="AP30" s="135">
        <f t="shared" si="14"/>
        <v>-3.8864973069260138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171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85241.288455464863</v>
      </c>
      <c r="G31" s="1" t="s">
        <v>3</v>
      </c>
      <c r="I31" s="38" t="s">
        <v>98</v>
      </c>
      <c r="J31" s="45">
        <f>ROUNDDOWN(J11/(F12/J12),0)</f>
        <v>29</v>
      </c>
      <c r="K31" s="39" t="s">
        <v>24</v>
      </c>
      <c r="L31" s="9"/>
      <c r="N31" s="31">
        <f t="shared" si="8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f t="shared" si="4"/>
        <v>0</v>
      </c>
      <c r="T31" s="37"/>
      <c r="U31" s="37">
        <f t="shared" si="5"/>
        <v>0</v>
      </c>
      <c r="V31" s="37">
        <f t="shared" si="6"/>
        <v>0</v>
      </c>
      <c r="W31" s="35">
        <f t="shared" si="9"/>
        <v>0</v>
      </c>
      <c r="X31" s="34">
        <f t="shared" si="0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401855.77638195519</v>
      </c>
      <c r="AC31" s="58">
        <f t="shared" si="21"/>
        <v>2.5909982046173621</v>
      </c>
      <c r="AE31" s="24">
        <f t="shared" ref="AE31:AE34" si="24">AE30+10</f>
        <v>20</v>
      </c>
      <c r="AF31" s="29">
        <f t="shared" si="18"/>
        <v>340965.15382185933</v>
      </c>
      <c r="AG31" s="30">
        <v>456443.58438186563</v>
      </c>
      <c r="AH31" s="58">
        <f t="shared" si="19"/>
        <v>16.526887749203453</v>
      </c>
      <c r="AJ31" s="126">
        <v>40</v>
      </c>
      <c r="AK31" s="127">
        <f t="shared" si="20"/>
        <v>33.053775498406985</v>
      </c>
      <c r="AL31" s="127">
        <f t="shared" si="12"/>
        <v>5.1819964092347393</v>
      </c>
      <c r="AM31" s="128">
        <f t="shared" si="10"/>
        <v>3.7520400190429881</v>
      </c>
      <c r="AN31" s="128">
        <f t="shared" si="11"/>
        <v>13.97877774033528</v>
      </c>
      <c r="AO31" s="128">
        <f t="shared" si="13"/>
        <v>8.7967813311005845</v>
      </c>
      <c r="AP31" s="135">
        <f t="shared" si="14"/>
        <v>-5.1819964092346948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198896.33972941799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f t="shared" si="4"/>
        <v>0</v>
      </c>
      <c r="T32" s="37"/>
      <c r="U32" s="37">
        <f t="shared" si="5"/>
        <v>0</v>
      </c>
      <c r="V32" s="37">
        <f t="shared" si="6"/>
        <v>0</v>
      </c>
      <c r="W32" s="35">
        <f t="shared" si="9"/>
        <v>0</v>
      </c>
      <c r="X32" s="34">
        <f t="shared" si="0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406930.33269460587</v>
      </c>
      <c r="AC32" s="58">
        <f t="shared" si="21"/>
        <v>3.8864973069260289</v>
      </c>
      <c r="AE32" s="24">
        <f t="shared" si="24"/>
        <v>30</v>
      </c>
      <c r="AF32" s="29">
        <f t="shared" si="18"/>
        <v>369378.91664034768</v>
      </c>
      <c r="AG32" s="30">
        <v>488812.04469447181</v>
      </c>
      <c r="AH32" s="58">
        <f t="shared" si="19"/>
        <v>24.790331623805233</v>
      </c>
      <c r="AJ32" s="126">
        <v>50</v>
      </c>
      <c r="AK32" s="127">
        <f t="shared" si="20"/>
        <v>41.317219373008747</v>
      </c>
      <c r="AL32" s="127">
        <f t="shared" si="12"/>
        <v>6.4774955115434061</v>
      </c>
      <c r="AM32" s="128">
        <f t="shared" si="10"/>
        <v>4.6900500238037797</v>
      </c>
      <c r="AN32" s="128">
        <f t="shared" si="11"/>
        <v>17.473472175419094</v>
      </c>
      <c r="AO32" s="128">
        <f t="shared" si="13"/>
        <v>10.995976663875705</v>
      </c>
      <c r="AP32" s="135">
        <f t="shared" si="14"/>
        <v>-6.4774955115433617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25757.007096774196</v>
      </c>
      <c r="C33" s="1" t="s">
        <v>3</v>
      </c>
      <c r="E33" s="22" t="s">
        <v>65</v>
      </c>
      <c r="F33" s="10">
        <f>F32*(F22/100)*J20</f>
        <v>76475.64262596122</v>
      </c>
      <c r="G33" s="1" t="s">
        <v>3</v>
      </c>
      <c r="L33" s="9"/>
      <c r="N33" s="31">
        <f t="shared" si="8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 t="shared" si="4"/>
        <v>0</v>
      </c>
      <c r="T33" s="37"/>
      <c r="U33" s="37">
        <f t="shared" si="5"/>
        <v>0</v>
      </c>
      <c r="V33" s="37">
        <f t="shared" si="6"/>
        <v>0</v>
      </c>
      <c r="W33" s="35">
        <f t="shared" si="9"/>
        <v>0</v>
      </c>
      <c r="X33" s="34">
        <f t="shared" si="0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412004.88900725672</v>
      </c>
      <c r="AC33" s="58">
        <f t="shared" si="21"/>
        <v>5.1819964092347393</v>
      </c>
      <c r="AE33" s="24">
        <f t="shared" si="24"/>
        <v>40</v>
      </c>
      <c r="AF33" s="29">
        <f t="shared" si="18"/>
        <v>397792.67945883592</v>
      </c>
      <c r="AG33" s="30">
        <v>521180.50500707788</v>
      </c>
      <c r="AH33" s="58">
        <f t="shared" si="19"/>
        <v>33.053775498406985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144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318380</v>
      </c>
      <c r="K34" s="39" t="s">
        <v>42</v>
      </c>
      <c r="L34" s="9"/>
      <c r="N34" s="31">
        <f t="shared" si="8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f t="shared" si="4"/>
        <v>0</v>
      </c>
      <c r="T34" s="37"/>
      <c r="U34" s="37">
        <f t="shared" si="5"/>
        <v>0</v>
      </c>
      <c r="V34" s="37">
        <f t="shared" si="6"/>
        <v>0</v>
      </c>
      <c r="W34" s="35">
        <f t="shared" si="9"/>
        <v>0</v>
      </c>
      <c r="X34" s="34">
        <f t="shared" si="0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417079.44531990739</v>
      </c>
      <c r="AC34" s="58">
        <f t="shared" si="21"/>
        <v>6.4774955115434061</v>
      </c>
      <c r="AE34" s="24">
        <f t="shared" si="24"/>
        <v>50</v>
      </c>
      <c r="AF34" s="29">
        <f t="shared" si="18"/>
        <v>426206.44227732421</v>
      </c>
      <c r="AG34" s="30">
        <v>553548.96531968401</v>
      </c>
      <c r="AH34" s="58">
        <f t="shared" si="19"/>
        <v>41.317219373008747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f t="shared" si="4"/>
        <v>0</v>
      </c>
      <c r="T35" s="37"/>
      <c r="U35" s="37">
        <f t="shared" si="5"/>
        <v>0</v>
      </c>
      <c r="V35" s="37">
        <f t="shared" si="6"/>
        <v>0</v>
      </c>
      <c r="W35" s="35">
        <f t="shared" si="9"/>
        <v>0</v>
      </c>
      <c r="X35" s="34">
        <f t="shared" si="0"/>
        <v>0</v>
      </c>
      <c r="Y35" s="19"/>
    </row>
    <row r="36" spans="1:49" x14ac:dyDescent="0.25">
      <c r="A36" s="21" t="s">
        <v>182</v>
      </c>
      <c r="B36" s="18">
        <f>IF(B19=0,0,(B19/B8))</f>
        <v>810.55012036669291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f t="shared" si="4"/>
        <v>0</v>
      </c>
      <c r="T36" s="37"/>
      <c r="U36" s="37">
        <f t="shared" si="5"/>
        <v>0</v>
      </c>
      <c r="V36" s="37">
        <f t="shared" si="6"/>
        <v>0</v>
      </c>
      <c r="W36" s="35">
        <f t="shared" si="9"/>
        <v>0</v>
      </c>
      <c r="X36" s="34">
        <f t="shared" si="0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11419.139769071029</v>
      </c>
      <c r="K37" s="12" t="s">
        <v>46</v>
      </c>
      <c r="L37" s="9"/>
      <c r="N37" s="31">
        <f t="shared" si="8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f t="shared" si="4"/>
        <v>0</v>
      </c>
      <c r="T37" s="37"/>
      <c r="U37" s="37">
        <f t="shared" si="5"/>
        <v>0</v>
      </c>
      <c r="V37" s="37">
        <f t="shared" si="6"/>
        <v>0</v>
      </c>
      <c r="W37" s="35">
        <f t="shared" si="9"/>
        <v>0</v>
      </c>
      <c r="X37" s="34">
        <f t="shared" si="0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A38" s="21"/>
      <c r="B38" s="18"/>
      <c r="E38" s="22" t="s">
        <v>59</v>
      </c>
      <c r="F38" s="48">
        <f>F36*J17</f>
        <v>0.19808345424039295</v>
      </c>
      <c r="G38" s="1" t="s">
        <v>58</v>
      </c>
      <c r="I38" s="22" t="s">
        <v>136</v>
      </c>
      <c r="J38" s="13">
        <f>F17/$B$8</f>
        <v>8.1055012036669289</v>
      </c>
      <c r="K38" s="1" t="s">
        <v>46</v>
      </c>
      <c r="L38" s="9"/>
      <c r="N38" s="31">
        <f t="shared" si="8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 t="shared" si="4"/>
        <v>0</v>
      </c>
      <c r="T38" s="37"/>
      <c r="U38" s="37">
        <f t="shared" si="5"/>
        <v>0</v>
      </c>
      <c r="V38" s="37">
        <f t="shared" si="6"/>
        <v>0</v>
      </c>
      <c r="W38" s="35">
        <f t="shared" si="9"/>
        <v>0</v>
      </c>
      <c r="X38" s="34">
        <f t="shared" si="0"/>
        <v>0</v>
      </c>
      <c r="Y38" s="19"/>
      <c r="Z38" s="24" t="s">
        <v>109</v>
      </c>
      <c r="AA38" s="25">
        <v>33810</v>
      </c>
      <c r="AB38" s="26">
        <f>X49</f>
        <v>391706.66375665372</v>
      </c>
      <c r="AC38" s="24"/>
      <c r="AE38" s="24" t="s">
        <v>109</v>
      </c>
      <c r="AF38" s="29">
        <v>31838</v>
      </c>
      <c r="AG38" s="30">
        <f>X49</f>
        <v>391706.66375665372</v>
      </c>
      <c r="AH38" s="24"/>
    </row>
    <row r="39" spans="1:49" x14ac:dyDescent="0.25">
      <c r="I39" s="22" t="s">
        <v>181</v>
      </c>
      <c r="J39" s="13">
        <f>F19/$B$8</f>
        <v>187.72340787692607</v>
      </c>
      <c r="K39" s="1" t="s">
        <v>46</v>
      </c>
      <c r="L39" s="9"/>
      <c r="N39" s="31">
        <f t="shared" si="8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f t="shared" si="4"/>
        <v>0</v>
      </c>
      <c r="T39" s="37"/>
      <c r="U39" s="37">
        <f t="shared" si="5"/>
        <v>0</v>
      </c>
      <c r="V39" s="37">
        <f t="shared" si="6"/>
        <v>0</v>
      </c>
      <c r="W39" s="35">
        <f t="shared" si="9"/>
        <v>0</v>
      </c>
      <c r="X39" s="34">
        <f t="shared" si="0"/>
        <v>0</v>
      </c>
      <c r="Y39" s="19"/>
      <c r="Z39" s="24">
        <f t="shared" ref="Z39:Z42" si="25">Z40-10</f>
        <v>-50</v>
      </c>
      <c r="AA39" s="25">
        <f t="shared" ref="AA39:AA49" si="26">$AA$38*(1+(Z39/100))</f>
        <v>16905</v>
      </c>
      <c r="AB39" s="30">
        <f t="dataTable" ref="AB39:AB49" dt2D="0" dtr="0" r1="B44" ca="1"/>
        <v>373335.42527989397</v>
      </c>
      <c r="AC39" s="58">
        <f>100*((AB39-$AB$44)/$AB$44)</f>
        <v>-4.6900500238037353</v>
      </c>
      <c r="AE39" s="24">
        <f t="shared" ref="AE39:AE42" si="27">AE40-10</f>
        <v>-50</v>
      </c>
      <c r="AF39" s="29">
        <f t="shared" ref="AF39:AF49" si="28">$AF$38*(1+(AE39/100))</f>
        <v>15919</v>
      </c>
      <c r="AG39" s="30">
        <f t="dataTable" ref="AG39:AG49" dt2D="0" dtr="0" r1="F12" ca="1"/>
        <v>323261.90885587252</v>
      </c>
      <c r="AH39" s="58">
        <f>100*((AG39-$AG$44)/$AG$44)</f>
        <v>-17.473472175419065</v>
      </c>
    </row>
    <row r="40" spans="1:49" ht="30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f t="shared" si="4"/>
        <v>0</v>
      </c>
      <c r="T40" s="37"/>
      <c r="U40" s="37">
        <f t="shared" si="5"/>
        <v>0</v>
      </c>
      <c r="V40" s="37">
        <f t="shared" si="6"/>
        <v>0</v>
      </c>
      <c r="W40" s="35">
        <f t="shared" si="9"/>
        <v>0</v>
      </c>
      <c r="X40" s="34">
        <f t="shared" si="0"/>
        <v>0</v>
      </c>
      <c r="Y40" s="19"/>
      <c r="Z40" s="24">
        <f t="shared" si="25"/>
        <v>-40</v>
      </c>
      <c r="AA40" s="25">
        <f t="shared" si="26"/>
        <v>20286</v>
      </c>
      <c r="AB40" s="30">
        <v>377009.67297524592</v>
      </c>
      <c r="AC40" s="58">
        <f t="shared" ref="AC40:AC49" si="29">100*((AB40-$AB$29)/$AB$29)</f>
        <v>-3.7520400190429881</v>
      </c>
      <c r="AE40" s="24">
        <f t="shared" si="27"/>
        <v>-40</v>
      </c>
      <c r="AF40" s="29">
        <f t="shared" si="28"/>
        <v>19102.8</v>
      </c>
      <c r="AG40" s="30">
        <v>336950.85983602877</v>
      </c>
      <c r="AH40" s="58">
        <f t="shared" ref="AH40:AH43" si="30">100*((AG40-$AG$44)/$AG$44)</f>
        <v>-13.97877774033525</v>
      </c>
    </row>
    <row r="41" spans="1:49" x14ac:dyDescent="0.25">
      <c r="A41" s="22" t="s">
        <v>194</v>
      </c>
      <c r="B41" s="8">
        <f>J8/B8</f>
        <v>218709.67741935485</v>
      </c>
      <c r="C41" s="1" t="s">
        <v>3</v>
      </c>
      <c r="E41" s="22" t="s">
        <v>94</v>
      </c>
      <c r="F41" s="46">
        <f>F38*F12</f>
        <v>6306.5810161056306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f t="shared" si="4"/>
        <v>0</v>
      </c>
      <c r="T41" s="37"/>
      <c r="U41" s="37">
        <f t="shared" si="5"/>
        <v>0</v>
      </c>
      <c r="V41" s="37">
        <f t="shared" si="6"/>
        <v>0</v>
      </c>
      <c r="W41" s="35">
        <f t="shared" si="9"/>
        <v>0</v>
      </c>
      <c r="X41" s="34">
        <f t="shared" si="0"/>
        <v>0</v>
      </c>
      <c r="Y41" s="19"/>
      <c r="Z41" s="24">
        <f t="shared" si="25"/>
        <v>-30</v>
      </c>
      <c r="AA41" s="25">
        <f t="shared" si="26"/>
        <v>23667</v>
      </c>
      <c r="AB41" s="30">
        <v>380683.92067059781</v>
      </c>
      <c r="AC41" s="58">
        <f t="shared" si="29"/>
        <v>-2.8140300142822561</v>
      </c>
      <c r="AE41" s="24">
        <f t="shared" si="27"/>
        <v>-30</v>
      </c>
      <c r="AF41" s="29">
        <f t="shared" si="28"/>
        <v>22286.6</v>
      </c>
      <c r="AG41" s="30">
        <v>350639.81081618497</v>
      </c>
      <c r="AH41" s="58">
        <f t="shared" si="30"/>
        <v>-10.484083305251449</v>
      </c>
    </row>
    <row r="42" spans="1:49" x14ac:dyDescent="0.25">
      <c r="A42" s="38" t="s">
        <v>115</v>
      </c>
      <c r="B42" s="42">
        <f>IF(J24="No",J9*J10,0)</f>
        <v>33810</v>
      </c>
      <c r="C42" s="39" t="s">
        <v>3</v>
      </c>
      <c r="I42" s="22" t="s">
        <v>67</v>
      </c>
      <c r="J42" s="20">
        <f>F21*F12/$B$8</f>
        <v>11156.0352</v>
      </c>
      <c r="K42" s="1" t="s">
        <v>46</v>
      </c>
      <c r="L42" s="9"/>
      <c r="N42" s="31">
        <f t="shared" si="8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f t="shared" si="4"/>
        <v>0</v>
      </c>
      <c r="T42" s="37"/>
      <c r="U42" s="37">
        <f t="shared" si="5"/>
        <v>0</v>
      </c>
      <c r="V42" s="37">
        <f t="shared" si="6"/>
        <v>0</v>
      </c>
      <c r="W42" s="35">
        <f t="shared" si="9"/>
        <v>0</v>
      </c>
      <c r="X42" s="34">
        <f t="shared" si="0"/>
        <v>0</v>
      </c>
      <c r="Y42" s="19"/>
      <c r="Z42" s="24">
        <f t="shared" si="25"/>
        <v>-20</v>
      </c>
      <c r="AA42" s="25">
        <f t="shared" si="26"/>
        <v>27048</v>
      </c>
      <c r="AB42" s="30">
        <v>384358.16836594988</v>
      </c>
      <c r="AC42" s="58">
        <f t="shared" si="29"/>
        <v>-1.8760200095214792</v>
      </c>
      <c r="AE42" s="24">
        <f t="shared" si="27"/>
        <v>-20</v>
      </c>
      <c r="AF42" s="29">
        <f t="shared" si="28"/>
        <v>25470.400000000001</v>
      </c>
      <c r="AG42" s="30">
        <v>364328.76179634128</v>
      </c>
      <c r="AH42" s="58">
        <f t="shared" si="30"/>
        <v>-6.9893888701676179</v>
      </c>
    </row>
    <row r="43" spans="1:49" x14ac:dyDescent="0.25">
      <c r="A43" s="21" t="s">
        <v>117</v>
      </c>
      <c r="B43" s="10">
        <f>(1+(B17/100))*B41</f>
        <v>218709.67741935485</v>
      </c>
      <c r="C43" s="1" t="s">
        <v>3</v>
      </c>
      <c r="L43" s="9"/>
      <c r="N43" s="31">
        <f t="shared" si="8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 t="shared" si="4"/>
        <v>0</v>
      </c>
      <c r="T43" s="37"/>
      <c r="U43" s="37">
        <f t="shared" si="5"/>
        <v>0</v>
      </c>
      <c r="V43" s="37">
        <f t="shared" si="6"/>
        <v>0</v>
      </c>
      <c r="W43" s="35">
        <f t="shared" si="9"/>
        <v>0</v>
      </c>
      <c r="X43" s="34">
        <f t="shared" si="0"/>
        <v>0</v>
      </c>
      <c r="Y43" s="19"/>
      <c r="Z43" s="24">
        <f>Z44-10</f>
        <v>-10</v>
      </c>
      <c r="AA43" s="25">
        <f t="shared" si="26"/>
        <v>30429</v>
      </c>
      <c r="AB43" s="30">
        <v>388032.41606130177</v>
      </c>
      <c r="AC43" s="58">
        <f t="shared" si="29"/>
        <v>-0.93801000476074703</v>
      </c>
      <c r="AE43" s="24">
        <f>AE44-10</f>
        <v>-10</v>
      </c>
      <c r="AF43" s="29">
        <f t="shared" si="28"/>
        <v>28654.2</v>
      </c>
      <c r="AG43" s="30">
        <v>378017.71277649759</v>
      </c>
      <c r="AH43" s="58">
        <f t="shared" si="30"/>
        <v>-3.4946944350837867</v>
      </c>
    </row>
    <row r="44" spans="1:49" x14ac:dyDescent="0.25">
      <c r="A44" s="21" t="s">
        <v>118</v>
      </c>
      <c r="B44" s="59">
        <f>(1+(B17/100))*B42</f>
        <v>33810</v>
      </c>
      <c r="C44" s="1" t="s">
        <v>3</v>
      </c>
      <c r="E44" s="97" t="s">
        <v>162</v>
      </c>
      <c r="F44" s="98"/>
      <c r="G44" s="98"/>
      <c r="L44" s="9"/>
      <c r="N44" s="31">
        <f t="shared" si="8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f t="shared" si="4"/>
        <v>0</v>
      </c>
      <c r="T44" s="37"/>
      <c r="U44" s="37">
        <f t="shared" si="5"/>
        <v>0</v>
      </c>
      <c r="V44" s="37">
        <f t="shared" si="6"/>
        <v>0</v>
      </c>
      <c r="W44" s="35">
        <f t="shared" si="9"/>
        <v>0</v>
      </c>
      <c r="X44" s="34">
        <f t="shared" si="0"/>
        <v>0</v>
      </c>
      <c r="Y44" s="19"/>
      <c r="Z44" s="60">
        <v>0</v>
      </c>
      <c r="AA44" s="65">
        <f>$AA$38*(1+(Z44/100))</f>
        <v>33810</v>
      </c>
      <c r="AB44" s="62">
        <v>391706.66375665372</v>
      </c>
      <c r="AC44" s="63">
        <f t="shared" si="29"/>
        <v>0</v>
      </c>
      <c r="AE44" s="60">
        <v>0</v>
      </c>
      <c r="AF44" s="61">
        <f t="shared" si="28"/>
        <v>31838</v>
      </c>
      <c r="AG44" s="62">
        <v>391706.66375665372</v>
      </c>
      <c r="AH44" s="63">
        <f>100*((AG44-$AG$44)/$AG$44)</f>
        <v>0</v>
      </c>
    </row>
    <row r="45" spans="1:49" x14ac:dyDescent="0.25">
      <c r="A45" s="1" t="s">
        <v>150</v>
      </c>
      <c r="B45" s="10">
        <f>B43+B44</f>
        <v>252519.67741935485</v>
      </c>
      <c r="C45" s="1" t="s">
        <v>3</v>
      </c>
      <c r="E45" s="104" t="s">
        <v>167</v>
      </c>
      <c r="F45" s="99">
        <f>((1+(B17/100))*J9*J10)*(1+(B13%+B14%+B15%))</f>
        <v>37867.200000000004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f t="shared" si="4"/>
        <v>0</v>
      </c>
      <c r="T45" s="37"/>
      <c r="U45" s="37">
        <f t="shared" si="5"/>
        <v>0</v>
      </c>
      <c r="V45" s="37">
        <f t="shared" si="6"/>
        <v>0</v>
      </c>
      <c r="W45" s="35">
        <f t="shared" si="9"/>
        <v>0</v>
      </c>
      <c r="X45" s="34">
        <f t="shared" si="0"/>
        <v>0</v>
      </c>
      <c r="Y45" s="19"/>
      <c r="Z45" s="24">
        <f>Z44+10</f>
        <v>10</v>
      </c>
      <c r="AA45" s="25">
        <f t="shared" si="26"/>
        <v>37191</v>
      </c>
      <c r="AB45" s="30">
        <v>395380.91145200573</v>
      </c>
      <c r="AC45" s="58">
        <f t="shared" si="29"/>
        <v>0.9380100047607618</v>
      </c>
      <c r="AE45" s="24">
        <f>AE44+10</f>
        <v>10</v>
      </c>
      <c r="AF45" s="29">
        <f t="shared" si="28"/>
        <v>35021.800000000003</v>
      </c>
      <c r="AG45" s="30">
        <v>405395.61473681009</v>
      </c>
      <c r="AH45" s="58">
        <f t="shared" ref="AH45:AH49" si="31">100*((AG45-$AG$44)/$AG$44)</f>
        <v>3.4946944350838458</v>
      </c>
    </row>
    <row r="46" spans="1:49" x14ac:dyDescent="0.25">
      <c r="A46" s="1" t="s">
        <v>151</v>
      </c>
      <c r="B46" s="78">
        <f>(1+B15/100)*B45</f>
        <v>257570.07096774195</v>
      </c>
      <c r="C46" s="1" t="s">
        <v>3</v>
      </c>
      <c r="E46" s="98" t="s">
        <v>168</v>
      </c>
      <c r="F46" s="99">
        <f>((J21%)*F45)+(((1-J21%)*F45)*(1+(F22%*J20)))</f>
        <v>48059.15688000001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f t="shared" si="4"/>
        <v>0</v>
      </c>
      <c r="T46" s="37"/>
      <c r="U46" s="37">
        <f t="shared" si="5"/>
        <v>0</v>
      </c>
      <c r="V46" s="37">
        <f t="shared" si="6"/>
        <v>0</v>
      </c>
      <c r="W46" s="35">
        <f t="shared" si="9"/>
        <v>0</v>
      </c>
      <c r="X46" s="34">
        <f t="shared" si="0"/>
        <v>0</v>
      </c>
      <c r="Y46" s="19"/>
      <c r="Z46" s="24">
        <f t="shared" ref="Z46:Z49" si="32">Z45+10</f>
        <v>20</v>
      </c>
      <c r="AA46" s="25">
        <f t="shared" si="26"/>
        <v>40572</v>
      </c>
      <c r="AB46" s="30">
        <v>399055.15914735763</v>
      </c>
      <c r="AC46" s="58">
        <f t="shared" si="29"/>
        <v>1.8760200095214941</v>
      </c>
      <c r="AE46" s="24">
        <f t="shared" ref="AE46:AE49" si="33">AE45+10</f>
        <v>20</v>
      </c>
      <c r="AF46" s="29">
        <f t="shared" si="28"/>
        <v>38205.599999999999</v>
      </c>
      <c r="AG46" s="30">
        <v>419084.56571696617</v>
      </c>
      <c r="AH46" s="58">
        <f t="shared" si="31"/>
        <v>6.9893888701676179</v>
      </c>
    </row>
    <row r="47" spans="1:49" x14ac:dyDescent="0.25">
      <c r="A47" s="21" t="s">
        <v>116</v>
      </c>
      <c r="B47" s="18">
        <f>B46+SUM(B33:B36)</f>
        <v>284137.62818488287</v>
      </c>
      <c r="C47" s="1" t="s">
        <v>3</v>
      </c>
      <c r="E47" s="98" t="s">
        <v>98</v>
      </c>
      <c r="F47" s="99">
        <f>J12*J11</f>
        <v>940000</v>
      </c>
      <c r="G47" s="98" t="s">
        <v>42</v>
      </c>
      <c r="L47" s="9"/>
      <c r="N47" s="31">
        <f t="shared" si="8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f t="shared" si="4"/>
        <v>0</v>
      </c>
      <c r="T47" s="37"/>
      <c r="U47" s="37">
        <f t="shared" si="5"/>
        <v>0</v>
      </c>
      <c r="V47" s="37">
        <f t="shared" si="6"/>
        <v>0</v>
      </c>
      <c r="W47" s="35">
        <f t="shared" si="9"/>
        <v>0</v>
      </c>
      <c r="X47" s="34">
        <f t="shared" si="0"/>
        <v>0</v>
      </c>
      <c r="Y47" s="19"/>
      <c r="Z47" s="24">
        <f t="shared" si="32"/>
        <v>30</v>
      </c>
      <c r="AA47" s="25">
        <f t="shared" si="26"/>
        <v>43953</v>
      </c>
      <c r="AB47" s="30">
        <v>402729.40684270964</v>
      </c>
      <c r="AC47" s="58">
        <f t="shared" si="29"/>
        <v>2.8140300142822561</v>
      </c>
      <c r="AE47" s="24">
        <f t="shared" si="33"/>
        <v>30</v>
      </c>
      <c r="AF47" s="29">
        <f t="shared" si="28"/>
        <v>41389.4</v>
      </c>
      <c r="AG47" s="30">
        <v>432773.51669712248</v>
      </c>
      <c r="AH47" s="58">
        <f t="shared" si="31"/>
        <v>10.484083305251449</v>
      </c>
    </row>
    <row r="48" spans="1:49" x14ac:dyDescent="0.25">
      <c r="A48" s="21" t="s">
        <v>172</v>
      </c>
      <c r="B48" s="18">
        <f>SUM(B31:B32)</f>
        <v>0</v>
      </c>
      <c r="C48" s="1" t="s">
        <v>3</v>
      </c>
      <c r="E48" s="98" t="s">
        <v>163</v>
      </c>
      <c r="F48" s="100">
        <f>(F46/F47)*J25</f>
        <v>6.6464791429787243E-2</v>
      </c>
      <c r="G48" s="98" t="s">
        <v>58</v>
      </c>
      <c r="L48" s="9"/>
      <c r="N48" s="31">
        <f t="shared" si="8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 t="shared" si="4"/>
        <v>0</v>
      </c>
      <c r="T48" s="37"/>
      <c r="U48" s="37">
        <f t="shared" si="5"/>
        <v>0</v>
      </c>
      <c r="V48" s="37">
        <f t="shared" si="6"/>
        <v>0</v>
      </c>
      <c r="W48" s="35">
        <f t="shared" si="9"/>
        <v>0</v>
      </c>
      <c r="X48" s="34">
        <f t="shared" si="0"/>
        <v>0</v>
      </c>
      <c r="Y48" s="19"/>
      <c r="Z48" s="24">
        <f t="shared" si="32"/>
        <v>40</v>
      </c>
      <c r="AA48" s="25">
        <f t="shared" si="26"/>
        <v>47334</v>
      </c>
      <c r="AB48" s="30">
        <v>406403.65453806153</v>
      </c>
      <c r="AC48" s="58">
        <f t="shared" si="29"/>
        <v>3.7520400190429881</v>
      </c>
      <c r="AE48" s="24">
        <f t="shared" si="33"/>
        <v>40</v>
      </c>
      <c r="AF48" s="29">
        <f t="shared" si="28"/>
        <v>44573.2</v>
      </c>
      <c r="AG48" s="30">
        <v>446462.46767727879</v>
      </c>
      <c r="AH48" s="58">
        <f t="shared" si="31"/>
        <v>13.97877774033528</v>
      </c>
    </row>
    <row r="49" spans="1:34" x14ac:dyDescent="0.25">
      <c r="A49" s="21" t="s">
        <v>173</v>
      </c>
      <c r="B49" s="18">
        <f>B47-B48</f>
        <v>284137.62818488287</v>
      </c>
      <c r="C49" s="1" t="s">
        <v>3</v>
      </c>
      <c r="E49" s="98" t="s">
        <v>164</v>
      </c>
      <c r="F49" s="101">
        <f>J26*365</f>
        <v>42887.5</v>
      </c>
      <c r="G49" s="98" t="s">
        <v>37</v>
      </c>
      <c r="L49" s="9"/>
      <c r="N49" s="32" t="s">
        <v>74</v>
      </c>
      <c r="O49" s="34">
        <f>SUM(O8:O48)</f>
        <v>85241.288455464863</v>
      </c>
      <c r="P49" s="34">
        <f t="shared" ref="P49" si="34">SUM(P8:P48)</f>
        <v>238443.31467059519</v>
      </c>
      <c r="Q49" s="34">
        <f t="shared" ref="Q49:V49" si="35">SUM(Q8:Q48)</f>
        <v>50745.563126507215</v>
      </c>
      <c r="R49" s="34">
        <f t="shared" si="35"/>
        <v>0</v>
      </c>
      <c r="S49" s="34">
        <f t="shared" si="35"/>
        <v>88175.570416079136</v>
      </c>
      <c r="T49" s="34"/>
      <c r="U49" s="34">
        <f t="shared" si="35"/>
        <v>0</v>
      </c>
      <c r="V49" s="34">
        <f t="shared" si="35"/>
        <v>0</v>
      </c>
      <c r="W49" s="34">
        <f>SUM(W8:W48)</f>
        <v>-70899.07291199264</v>
      </c>
      <c r="X49" s="34">
        <f>SUM(X8:X48)</f>
        <v>391706.66375665372</v>
      </c>
      <c r="Y49" s="19"/>
      <c r="Z49" s="24">
        <f t="shared" si="32"/>
        <v>50</v>
      </c>
      <c r="AA49" s="25">
        <f t="shared" si="26"/>
        <v>50715</v>
      </c>
      <c r="AB49" s="30">
        <v>410077.90223341365</v>
      </c>
      <c r="AC49" s="58">
        <f t="shared" si="29"/>
        <v>4.6900500238037797</v>
      </c>
      <c r="AE49" s="24">
        <f t="shared" si="33"/>
        <v>50</v>
      </c>
      <c r="AF49" s="29">
        <f t="shared" si="28"/>
        <v>47757</v>
      </c>
      <c r="AG49" s="30">
        <v>460151.41865743505</v>
      </c>
      <c r="AH49" s="58">
        <f t="shared" si="31"/>
        <v>17.473472175419094</v>
      </c>
    </row>
    <row r="50" spans="1:34" x14ac:dyDescent="0.25">
      <c r="E50" s="98" t="s">
        <v>165</v>
      </c>
      <c r="F50" s="102">
        <f>F48*F49</f>
        <v>2850.5087424450003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166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160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170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11156.0352</v>
      </c>
      <c r="AB53" s="30">
        <f>X49</f>
        <v>391706.66375665372</v>
      </c>
      <c r="AC53" s="24"/>
      <c r="AE53" s="108" t="s">
        <v>109</v>
      </c>
      <c r="AF53" s="109">
        <v>117.5</v>
      </c>
      <c r="AG53" s="110">
        <f>X49</f>
        <v>391706.66375665372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6">Z55-10</f>
        <v>-50</v>
      </c>
      <c r="AA54" s="29">
        <f>$AA$53*(1+(Z54/100))</f>
        <v>5578.0176000000001</v>
      </c>
      <c r="AB54" s="30">
        <f t="dataTable" ref="AB54:AB64" dt2D="0" dtr="0" r1="J42" ca="1"/>
        <v>348634.69041912607</v>
      </c>
      <c r="AC54" s="58">
        <f t="shared" ref="AC54:AC64" si="37">100*((AB54-$AG$29)/$AG$29)</f>
        <v>-10.995976663875675</v>
      </c>
      <c r="AE54" s="108">
        <f t="shared" ref="AE54:AE56" si="38">AE55-20</f>
        <v>-100</v>
      </c>
      <c r="AF54" s="109">
        <f>$AF$53*(1+(AE54/100))</f>
        <v>0</v>
      </c>
      <c r="AG54" s="110">
        <f t="dataTable" ref="AG54:AG64" dt2D="0" dtr="0" r1="J26" ca="1"/>
        <v>391706.66375665372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323684.60312606004</v>
      </c>
      <c r="Q55" s="1" t="s">
        <v>3</v>
      </c>
      <c r="R55" s="56">
        <f>P55/$J$34</f>
        <v>1.0166612322572399</v>
      </c>
      <c r="S55" s="1" t="s">
        <v>58</v>
      </c>
      <c r="V55" s="70"/>
      <c r="X55" s="68"/>
      <c r="Y55" s="68"/>
      <c r="Z55" s="24">
        <f t="shared" si="36"/>
        <v>-40</v>
      </c>
      <c r="AA55" s="29">
        <f t="shared" ref="AA55:AA64" si="39">$AA$53*(1+(Z55/100))</f>
        <v>6693.6211199999998</v>
      </c>
      <c r="AB55" s="30">
        <v>357249.08508663165</v>
      </c>
      <c r="AC55" s="58">
        <f t="shared" si="37"/>
        <v>-8.7967813311005258</v>
      </c>
      <c r="AE55" s="108">
        <f t="shared" si="38"/>
        <v>-80</v>
      </c>
      <c r="AF55" s="109">
        <f t="shared" ref="AF55:AF64" si="40">$AF$53*(1+(AE55/100))</f>
        <v>23.499999999999996</v>
      </c>
      <c r="AG55" s="110">
        <v>391706.66375665372</v>
      </c>
      <c r="AH55" s="58">
        <f t="shared" ref="AH55:AH64" si="41">100*((AG55-$AG$59)/$AG$59)</f>
        <v>0</v>
      </c>
    </row>
    <row r="56" spans="1:34" x14ac:dyDescent="0.25">
      <c r="O56" s="1" t="s">
        <v>97</v>
      </c>
      <c r="P56" s="52">
        <f>SUM(Q49:R49)</f>
        <v>50745.563126507215</v>
      </c>
      <c r="Q56" s="1" t="s">
        <v>3</v>
      </c>
      <c r="R56" s="56">
        <f>P56/$J$34</f>
        <v>0.15938678034583584</v>
      </c>
      <c r="S56" s="1" t="s">
        <v>58</v>
      </c>
      <c r="U56" s="51"/>
      <c r="V56" s="70"/>
      <c r="X56" s="68"/>
      <c r="Y56" s="68"/>
      <c r="Z56" s="24">
        <f t="shared" si="36"/>
        <v>-30</v>
      </c>
      <c r="AA56" s="29">
        <f t="shared" si="39"/>
        <v>7809.2246399999995</v>
      </c>
      <c r="AB56" s="30">
        <v>365863.47975413717</v>
      </c>
      <c r="AC56" s="58">
        <f t="shared" si="37"/>
        <v>-6.5975859983253908</v>
      </c>
      <c r="AE56" s="108">
        <f t="shared" si="38"/>
        <v>-60</v>
      </c>
      <c r="AF56" s="109">
        <f t="shared" si="40"/>
        <v>47</v>
      </c>
      <c r="AG56" s="110">
        <v>391706.66375665372</v>
      </c>
      <c r="AH56" s="58">
        <f t="shared" si="41"/>
        <v>0</v>
      </c>
    </row>
    <row r="57" spans="1:34" x14ac:dyDescent="0.25">
      <c r="O57" s="1" t="s">
        <v>114</v>
      </c>
      <c r="P57" s="52">
        <f>SUM(S49:T49)</f>
        <v>88175.570416079136</v>
      </c>
      <c r="Q57" s="1" t="s">
        <v>3</v>
      </c>
      <c r="R57" s="56">
        <f>P57/$J$34</f>
        <v>0.27695072057314885</v>
      </c>
      <c r="S57" s="1" t="s">
        <v>58</v>
      </c>
      <c r="U57" s="51"/>
      <c r="V57" s="70"/>
      <c r="X57" s="68"/>
      <c r="Y57" s="68"/>
      <c r="Z57" s="24">
        <f t="shared" si="36"/>
        <v>-20</v>
      </c>
      <c r="AA57" s="29">
        <f t="shared" si="39"/>
        <v>8924.8281600000009</v>
      </c>
      <c r="AB57" s="30">
        <v>374477.87442164263</v>
      </c>
      <c r="AC57" s="58">
        <f t="shared" si="37"/>
        <v>-4.39839066555027</v>
      </c>
      <c r="AE57" s="108">
        <f>AE58-20</f>
        <v>-40</v>
      </c>
      <c r="AF57" s="109">
        <f t="shared" si="40"/>
        <v>70.5</v>
      </c>
      <c r="AG57" s="110">
        <v>391706.66375665372</v>
      </c>
      <c r="AH57" s="58">
        <f t="shared" si="41"/>
        <v>0</v>
      </c>
    </row>
    <row r="58" spans="1:34" x14ac:dyDescent="0.25">
      <c r="O58" s="1" t="s">
        <v>105</v>
      </c>
      <c r="P58" s="52">
        <f>SUM(U49:V49)</f>
        <v>0</v>
      </c>
      <c r="Q58" s="1" t="s">
        <v>3</v>
      </c>
      <c r="R58" s="56">
        <f>P58/$J$34</f>
        <v>0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9"/>
        <v>10040.43168</v>
      </c>
      <c r="AB58" s="30">
        <v>383092.26908914821</v>
      </c>
      <c r="AC58" s="58">
        <f t="shared" si="37"/>
        <v>-2.1991953327751204</v>
      </c>
      <c r="AE58" s="108">
        <f>AE59-20</f>
        <v>-20</v>
      </c>
      <c r="AF58" s="109">
        <f t="shared" si="40"/>
        <v>94</v>
      </c>
      <c r="AG58" s="110">
        <v>391706.66375665372</v>
      </c>
      <c r="AH58" s="58">
        <f t="shared" si="41"/>
        <v>0</v>
      </c>
    </row>
    <row r="59" spans="1:34" x14ac:dyDescent="0.25">
      <c r="O59" s="1" t="s">
        <v>106</v>
      </c>
      <c r="P59" s="52">
        <f>W49</f>
        <v>-70899.07291199264</v>
      </c>
      <c r="Q59" s="1" t="s">
        <v>3</v>
      </c>
      <c r="R59" s="56">
        <f>P59/$J$34</f>
        <v>-0.22268695556251222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9"/>
        <v>11156.0352</v>
      </c>
      <c r="AB59" s="62">
        <v>391706.66375665372</v>
      </c>
      <c r="AC59" s="63">
        <f t="shared" si="37"/>
        <v>1.4860012938056297E-14</v>
      </c>
      <c r="AE59" s="111">
        <v>0</v>
      </c>
      <c r="AF59" s="112">
        <f t="shared" si="40"/>
        <v>117.5</v>
      </c>
      <c r="AG59" s="113">
        <v>391706.66375665372</v>
      </c>
      <c r="AH59" s="63">
        <f t="shared" si="41"/>
        <v>0</v>
      </c>
    </row>
    <row r="60" spans="1:34" x14ac:dyDescent="0.25">
      <c r="O60" s="12" t="s">
        <v>75</v>
      </c>
      <c r="P60" s="55">
        <f>SUM(P55:P59)</f>
        <v>391706.66375665378</v>
      </c>
      <c r="Q60" s="12" t="s">
        <v>3</v>
      </c>
      <c r="R60" s="57">
        <f>SUM(R55:R59)</f>
        <v>1.2303117776137125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9"/>
        <v>12271.638720000001</v>
      </c>
      <c r="AB60" s="30">
        <v>400321.05842415936</v>
      </c>
      <c r="AC60" s="58">
        <f t="shared" si="37"/>
        <v>2.1991953327751794</v>
      </c>
      <c r="AE60" s="108">
        <f>AE59+20</f>
        <v>20</v>
      </c>
      <c r="AF60" s="109">
        <f t="shared" si="40"/>
        <v>141</v>
      </c>
      <c r="AG60" s="110">
        <v>391706.66375665372</v>
      </c>
      <c r="AH60" s="58">
        <f t="shared" si="41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2">Z60+10</f>
        <v>20</v>
      </c>
      <c r="AA61" s="29">
        <f t="shared" si="39"/>
        <v>13387.24224</v>
      </c>
      <c r="AB61" s="30">
        <v>408935.45309166482</v>
      </c>
      <c r="AC61" s="58">
        <f t="shared" si="37"/>
        <v>4.3983906655503002</v>
      </c>
      <c r="AE61" s="108">
        <f t="shared" ref="AE61:AE64" si="43">AE60+20</f>
        <v>40</v>
      </c>
      <c r="AF61" s="109">
        <f t="shared" si="40"/>
        <v>164.5</v>
      </c>
      <c r="AG61" s="110">
        <v>391706.66375665372</v>
      </c>
      <c r="AH61" s="58">
        <f t="shared" si="41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2"/>
        <v>30</v>
      </c>
      <c r="AA62" s="29">
        <f t="shared" si="39"/>
        <v>14502.84576</v>
      </c>
      <c r="AB62" s="30">
        <v>417549.84775917034</v>
      </c>
      <c r="AC62" s="58">
        <f t="shared" si="37"/>
        <v>6.5975859983254352</v>
      </c>
      <c r="AE62" s="108">
        <f t="shared" si="43"/>
        <v>60</v>
      </c>
      <c r="AF62" s="109">
        <f t="shared" si="40"/>
        <v>188</v>
      </c>
      <c r="AG62" s="110">
        <v>391706.66375665372</v>
      </c>
      <c r="AH62" s="58">
        <f t="shared" si="41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2"/>
        <v>40</v>
      </c>
      <c r="AA63" s="29">
        <f t="shared" si="39"/>
        <v>15618.449279999999</v>
      </c>
      <c r="AB63" s="30">
        <v>426164.24242667592</v>
      </c>
      <c r="AC63" s="58">
        <f t="shared" si="37"/>
        <v>8.7967813311005845</v>
      </c>
      <c r="AE63" s="108">
        <f t="shared" si="43"/>
        <v>80</v>
      </c>
      <c r="AF63" s="109">
        <f t="shared" si="40"/>
        <v>211.5</v>
      </c>
      <c r="AG63" s="110">
        <v>391706.66375665372</v>
      </c>
      <c r="AH63" s="58">
        <f t="shared" si="41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2"/>
        <v>50</v>
      </c>
      <c r="AA64" s="29">
        <f t="shared" si="39"/>
        <v>16734.052800000001</v>
      </c>
      <c r="AB64" s="30">
        <v>434778.63709418138</v>
      </c>
      <c r="AC64" s="58">
        <f t="shared" si="37"/>
        <v>10.995976663875705</v>
      </c>
      <c r="AE64" s="108">
        <f t="shared" si="43"/>
        <v>100</v>
      </c>
      <c r="AF64" s="109">
        <f t="shared" si="40"/>
        <v>235</v>
      </c>
      <c r="AG64" s="110">
        <v>391706.66375665372</v>
      </c>
      <c r="AH64" s="58">
        <f t="shared" si="41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193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193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0.99</v>
      </c>
      <c r="AB68" s="110">
        <f>X49</f>
        <v>391706.66375665372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4">Z70-10</f>
        <v>-50</v>
      </c>
      <c r="AA69" s="130">
        <f>$AA$68*(1+(-Z69/100))</f>
        <v>1.4849999999999999</v>
      </c>
      <c r="AB69" s="110">
        <f t="dataTable" ref="AB69:AB79" dt2D="0" dtr="0" r1="J17" ca="1"/>
        <v>417079.44531990739</v>
      </c>
      <c r="AC69" s="131">
        <f>100*((AB69-$AB$74)/$AB$74)</f>
        <v>6.4774955115434061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4"/>
        <v>-40</v>
      </c>
      <c r="AA70" s="130">
        <f t="shared" ref="AA70:AA79" si="45">$AA$68*(1+(-Z70/100))</f>
        <v>1.3859999999999999</v>
      </c>
      <c r="AB70" s="110">
        <v>412004.88900725672</v>
      </c>
      <c r="AC70" s="131">
        <f t="shared" ref="AC70:AC79" si="46">100*((AB70-$AB$74)/$AB$74)</f>
        <v>5.1819964092347393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4"/>
        <v>-30</v>
      </c>
      <c r="AA71" s="130">
        <f t="shared" si="45"/>
        <v>1.2869999999999999</v>
      </c>
      <c r="AB71" s="110">
        <v>406930.33269460587</v>
      </c>
      <c r="AC71" s="131">
        <f t="shared" si="46"/>
        <v>3.8864973069260289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4"/>
        <v>-20</v>
      </c>
      <c r="AA72" s="130">
        <f t="shared" si="45"/>
        <v>1.1879999999999999</v>
      </c>
      <c r="AB72" s="110">
        <v>401855.77638195519</v>
      </c>
      <c r="AC72" s="131">
        <f t="shared" si="46"/>
        <v>2.5909982046173621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4"/>
        <v>-10</v>
      </c>
      <c r="AA73" s="130">
        <f t="shared" si="45"/>
        <v>1.089</v>
      </c>
      <c r="AB73" s="110">
        <v>396781.22006930452</v>
      </c>
      <c r="AC73" s="131">
        <f t="shared" si="46"/>
        <v>1.2954991023086959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5"/>
        <v>0.99</v>
      </c>
      <c r="AB74" s="113">
        <v>391706.66375665372</v>
      </c>
      <c r="AC74" s="133">
        <f t="shared" si="46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7">Z74+10</f>
        <v>10</v>
      </c>
      <c r="AA75" s="130">
        <f t="shared" si="45"/>
        <v>0.89100000000000001</v>
      </c>
      <c r="AB75" s="110">
        <v>386632.10744400311</v>
      </c>
      <c r="AC75" s="131">
        <f t="shared" si="46"/>
        <v>-1.2954991023086515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7"/>
        <v>20</v>
      </c>
      <c r="AA76" s="130">
        <f t="shared" si="45"/>
        <v>0.79200000000000004</v>
      </c>
      <c r="AB76" s="110">
        <v>381557.55113135237</v>
      </c>
      <c r="AC76" s="131">
        <f t="shared" si="46"/>
        <v>-2.5909982046173328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7"/>
        <v>30</v>
      </c>
      <c r="AA77" s="130">
        <f t="shared" si="45"/>
        <v>0.69299999999999995</v>
      </c>
      <c r="AB77" s="110">
        <v>376482.99481870164</v>
      </c>
      <c r="AC77" s="131">
        <f t="shared" si="46"/>
        <v>-3.8864973069260138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7"/>
        <v>40</v>
      </c>
      <c r="AA78" s="130">
        <f t="shared" si="45"/>
        <v>0.59399999999999997</v>
      </c>
      <c r="AB78" s="110">
        <v>371408.43850605091</v>
      </c>
      <c r="AC78" s="131">
        <f t="shared" si="46"/>
        <v>-5.1819964092346948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7"/>
        <v>50</v>
      </c>
      <c r="AA79" s="130">
        <f t="shared" si="45"/>
        <v>0.495</v>
      </c>
      <c r="AB79" s="110">
        <v>366333.88219340023</v>
      </c>
      <c r="AC79" s="131">
        <f t="shared" si="46"/>
        <v>-6.4774955115433617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CEA4906-483D-4CA5-BDDB-451A432225C5}">
          <x14:formula1>
            <xm:f>Description!$A$18:$A$19</xm:f>
          </x14:formula1>
          <xm:sqref>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FF4F-90AF-4B49-B33F-117EA852BAB8}">
  <sheetPr>
    <tabColor theme="4"/>
  </sheetPr>
  <dimension ref="A1:AL95"/>
  <sheetViews>
    <sheetView tabSelected="1" topLeftCell="F4" zoomScale="85" zoomScaleNormal="85" workbookViewId="0">
      <selection activeCell="P12" sqref="P12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5.28515625" style="1" bestFit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6.2851562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292846.66410324705</v>
      </c>
      <c r="C2" s="12" t="s">
        <v>3</v>
      </c>
    </row>
    <row r="3" spans="1:27" x14ac:dyDescent="0.25">
      <c r="B3" s="44">
        <f>B2/F41</f>
        <v>0.9198023245908884</v>
      </c>
      <c r="C3" s="12" t="s">
        <v>58</v>
      </c>
    </row>
    <row r="4" spans="1:27" x14ac:dyDescent="0.25">
      <c r="A4" s="12" t="s">
        <v>60</v>
      </c>
      <c r="J4" s="77"/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J5" s="77"/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146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8">
        <v>2515217290.3225803</v>
      </c>
      <c r="K8" s="1" t="s">
        <v>134</v>
      </c>
      <c r="L8" s="9"/>
      <c r="N8" s="31">
        <v>0</v>
      </c>
      <c r="O8" s="33">
        <f>F31</f>
        <v>38774.777939335814</v>
      </c>
      <c r="P8" s="31"/>
      <c r="Q8" s="31"/>
      <c r="R8" s="31"/>
      <c r="S8" s="92"/>
      <c r="T8" s="31"/>
      <c r="U8" s="34">
        <f t="shared" ref="U8:U48" si="0">SUM(O8:T8)</f>
        <v>38774.777939335814</v>
      </c>
      <c r="V8" s="19"/>
      <c r="W8" s="39" t="s">
        <v>180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0.49</v>
      </c>
      <c r="K9" s="1" t="s">
        <v>57</v>
      </c>
      <c r="L9" s="9"/>
      <c r="N9" s="31">
        <v>1</v>
      </c>
      <c r="O9" s="31"/>
      <c r="P9" s="35">
        <f t="shared" ref="P9:P48" si="1">IF(N9&gt;0,IF(N9&lt;=$J$15,(($F$32+$F$33)/$J$15)/((1+($F$11/100))^N9),0),0)</f>
        <v>23859.413358671303</v>
      </c>
      <c r="Q9" s="36">
        <f t="shared" ref="Q9:Q48" si="2">IF(N9&gt;0,($F$38*((1+($F$14/100))^(N9-1)))/((1+($F$11/100))^N9),0)</f>
        <v>12861.857294545811</v>
      </c>
      <c r="R9" s="37">
        <f t="shared" ref="R9:R48" si="3">IF(N9&gt;0,$J$31/((1+($F$11/100))^N9),0)</f>
        <v>6557.5319705438351</v>
      </c>
      <c r="S9" s="37">
        <v>0</v>
      </c>
      <c r="T9" s="35">
        <f t="shared" ref="T9:T48" si="4">IF(N9=$B$5,((((1-$J$11/100)^N9)*$B$40)/((1+($F$11/100))^N9))*-1,0)</f>
        <v>0</v>
      </c>
      <c r="U9" s="34">
        <f t="shared" si="0"/>
        <v>43278.802623760952</v>
      </c>
      <c r="V9" s="19"/>
      <c r="W9" s="39" t="s">
        <v>173</v>
      </c>
      <c r="X9" s="73">
        <f>B44</f>
        <v>129249.25979778604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1"/>
        <v>22723.250817782191</v>
      </c>
      <c r="Q10" s="36">
        <f t="shared" si="2"/>
        <v>12371.881778563113</v>
      </c>
      <c r="R10" s="37">
        <f t="shared" si="3"/>
        <v>6245.2685433750812</v>
      </c>
      <c r="S10" s="37">
        <v>0</v>
      </c>
      <c r="T10" s="35">
        <f t="shared" si="4"/>
        <v>0</v>
      </c>
      <c r="U10" s="34">
        <f t="shared" si="0"/>
        <v>41340.401139720387</v>
      </c>
      <c r="V10" s="19"/>
      <c r="W10" s="39" t="s">
        <v>110</v>
      </c>
      <c r="X10" s="74">
        <f>F12</f>
        <v>31838</v>
      </c>
      <c r="Y10" s="39" t="s">
        <v>37</v>
      </c>
      <c r="AA10" s="2"/>
    </row>
    <row r="11" spans="1:27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1"/>
        <v>21641.191255030659</v>
      </c>
      <c r="Q11" s="36">
        <f t="shared" si="2"/>
        <v>11900.571996522613</v>
      </c>
      <c r="R11" s="37">
        <f t="shared" si="3"/>
        <v>5947.8748032143621</v>
      </c>
      <c r="S11" s="37">
        <v>0</v>
      </c>
      <c r="T11" s="35">
        <f t="shared" si="4"/>
        <v>0</v>
      </c>
      <c r="U11" s="34">
        <f t="shared" si="0"/>
        <v>39489.638054767638</v>
      </c>
      <c r="V11" s="19"/>
      <c r="W11" s="79" t="s">
        <v>67</v>
      </c>
      <c r="X11" s="43">
        <f>J33</f>
        <v>6622.3039999999992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31838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1"/>
        <v>20610.658338124438</v>
      </c>
      <c r="Q12" s="36">
        <f t="shared" si="2"/>
        <v>11447.21687284556</v>
      </c>
      <c r="R12" s="37">
        <f t="shared" si="3"/>
        <v>5664.6426697279649</v>
      </c>
      <c r="S12" s="37">
        <v>0</v>
      </c>
      <c r="T12" s="35">
        <f t="shared" si="4"/>
        <v>0</v>
      </c>
      <c r="U12" s="34">
        <f t="shared" si="0"/>
        <v>37722.517880697967</v>
      </c>
      <c r="V12" s="19"/>
      <c r="W12" s="98" t="s">
        <v>193</v>
      </c>
      <c r="X12" s="105">
        <f>J9</f>
        <v>0.49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142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1"/>
        <v>19629.198417261367</v>
      </c>
      <c r="Q13" s="36">
        <f t="shared" si="2"/>
        <v>11011.132420546683</v>
      </c>
      <c r="R13" s="37">
        <f t="shared" si="3"/>
        <v>5394.897780693299</v>
      </c>
      <c r="S13" s="37">
        <f>IF(N13&gt;0,($F$15/$B$8)/((1+($F$11/100))^N13),0)</f>
        <v>7738.5378797777248</v>
      </c>
      <c r="T13" s="35">
        <f t="shared" si="4"/>
        <v>0</v>
      </c>
      <c r="U13" s="34">
        <f t="shared" si="0"/>
        <v>43773.766498279067</v>
      </c>
      <c r="V13" s="19"/>
      <c r="AA13" s="2"/>
    </row>
    <row r="14" spans="1:27" x14ac:dyDescent="0.25">
      <c r="A14" s="21" t="s">
        <v>144</v>
      </c>
      <c r="B14" s="1">
        <v>0</v>
      </c>
      <c r="C14" s="1" t="s">
        <v>128</v>
      </c>
      <c r="E14" s="22" t="s">
        <v>143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1"/>
        <v>0</v>
      </c>
      <c r="Q14" s="36">
        <f t="shared" si="2"/>
        <v>10591.660709287762</v>
      </c>
      <c r="R14" s="37">
        <f t="shared" si="3"/>
        <v>5137.9978863745719</v>
      </c>
      <c r="S14" s="37">
        <v>0</v>
      </c>
      <c r="T14" s="35">
        <f t="shared" si="4"/>
        <v>0</v>
      </c>
      <c r="U14" s="34">
        <f t="shared" si="0"/>
        <v>15729.658595662335</v>
      </c>
      <c r="V14" s="19"/>
      <c r="AA14" s="2"/>
    </row>
    <row r="15" spans="1:27" x14ac:dyDescent="0.25">
      <c r="A15" s="1" t="s">
        <v>148</v>
      </c>
      <c r="B15" s="1">
        <v>30</v>
      </c>
      <c r="C15" s="1" t="s">
        <v>4</v>
      </c>
      <c r="E15" s="38" t="s">
        <v>201</v>
      </c>
      <c r="F15" s="89">
        <v>243700000</v>
      </c>
      <c r="G15" s="39" t="s">
        <v>141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1"/>
        <v>0</v>
      </c>
      <c r="Q15" s="36">
        <f t="shared" si="2"/>
        <v>10188.168872743465</v>
      </c>
      <c r="R15" s="37">
        <f t="shared" si="3"/>
        <v>4893.3313203567341</v>
      </c>
      <c r="S15" s="37">
        <v>0</v>
      </c>
      <c r="T15" s="35">
        <f t="shared" si="4"/>
        <v>0</v>
      </c>
      <c r="U15" s="34">
        <f t="shared" si="0"/>
        <v>15081.500193100199</v>
      </c>
      <c r="V15" s="19"/>
      <c r="AA15" s="2"/>
    </row>
    <row r="16" spans="1:27" ht="30" x14ac:dyDescent="0.25">
      <c r="A16" s="21" t="s">
        <v>8</v>
      </c>
      <c r="B16" s="1">
        <v>0</v>
      </c>
      <c r="C16" s="1" t="s">
        <v>4</v>
      </c>
      <c r="E16" s="139" t="s">
        <v>199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1"/>
        <v>0</v>
      </c>
      <c r="Q16" s="36">
        <f t="shared" si="2"/>
        <v>9800.0481537818087</v>
      </c>
      <c r="R16" s="37">
        <f t="shared" si="3"/>
        <v>4660.3155431968898</v>
      </c>
      <c r="S16" s="37">
        <v>0</v>
      </c>
      <c r="T16" s="35">
        <f t="shared" si="4"/>
        <v>0</v>
      </c>
      <c r="U16" s="34">
        <f t="shared" si="0"/>
        <v>14460.363696978698</v>
      </c>
      <c r="V16" s="19"/>
      <c r="AA16" s="2"/>
    </row>
    <row r="17" spans="1:38" x14ac:dyDescent="0.25">
      <c r="A17" s="1" t="s">
        <v>149</v>
      </c>
      <c r="B17" s="1">
        <v>0</v>
      </c>
      <c r="C17" s="1" t="s">
        <v>4</v>
      </c>
      <c r="E17" s="22" t="s">
        <v>200</v>
      </c>
      <c r="F17" s="2">
        <v>200000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1"/>
        <v>0</v>
      </c>
      <c r="Q17" s="36">
        <f t="shared" si="2"/>
        <v>9426.7129860186942</v>
      </c>
      <c r="R17" s="37">
        <f t="shared" si="3"/>
        <v>4438.3957554256094</v>
      </c>
      <c r="S17" s="37">
        <v>0</v>
      </c>
      <c r="T17" s="35">
        <f t="shared" si="4"/>
        <v>0</v>
      </c>
      <c r="U17" s="34">
        <f t="shared" si="0"/>
        <v>13865.108741444303</v>
      </c>
      <c r="V17" s="19"/>
      <c r="AA17" s="2"/>
    </row>
    <row r="18" spans="1:38" x14ac:dyDescent="0.25">
      <c r="A18" s="21" t="s">
        <v>14</v>
      </c>
      <c r="B18" s="1">
        <v>10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1"/>
        <v>0</v>
      </c>
      <c r="Q18" s="36">
        <f t="shared" si="2"/>
        <v>9067.6001103608396</v>
      </c>
      <c r="R18" s="37">
        <f t="shared" si="3"/>
        <v>4227.0435765958182</v>
      </c>
      <c r="S18" s="37">
        <f>IF(N18&gt;0,($F$15/$B$8)/((1+($F$11/100))^N18),0)</f>
        <v>6063.3469190131982</v>
      </c>
      <c r="T18" s="35">
        <f t="shared" si="4"/>
        <v>-30027.861866470197</v>
      </c>
      <c r="U18" s="34">
        <f t="shared" si="0"/>
        <v>-10669.871260500342</v>
      </c>
      <c r="V18" s="19"/>
      <c r="AA18" s="2"/>
    </row>
    <row r="19" spans="1:38" x14ac:dyDescent="0.25">
      <c r="A19" s="91" t="s">
        <v>182</v>
      </c>
      <c r="B19" s="77">
        <v>20000000</v>
      </c>
      <c r="C19" s="1" t="s">
        <v>134</v>
      </c>
      <c r="E19" s="22" t="s">
        <v>181</v>
      </c>
      <c r="F19" s="2">
        <v>4632000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v>0</v>
      </c>
      <c r="T19" s="35">
        <f t="shared" si="4"/>
        <v>0</v>
      </c>
      <c r="U19" s="34">
        <f t="shared" si="0"/>
        <v>0</v>
      </c>
      <c r="V19" s="19"/>
      <c r="AA19" s="2"/>
    </row>
    <row r="20" spans="1:38" x14ac:dyDescent="0.25">
      <c r="E20" s="22" t="s">
        <v>67</v>
      </c>
      <c r="F20" s="43">
        <v>5132.3167999999996</v>
      </c>
      <c r="G20" s="1" t="s">
        <v>152</v>
      </c>
      <c r="H20" s="9"/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v>0</v>
      </c>
      <c r="T20" s="35">
        <f t="shared" si="4"/>
        <v>0</v>
      </c>
      <c r="U20" s="34">
        <f t="shared" si="0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v>0</v>
      </c>
      <c r="T21" s="35">
        <f t="shared" si="4"/>
        <v>0</v>
      </c>
      <c r="U21" s="34">
        <f t="shared" si="0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185</v>
      </c>
      <c r="AH21" s="125" t="s">
        <v>186</v>
      </c>
      <c r="AI21" s="125" t="s">
        <v>142</v>
      </c>
      <c r="AJ21" s="125" t="s">
        <v>189</v>
      </c>
      <c r="AK21" s="125" t="s">
        <v>188</v>
      </c>
      <c r="AL21" s="27" t="s">
        <v>193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v>0</v>
      </c>
      <c r="T22" s="35">
        <f t="shared" si="4"/>
        <v>0</v>
      </c>
      <c r="U22" s="34">
        <f t="shared" si="0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-25.139178309761277</v>
      </c>
      <c r="AI22" s="127">
        <f>Z24</f>
        <v>-18.553540899633468</v>
      </c>
      <c r="AJ22" s="128">
        <f t="shared" ref="AJ22:AJ32" si="6">Z39</f>
        <v>-8.7307936843104592</v>
      </c>
      <c r="AK22" s="128">
        <f t="shared" ref="AK22:AK32" si="7">AE39</f>
        <v>-27.284334583943938</v>
      </c>
      <c r="AL22" s="71">
        <f>Z54</f>
        <v>18.553540899633475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>IF(N23&gt;0,($F$15/$B$8)/((1+($F$11/100))^N23),0)</f>
        <v>0</v>
      </c>
      <c r="T23" s="35">
        <f t="shared" si="4"/>
        <v>0</v>
      </c>
      <c r="U23" s="34">
        <f t="shared" si="0"/>
        <v>0</v>
      </c>
      <c r="V23" s="19"/>
      <c r="W23" s="24" t="s">
        <v>79</v>
      </c>
      <c r="X23" s="28">
        <v>0.8656675285516281</v>
      </c>
      <c r="Y23" s="26">
        <f>U49</f>
        <v>292846.66410324705</v>
      </c>
      <c r="Z23" s="24"/>
      <c r="AB23" s="24" t="s">
        <v>79</v>
      </c>
      <c r="AC23" s="29">
        <v>129249.25979778604</v>
      </c>
      <c r="AD23" s="30">
        <f>U49</f>
        <v>292846.66410324705</v>
      </c>
      <c r="AE23" s="24"/>
      <c r="AG23" s="126">
        <v>-40</v>
      </c>
      <c r="AH23" s="127">
        <f>AE25</f>
        <v>-20.111342647809028</v>
      </c>
      <c r="AI23" s="127">
        <f t="shared" ref="AI23:AI32" si="8">Z25</f>
        <v>-14.842832719706795</v>
      </c>
      <c r="AJ23" s="128">
        <f t="shared" si="6"/>
        <v>-6.9846349474483596</v>
      </c>
      <c r="AK23" s="128">
        <f t="shared" si="7"/>
        <v>-21.827467667155155</v>
      </c>
      <c r="AL23" s="71">
        <f t="shared" ref="AL23:AL32" si="9">Z55</f>
        <v>14.842832719706745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v>0</v>
      </c>
      <c r="T24" s="35">
        <f t="shared" si="4"/>
        <v>0</v>
      </c>
      <c r="U24" s="34">
        <f t="shared" si="0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238513.23850563887</v>
      </c>
      <c r="Z24" s="58">
        <f>100*((Y24-$Y$29)/$Y$29)</f>
        <v>-18.553540899633468</v>
      </c>
      <c r="AB24" s="24">
        <f t="shared" ref="AB24:AB27" si="12">AB25-10</f>
        <v>-50</v>
      </c>
      <c r="AC24" s="25">
        <f>$AC$23*(1+(AB24/100))</f>
        <v>64624.629898893021</v>
      </c>
      <c r="AD24" s="30">
        <f t="dataTable" ref="AD24:AD34" dt2D="0" dtr="0" r1="B44" ca="1"/>
        <v>219227.4190401441</v>
      </c>
      <c r="AE24" s="58">
        <f t="shared" ref="AE24:AE34" si="13">100*((AD24-$AD$29)/$AD$29)</f>
        <v>-25.139178309761277</v>
      </c>
      <c r="AG24" s="126">
        <v>-30</v>
      </c>
      <c r="AH24" s="127">
        <f t="shared" ref="AH24:AH32" si="14">AE26</f>
        <v>-15.083506985856779</v>
      </c>
      <c r="AI24" s="127">
        <f t="shared" si="8"/>
        <v>-11.132124539780113</v>
      </c>
      <c r="AJ24" s="128">
        <f t="shared" si="6"/>
        <v>-5.238476210586299</v>
      </c>
      <c r="AK24" s="128">
        <f t="shared" si="7"/>
        <v>-16.370600750366343</v>
      </c>
      <c r="AL24" s="71">
        <f t="shared" si="9"/>
        <v>11.132124539780055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v>0</v>
      </c>
      <c r="T25" s="35">
        <f t="shared" si="4"/>
        <v>0</v>
      </c>
      <c r="U25" s="34">
        <f t="shared" si="0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249379.92362516045</v>
      </c>
      <c r="Z25" s="58">
        <f t="shared" ref="Z25:Z34" si="15">100*((Y25-$Y$29)/$Y$29)</f>
        <v>-14.842832719706795</v>
      </c>
      <c r="AB25" s="24">
        <f t="shared" si="12"/>
        <v>-40</v>
      </c>
      <c r="AC25" s="25">
        <f t="shared" ref="AC25:AC28" si="16">$AC$23*(1+(AB25/100))</f>
        <v>77549.555878671628</v>
      </c>
      <c r="AD25" s="30">
        <v>233951.26805276467</v>
      </c>
      <c r="AE25" s="58">
        <f t="shared" si="13"/>
        <v>-20.111342647809028</v>
      </c>
      <c r="AG25" s="126">
        <v>-20</v>
      </c>
      <c r="AH25" s="127">
        <f t="shared" si="14"/>
        <v>-10.055671323904539</v>
      </c>
      <c r="AI25" s="127">
        <f t="shared" si="8"/>
        <v>-7.4214163598534029</v>
      </c>
      <c r="AJ25" s="128">
        <f t="shared" si="6"/>
        <v>-3.4923174737241998</v>
      </c>
      <c r="AK25" s="128">
        <f t="shared" si="7"/>
        <v>-10.913733833577561</v>
      </c>
      <c r="AL25" s="71">
        <f t="shared" si="9"/>
        <v>7.4214163598533816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v>0</v>
      </c>
      <c r="T26" s="35">
        <f t="shared" si="4"/>
        <v>0</v>
      </c>
      <c r="U26" s="34">
        <f t="shared" si="0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260246.60874468205</v>
      </c>
      <c r="Z26" s="58">
        <f t="shared" si="15"/>
        <v>-11.132124539780113</v>
      </c>
      <c r="AB26" s="24">
        <f t="shared" si="12"/>
        <v>-30</v>
      </c>
      <c r="AC26" s="25">
        <f t="shared" si="16"/>
        <v>90474.481858450221</v>
      </c>
      <c r="AD26" s="30">
        <v>248675.11706538525</v>
      </c>
      <c r="AE26" s="58">
        <f t="shared" si="13"/>
        <v>-15.083506985856779</v>
      </c>
      <c r="AG26" s="126">
        <v>-10</v>
      </c>
      <c r="AH26" s="127">
        <f t="shared" si="14"/>
        <v>-5.02783566195225</v>
      </c>
      <c r="AI26" s="127">
        <f t="shared" si="8"/>
        <v>-3.7107081799267112</v>
      </c>
      <c r="AJ26" s="128">
        <f t="shared" si="6"/>
        <v>-1.7461587368620999</v>
      </c>
      <c r="AK26" s="128">
        <f t="shared" si="7"/>
        <v>-5.4568669167888109</v>
      </c>
      <c r="AL26" s="71">
        <f t="shared" si="9"/>
        <v>3.7107081799266717</v>
      </c>
    </row>
    <row r="27" spans="1:38" x14ac:dyDescent="0.25">
      <c r="J27" s="2"/>
      <c r="N27" s="31">
        <f t="shared" si="5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v>0</v>
      </c>
      <c r="T27" s="35">
        <f t="shared" si="4"/>
        <v>0</v>
      </c>
      <c r="U27" s="34">
        <f t="shared" si="0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271113.29386420373</v>
      </c>
      <c r="Z27" s="58">
        <f t="shared" si="15"/>
        <v>-7.4214163598534029</v>
      </c>
      <c r="AB27" s="24">
        <f t="shared" si="12"/>
        <v>-20</v>
      </c>
      <c r="AC27" s="25">
        <f t="shared" si="16"/>
        <v>103399.40783822884</v>
      </c>
      <c r="AD27" s="30">
        <v>263398.96607800579</v>
      </c>
      <c r="AE27" s="58">
        <f t="shared" si="13"/>
        <v>-10.055671323904539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>IF(N28&gt;0,($F$15/$B$8)/((1+($F$11/100))^N28),0)</f>
        <v>0</v>
      </c>
      <c r="T28" s="35">
        <f t="shared" si="4"/>
        <v>0</v>
      </c>
      <c r="U28" s="34">
        <f t="shared" si="0"/>
        <v>0</v>
      </c>
      <c r="V28" s="19"/>
      <c r="W28" s="24">
        <f>W29-10</f>
        <v>-10</v>
      </c>
      <c r="X28" s="28">
        <f t="shared" si="11"/>
        <v>0.7791007756964653</v>
      </c>
      <c r="Y28" s="30">
        <v>281979.97898372536</v>
      </c>
      <c r="Z28" s="58">
        <f t="shared" si="15"/>
        <v>-3.7107081799267112</v>
      </c>
      <c r="AB28" s="24">
        <f>AB29-10</f>
        <v>-10</v>
      </c>
      <c r="AC28" s="25">
        <f t="shared" si="16"/>
        <v>116324.33381800744</v>
      </c>
      <c r="AD28" s="30">
        <v>278122.81509062648</v>
      </c>
      <c r="AE28" s="58">
        <f t="shared" si="13"/>
        <v>-5.02783566195225</v>
      </c>
      <c r="AG28" s="126">
        <v>10</v>
      </c>
      <c r="AH28" s="127">
        <f t="shared" si="14"/>
        <v>5.02783566195225</v>
      </c>
      <c r="AI28" s="127">
        <f t="shared" si="8"/>
        <v>3.7107081799266717</v>
      </c>
      <c r="AJ28" s="128">
        <f t="shared" si="6"/>
        <v>1.7461587368620599</v>
      </c>
      <c r="AK28" s="128">
        <f t="shared" si="7"/>
        <v>5.4568669167887913</v>
      </c>
      <c r="AL28" s="71">
        <f t="shared" si="9"/>
        <v>-3.7107081799267112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v>0</v>
      </c>
      <c r="T29" s="35">
        <f t="shared" si="4"/>
        <v>0</v>
      </c>
      <c r="U29" s="34">
        <f t="shared" si="0"/>
        <v>0</v>
      </c>
      <c r="V29" s="19"/>
      <c r="W29" s="60">
        <v>0</v>
      </c>
      <c r="X29" s="64">
        <f>$X$23*(1+(W29/100))</f>
        <v>0.8656675285516281</v>
      </c>
      <c r="Y29" s="62">
        <v>292846.66410324705</v>
      </c>
      <c r="Z29" s="63">
        <f t="shared" si="15"/>
        <v>0</v>
      </c>
      <c r="AB29" s="60">
        <v>0</v>
      </c>
      <c r="AC29" s="65">
        <f>$AC$23*(1+(AB29/100))</f>
        <v>129249.25979778604</v>
      </c>
      <c r="AD29" s="62">
        <v>292846.66410324705</v>
      </c>
      <c r="AE29" s="63">
        <f t="shared" si="13"/>
        <v>0</v>
      </c>
      <c r="AG29" s="126">
        <v>20</v>
      </c>
      <c r="AH29" s="127">
        <f t="shared" si="14"/>
        <v>10.055671323904479</v>
      </c>
      <c r="AI29" s="127">
        <f t="shared" si="8"/>
        <v>7.4214163598533816</v>
      </c>
      <c r="AJ29" s="128">
        <f t="shared" si="6"/>
        <v>3.4923174737241593</v>
      </c>
      <c r="AK29" s="128">
        <f t="shared" si="7"/>
        <v>10.913733833577561</v>
      </c>
      <c r="AL29" s="71">
        <f t="shared" si="9"/>
        <v>-7.4214163598534029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v>0</v>
      </c>
      <c r="T30" s="35">
        <f t="shared" si="4"/>
        <v>0</v>
      </c>
      <c r="U30" s="34">
        <f t="shared" si="0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303713.34922276862</v>
      </c>
      <c r="Z30" s="58">
        <f t="shared" si="15"/>
        <v>3.7107081799266717</v>
      </c>
      <c r="AB30" s="24">
        <f>AB29+10</f>
        <v>10</v>
      </c>
      <c r="AC30" s="25">
        <f t="shared" ref="AC30:AC34" si="18">$AC$23*(1+(AB30/100))</f>
        <v>142174.18577756465</v>
      </c>
      <c r="AD30" s="30">
        <v>307570.51311586762</v>
      </c>
      <c r="AE30" s="58">
        <f t="shared" si="13"/>
        <v>5.02783566195225</v>
      </c>
      <c r="AG30" s="126">
        <v>30</v>
      </c>
      <c r="AH30" s="127">
        <f t="shared" si="14"/>
        <v>15.083506985856749</v>
      </c>
      <c r="AI30" s="127">
        <f t="shared" si="8"/>
        <v>11.132124539780055</v>
      </c>
      <c r="AJ30" s="128">
        <f t="shared" si="6"/>
        <v>5.2384762105862599</v>
      </c>
      <c r="AK30" s="128">
        <f t="shared" si="7"/>
        <v>16.370600750366311</v>
      </c>
      <c r="AL30" s="71">
        <f t="shared" si="9"/>
        <v>-11.132124539780113</v>
      </c>
    </row>
    <row r="31" spans="1:38" x14ac:dyDescent="0.25">
      <c r="A31" s="21" t="s">
        <v>171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38774.777939335814</v>
      </c>
      <c r="G31" s="1" t="s">
        <v>3</v>
      </c>
      <c r="I31" s="12" t="s">
        <v>174</v>
      </c>
      <c r="J31" s="47">
        <f>SUM(J32:J36)</f>
        <v>6885.4085690710272</v>
      </c>
      <c r="K31" s="12" t="s">
        <v>46</v>
      </c>
      <c r="L31" s="9"/>
      <c r="N31" s="31">
        <f t="shared" si="5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v>0</v>
      </c>
      <c r="T31" s="35">
        <f t="shared" si="4"/>
        <v>0</v>
      </c>
      <c r="U31" s="34">
        <f t="shared" si="0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314580.03434229031</v>
      </c>
      <c r="Z31" s="58">
        <f t="shared" si="15"/>
        <v>7.4214163598533816</v>
      </c>
      <c r="AB31" s="24">
        <f t="shared" ref="AB31:AB34" si="20">AB30+10</f>
        <v>20</v>
      </c>
      <c r="AC31" s="25">
        <f t="shared" si="18"/>
        <v>155099.11175734326</v>
      </c>
      <c r="AD31" s="30">
        <v>322294.36212848814</v>
      </c>
      <c r="AE31" s="58">
        <f t="shared" si="13"/>
        <v>10.055671323904479</v>
      </c>
      <c r="AG31" s="126">
        <v>40</v>
      </c>
      <c r="AH31" s="127">
        <f t="shared" si="14"/>
        <v>20.111342647809</v>
      </c>
      <c r="AI31" s="127">
        <f t="shared" si="8"/>
        <v>14.842832719706745</v>
      </c>
      <c r="AJ31" s="128">
        <f t="shared" si="6"/>
        <v>6.98463494744834</v>
      </c>
      <c r="AK31" s="128">
        <f t="shared" si="7"/>
        <v>21.827467667155144</v>
      </c>
      <c r="AL31" s="71">
        <f t="shared" si="9"/>
        <v>-14.842832719706795</v>
      </c>
    </row>
    <row r="32" spans="1:38" ht="30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90474.481858450221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v>0</v>
      </c>
      <c r="T32" s="35">
        <f t="shared" si="4"/>
        <v>0</v>
      </c>
      <c r="U32" s="34">
        <f t="shared" si="0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325446.71946181188</v>
      </c>
      <c r="Z32" s="58">
        <f t="shared" si="15"/>
        <v>11.132124539780055</v>
      </c>
      <c r="AB32" s="24">
        <f t="shared" si="20"/>
        <v>30</v>
      </c>
      <c r="AC32" s="25">
        <f t="shared" si="18"/>
        <v>168024.03773712186</v>
      </c>
      <c r="AD32" s="30">
        <v>337018.21114110877</v>
      </c>
      <c r="AE32" s="58">
        <f t="shared" si="13"/>
        <v>15.083506985856749</v>
      </c>
      <c r="AG32" s="126">
        <v>50</v>
      </c>
      <c r="AH32" s="127">
        <f t="shared" si="14"/>
        <v>25.139178309761267</v>
      </c>
      <c r="AI32" s="127">
        <f t="shared" si="8"/>
        <v>18.553540899633475</v>
      </c>
      <c r="AJ32" s="128">
        <f t="shared" si="6"/>
        <v>8.7307936843104397</v>
      </c>
      <c r="AK32" s="128">
        <f t="shared" si="7"/>
        <v>27.284334583943874</v>
      </c>
      <c r="AL32" s="71">
        <f t="shared" si="9"/>
        <v>-18.553540899633468</v>
      </c>
    </row>
    <row r="33" spans="1:31" x14ac:dyDescent="0.25">
      <c r="A33" s="21" t="s">
        <v>6</v>
      </c>
      <c r="B33" s="18">
        <f>IF(B13=0,0,(B13/100)*$B$41)</f>
        <v>13251.612903225807</v>
      </c>
      <c r="C33" s="1" t="s">
        <v>3</v>
      </c>
      <c r="E33" s="22" t="s">
        <v>65</v>
      </c>
      <c r="F33" s="10">
        <f>F32*(F21/100)*J15</f>
        <v>34787.438274574117</v>
      </c>
      <c r="G33" s="1" t="s">
        <v>3</v>
      </c>
      <c r="I33" s="22" t="s">
        <v>67</v>
      </c>
      <c r="J33" s="46">
        <f>F20*F12/B8</f>
        <v>6622.3039999999992</v>
      </c>
      <c r="K33" s="1" t="s">
        <v>46</v>
      </c>
      <c r="L33" s="9"/>
      <c r="N33" s="31">
        <f t="shared" si="5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>IF(N33&gt;0,($F$15/$B$8)/((1+($F$11/100))^N33),0)</f>
        <v>0</v>
      </c>
      <c r="T33" s="35">
        <f t="shared" si="4"/>
        <v>0</v>
      </c>
      <c r="U33" s="34">
        <f t="shared" si="0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336313.40458133351</v>
      </c>
      <c r="Z33" s="58">
        <f t="shared" si="15"/>
        <v>14.842832719706745</v>
      </c>
      <c r="AB33" s="24">
        <f t="shared" si="20"/>
        <v>40</v>
      </c>
      <c r="AC33" s="25">
        <f t="shared" si="18"/>
        <v>180948.96371690044</v>
      </c>
      <c r="AD33" s="30">
        <v>351742.06015372934</v>
      </c>
      <c r="AE33" s="58">
        <f t="shared" si="13"/>
        <v>20.111342647809</v>
      </c>
    </row>
    <row r="34" spans="1:31" x14ac:dyDescent="0.25">
      <c r="A34" s="21" t="s">
        <v>144</v>
      </c>
      <c r="B34" s="18">
        <f>IF(B14=0,0,(B14/100)*$B$41)</f>
        <v>0</v>
      </c>
      <c r="C34" s="1" t="s">
        <v>3</v>
      </c>
      <c r="F34" s="46"/>
      <c r="I34" s="22" t="s">
        <v>181</v>
      </c>
      <c r="J34" s="20">
        <f>F19/$B$8</f>
        <v>187.72340787692607</v>
      </c>
      <c r="K34" s="1" t="s">
        <v>46</v>
      </c>
      <c r="L34" s="9"/>
      <c r="N34" s="31">
        <f t="shared" si="5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v>0</v>
      </c>
      <c r="T34" s="35">
        <f t="shared" si="4"/>
        <v>0</v>
      </c>
      <c r="U34" s="34">
        <f t="shared" si="0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347180.08970085526</v>
      </c>
      <c r="Z34" s="58">
        <f t="shared" si="15"/>
        <v>18.553540899633475</v>
      </c>
      <c r="AB34" s="24">
        <f t="shared" si="20"/>
        <v>50</v>
      </c>
      <c r="AC34" s="25">
        <f t="shared" si="18"/>
        <v>193873.88969667908</v>
      </c>
      <c r="AD34" s="30">
        <v>366465.90916634997</v>
      </c>
      <c r="AE34" s="58">
        <f t="shared" si="13"/>
        <v>25.139178309761267</v>
      </c>
    </row>
    <row r="35" spans="1:31" x14ac:dyDescent="0.25">
      <c r="A35" s="21" t="s">
        <v>14</v>
      </c>
      <c r="B35" s="18">
        <f>IF(B18=0,0,(B18/100)*$B$41)</f>
        <v>13251.612903225807</v>
      </c>
      <c r="C35" s="1" t="s">
        <v>3</v>
      </c>
      <c r="E35" s="12" t="s">
        <v>97</v>
      </c>
      <c r="I35" s="22" t="s">
        <v>136</v>
      </c>
      <c r="J35" s="13">
        <f>F17/$B$8</f>
        <v>8.1055012036669289</v>
      </c>
      <c r="K35" s="1" t="s">
        <v>46</v>
      </c>
      <c r="L35" s="9"/>
      <c r="N35" s="31">
        <f t="shared" si="5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v>0</v>
      </c>
      <c r="T35" s="35">
        <f t="shared" si="4"/>
        <v>0</v>
      </c>
      <c r="U35" s="34">
        <f t="shared" si="0"/>
        <v>0</v>
      </c>
      <c r="V35" s="19"/>
    </row>
    <row r="36" spans="1:31" x14ac:dyDescent="0.25">
      <c r="A36" s="91" t="s">
        <v>182</v>
      </c>
      <c r="B36" s="18">
        <f>IF(B19=0,0,(B19/B8))</f>
        <v>810.55012036669291</v>
      </c>
      <c r="C36" s="1" t="s">
        <v>3</v>
      </c>
      <c r="E36" s="22" t="s">
        <v>175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v>0</v>
      </c>
      <c r="T36" s="35">
        <f t="shared" si="4"/>
        <v>0</v>
      </c>
      <c r="U36" s="34">
        <f t="shared" si="0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176</v>
      </c>
      <c r="F37" s="48">
        <f>F36*J9</f>
        <v>0.42417708899029777</v>
      </c>
      <c r="G37" s="1" t="s">
        <v>58</v>
      </c>
      <c r="L37" s="9"/>
      <c r="N37" s="31">
        <f t="shared" si="5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v>0</v>
      </c>
      <c r="T37" s="35">
        <f t="shared" si="4"/>
        <v>0</v>
      </c>
      <c r="U37" s="34">
        <f t="shared" si="0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13504.950159273101</v>
      </c>
      <c r="G38" t="s">
        <v>46</v>
      </c>
      <c r="L38" s="9"/>
      <c r="N38" s="31">
        <f t="shared" si="5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>IF(N38&gt;0,($F$15/$B$8)/((1+($F$11/100))^N38),0)</f>
        <v>0</v>
      </c>
      <c r="T38" s="35">
        <f t="shared" si="4"/>
        <v>0</v>
      </c>
      <c r="U38" s="34">
        <f t="shared" si="0"/>
        <v>0</v>
      </c>
      <c r="V38" s="19"/>
      <c r="W38" s="24" t="s">
        <v>79</v>
      </c>
      <c r="X38" s="28">
        <v>6622.3039999999992</v>
      </c>
      <c r="Y38" s="26">
        <f>U49</f>
        <v>292846.66410324705</v>
      </c>
      <c r="Z38" s="24"/>
      <c r="AB38" s="24" t="s">
        <v>79</v>
      </c>
      <c r="AC38" s="29">
        <v>31838</v>
      </c>
      <c r="AD38" s="30">
        <f>U49</f>
        <v>292846.66410324705</v>
      </c>
      <c r="AE38" s="24"/>
    </row>
    <row r="39" spans="1:31" x14ac:dyDescent="0.25">
      <c r="A39" s="22" t="s">
        <v>194</v>
      </c>
      <c r="B39" s="8">
        <f>J8/B8</f>
        <v>101935.48387096774</v>
      </c>
      <c r="C39" s="1" t="s">
        <v>3</v>
      </c>
      <c r="L39" s="9"/>
      <c r="N39" s="31">
        <f t="shared" si="5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v>0</v>
      </c>
      <c r="T39" s="35">
        <f t="shared" si="4"/>
        <v>0</v>
      </c>
      <c r="U39" s="34">
        <f t="shared" si="0"/>
        <v>0</v>
      </c>
      <c r="V39" s="19"/>
      <c r="W39" s="24">
        <f t="shared" ref="W39:W42" si="21">W40-10</f>
        <v>-50</v>
      </c>
      <c r="X39" s="28">
        <f>$X$38*(1+(W39/100))</f>
        <v>3311.1519999999996</v>
      </c>
      <c r="Y39" s="30">
        <f t="dataTable" ref="Y39:Y49" dt2D="0" dtr="0" r1="J33" ca="1"/>
        <v>267278.82604900689</v>
      </c>
      <c r="Z39" s="58">
        <f>100*((Y39-$Y$29)/$Y$29)</f>
        <v>-8.7307936843104592</v>
      </c>
      <c r="AB39" s="24">
        <f t="shared" ref="AB39:AB42" si="22">AB40-10</f>
        <v>-50</v>
      </c>
      <c r="AC39" s="29">
        <f t="shared" ref="AC39:AC49" si="23">$AC$38*(1+(AB39/100))</f>
        <v>15919</v>
      </c>
      <c r="AD39" s="30">
        <f t="dataTable" ref="AD39:AD49" dt2D="0" dtr="0" r1="F12" ca="1"/>
        <v>212945.40045139869</v>
      </c>
      <c r="AE39" s="58">
        <f>100*((AD39-$AD$44)/$AD$44)</f>
        <v>-27.284334583943938</v>
      </c>
    </row>
    <row r="40" spans="1:31" x14ac:dyDescent="0.25">
      <c r="A40" s="1" t="s">
        <v>113</v>
      </c>
      <c r="B40" s="10">
        <f>(1+(B16/100))*B39</f>
        <v>101935.48387096774</v>
      </c>
      <c r="C40" s="1" t="s">
        <v>3</v>
      </c>
      <c r="L40" s="9"/>
      <c r="N40" s="31">
        <f t="shared" si="5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v>0</v>
      </c>
      <c r="T40" s="35">
        <f t="shared" si="4"/>
        <v>0</v>
      </c>
      <c r="U40" s="34">
        <f t="shared" si="0"/>
        <v>0</v>
      </c>
      <c r="V40" s="19"/>
      <c r="W40" s="24">
        <f t="shared" si="21"/>
        <v>-40</v>
      </c>
      <c r="X40" s="28">
        <f t="shared" ref="X40:X49" si="24">$X$38*(1+(W40/100))</f>
        <v>3973.3823999999995</v>
      </c>
      <c r="Y40" s="30">
        <v>272392.39365985495</v>
      </c>
      <c r="Z40" s="58">
        <f t="shared" ref="Z40:Z49" si="25">100*((Y40-$Y$29)/$Y$29)</f>
        <v>-6.9846349474483596</v>
      </c>
      <c r="AB40" s="24">
        <f t="shared" si="22"/>
        <v>-40</v>
      </c>
      <c r="AC40" s="29">
        <f t="shared" si="23"/>
        <v>19102.8</v>
      </c>
      <c r="AD40" s="30">
        <v>228925.65318176834</v>
      </c>
      <c r="AE40" s="58">
        <f t="shared" ref="AE40:AE49" si="26">100*((AD40-$AD$44)/$AD$44)</f>
        <v>-21.827467667155155</v>
      </c>
    </row>
    <row r="41" spans="1:31" x14ac:dyDescent="0.25">
      <c r="A41" s="1" t="s">
        <v>151</v>
      </c>
      <c r="B41" s="78">
        <f>(1+B15/100)*B40</f>
        <v>132516.12903225806</v>
      </c>
      <c r="C41" s="1" t="s">
        <v>3</v>
      </c>
      <c r="E41" s="38" t="s">
        <v>86</v>
      </c>
      <c r="F41" s="42">
        <f>F12*B5</f>
        <v>318380</v>
      </c>
      <c r="G41" s="39" t="s">
        <v>42</v>
      </c>
      <c r="L41" s="9"/>
      <c r="N41" s="31">
        <f t="shared" si="5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v>0</v>
      </c>
      <c r="T41" s="35">
        <f t="shared" si="4"/>
        <v>0</v>
      </c>
      <c r="U41" s="34">
        <f t="shared" si="0"/>
        <v>0</v>
      </c>
      <c r="V41" s="19"/>
      <c r="W41" s="24">
        <f t="shared" si="21"/>
        <v>-30</v>
      </c>
      <c r="X41" s="28">
        <f t="shared" si="24"/>
        <v>4635.612799999999</v>
      </c>
      <c r="Y41" s="30">
        <v>277505.96127070289</v>
      </c>
      <c r="Z41" s="58">
        <f t="shared" si="25"/>
        <v>-5.238476210586299</v>
      </c>
      <c r="AB41" s="24">
        <f t="shared" si="22"/>
        <v>-30</v>
      </c>
      <c r="AC41" s="29">
        <f t="shared" si="23"/>
        <v>22286.6</v>
      </c>
      <c r="AD41" s="30">
        <v>244905.90591213809</v>
      </c>
      <c r="AE41" s="58">
        <f t="shared" si="26"/>
        <v>-16.370600750366343</v>
      </c>
    </row>
    <row r="42" spans="1:31" x14ac:dyDescent="0.25">
      <c r="A42" s="21" t="s">
        <v>95</v>
      </c>
      <c r="B42" s="18">
        <f>SUM(B33:B37)+B40</f>
        <v>129249.25979778604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v>0</v>
      </c>
      <c r="T42" s="35">
        <f t="shared" si="4"/>
        <v>0</v>
      </c>
      <c r="U42" s="34">
        <f t="shared" si="0"/>
        <v>0</v>
      </c>
      <c r="V42" s="19"/>
      <c r="W42" s="24">
        <f t="shared" si="21"/>
        <v>-20</v>
      </c>
      <c r="X42" s="28">
        <f t="shared" si="24"/>
        <v>5297.8431999999993</v>
      </c>
      <c r="Y42" s="30">
        <v>282619.52888155094</v>
      </c>
      <c r="Z42" s="58">
        <f t="shared" si="25"/>
        <v>-3.4923174737241998</v>
      </c>
      <c r="AB42" s="24">
        <f t="shared" si="22"/>
        <v>-20</v>
      </c>
      <c r="AC42" s="29">
        <f t="shared" si="23"/>
        <v>25470.400000000001</v>
      </c>
      <c r="AD42" s="30">
        <v>260886.15864250774</v>
      </c>
      <c r="AE42" s="58">
        <f t="shared" si="26"/>
        <v>-10.913733833577561</v>
      </c>
    </row>
    <row r="43" spans="1:31" x14ac:dyDescent="0.25">
      <c r="A43" s="21" t="s">
        <v>172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>IF(N43&gt;0,($F$15/$B$8)/((1+($F$11/100))^N43),0)</f>
        <v>0</v>
      </c>
      <c r="T43" s="35">
        <f t="shared" si="4"/>
        <v>0</v>
      </c>
      <c r="U43" s="34">
        <f t="shared" si="0"/>
        <v>0</v>
      </c>
      <c r="V43" s="19"/>
      <c r="W43" s="24">
        <f>W44-10</f>
        <v>-10</v>
      </c>
      <c r="X43" s="28">
        <f t="shared" si="24"/>
        <v>5960.0735999999997</v>
      </c>
      <c r="Y43" s="30">
        <v>287733.096492399</v>
      </c>
      <c r="Z43" s="58">
        <f t="shared" si="25"/>
        <v>-1.7461587368620999</v>
      </c>
      <c r="AB43" s="24">
        <f>AB44-10</f>
        <v>-10</v>
      </c>
      <c r="AC43" s="29">
        <f t="shared" si="23"/>
        <v>28654.2</v>
      </c>
      <c r="AD43" s="30">
        <v>276866.41137287731</v>
      </c>
      <c r="AE43" s="58">
        <f t="shared" si="26"/>
        <v>-5.4568669167888109</v>
      </c>
    </row>
    <row r="44" spans="1:31" x14ac:dyDescent="0.25">
      <c r="A44" s="21" t="s">
        <v>173</v>
      </c>
      <c r="B44" s="18">
        <f>SUM(B42:B43)</f>
        <v>129249.25979778604</v>
      </c>
      <c r="C44" s="1" t="s">
        <v>3</v>
      </c>
      <c r="L44" s="9"/>
      <c r="N44" s="31">
        <f t="shared" si="5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v>0</v>
      </c>
      <c r="T44" s="35">
        <f t="shared" si="4"/>
        <v>0</v>
      </c>
      <c r="U44" s="34">
        <f t="shared" si="0"/>
        <v>0</v>
      </c>
      <c r="V44" s="19"/>
      <c r="W44" s="60">
        <v>0</v>
      </c>
      <c r="X44" s="64">
        <f t="shared" si="24"/>
        <v>6622.3039999999992</v>
      </c>
      <c r="Y44" s="62">
        <v>292846.66410324705</v>
      </c>
      <c r="Z44" s="63">
        <f t="shared" si="25"/>
        <v>0</v>
      </c>
      <c r="AB44" s="60">
        <v>0</v>
      </c>
      <c r="AC44" s="61">
        <f t="shared" si="23"/>
        <v>31838</v>
      </c>
      <c r="AD44" s="62">
        <v>292846.66410324705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v>0</v>
      </c>
      <c r="T45" s="35">
        <f t="shared" si="4"/>
        <v>0</v>
      </c>
      <c r="U45" s="34">
        <f t="shared" si="0"/>
        <v>0</v>
      </c>
      <c r="V45" s="19"/>
      <c r="W45" s="24">
        <f>W44+10</f>
        <v>10</v>
      </c>
      <c r="X45" s="28">
        <f t="shared" si="24"/>
        <v>7284.5343999999996</v>
      </c>
      <c r="Y45" s="30">
        <v>297960.23171409499</v>
      </c>
      <c r="Z45" s="58">
        <f t="shared" si="25"/>
        <v>1.7461587368620599</v>
      </c>
      <c r="AB45" s="24">
        <f>AB44+10</f>
        <v>10</v>
      </c>
      <c r="AC45" s="29">
        <f t="shared" si="23"/>
        <v>35021.800000000003</v>
      </c>
      <c r="AD45" s="30">
        <v>308826.91683361673</v>
      </c>
      <c r="AE45" s="58">
        <f t="shared" si="26"/>
        <v>5.4568669167887913</v>
      </c>
    </row>
    <row r="46" spans="1:31" x14ac:dyDescent="0.25">
      <c r="L46" s="9"/>
      <c r="N46" s="31">
        <f t="shared" si="5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v>0</v>
      </c>
      <c r="T46" s="35">
        <f t="shared" si="4"/>
        <v>0</v>
      </c>
      <c r="U46" s="34">
        <f t="shared" si="0"/>
        <v>0</v>
      </c>
      <c r="V46" s="19"/>
      <c r="W46" s="24">
        <f t="shared" ref="W46:W49" si="27">W45+10</f>
        <v>20</v>
      </c>
      <c r="X46" s="28">
        <f t="shared" si="24"/>
        <v>7946.764799999999</v>
      </c>
      <c r="Y46" s="30">
        <v>303073.79932494304</v>
      </c>
      <c r="Z46" s="58">
        <f t="shared" si="25"/>
        <v>3.4923174737241593</v>
      </c>
      <c r="AB46" s="24">
        <f t="shared" ref="AB46:AB49" si="28">AB45+10</f>
        <v>20</v>
      </c>
      <c r="AC46" s="29">
        <f t="shared" si="23"/>
        <v>38205.599999999999</v>
      </c>
      <c r="AD46" s="30">
        <v>324807.16956398636</v>
      </c>
      <c r="AE46" s="58">
        <f t="shared" si="26"/>
        <v>10.913733833577561</v>
      </c>
    </row>
    <row r="47" spans="1:31" x14ac:dyDescent="0.25">
      <c r="L47" s="9"/>
      <c r="N47" s="31">
        <f t="shared" si="5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v>0</v>
      </c>
      <c r="T47" s="35">
        <f t="shared" si="4"/>
        <v>0</v>
      </c>
      <c r="U47" s="34">
        <f t="shared" si="0"/>
        <v>0</v>
      </c>
      <c r="V47" s="19"/>
      <c r="W47" s="24">
        <f t="shared" si="27"/>
        <v>30</v>
      </c>
      <c r="X47" s="28">
        <f t="shared" si="24"/>
        <v>8608.9951999999994</v>
      </c>
      <c r="Y47" s="30">
        <v>308187.3669357911</v>
      </c>
      <c r="Z47" s="58">
        <f t="shared" si="25"/>
        <v>5.2384762105862599</v>
      </c>
      <c r="AB47" s="24">
        <f t="shared" si="28"/>
        <v>30</v>
      </c>
      <c r="AC47" s="29">
        <f t="shared" si="23"/>
        <v>41389.4</v>
      </c>
      <c r="AD47" s="30">
        <v>340787.42229435593</v>
      </c>
      <c r="AE47" s="58">
        <f t="shared" si="26"/>
        <v>16.370600750366311</v>
      </c>
    </row>
    <row r="48" spans="1:31" x14ac:dyDescent="0.25">
      <c r="L48" s="9"/>
      <c r="N48" s="31">
        <f t="shared" si="5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>IF(N48&gt;0,($F$15/$B$8)/((1+($F$11/100))^N48),0)</f>
        <v>0</v>
      </c>
      <c r="T48" s="35">
        <f t="shared" si="4"/>
        <v>0</v>
      </c>
      <c r="U48" s="34">
        <f t="shared" si="0"/>
        <v>0</v>
      </c>
      <c r="V48" s="19"/>
      <c r="W48" s="24">
        <f t="shared" si="27"/>
        <v>40</v>
      </c>
      <c r="X48" s="28">
        <f t="shared" si="24"/>
        <v>9271.2255999999979</v>
      </c>
      <c r="Y48" s="30">
        <v>313300.9345466391</v>
      </c>
      <c r="Z48" s="58">
        <f t="shared" si="25"/>
        <v>6.98463494744834</v>
      </c>
      <c r="AB48" s="24">
        <f t="shared" si="28"/>
        <v>40</v>
      </c>
      <c r="AC48" s="29">
        <f t="shared" si="23"/>
        <v>44573.2</v>
      </c>
      <c r="AD48" s="30">
        <v>356767.67502472573</v>
      </c>
      <c r="AE48" s="58">
        <f t="shared" si="26"/>
        <v>21.827467667155144</v>
      </c>
    </row>
    <row r="49" spans="1:31" x14ac:dyDescent="0.25">
      <c r="A49" s="7"/>
      <c r="B49" s="77"/>
      <c r="L49" s="9"/>
      <c r="N49" s="32" t="s">
        <v>74</v>
      </c>
      <c r="O49" s="34">
        <f>SUM(O8:O48)</f>
        <v>38774.777939335814</v>
      </c>
      <c r="P49" s="34">
        <f t="shared" ref="P49:S49" si="29">SUM(P8:P48)</f>
        <v>108463.71218686996</v>
      </c>
      <c r="Q49" s="34">
        <f t="shared" si="29"/>
        <v>108666.85119521637</v>
      </c>
      <c r="R49" s="34">
        <f t="shared" si="29"/>
        <v>53167.299849504168</v>
      </c>
      <c r="S49" s="34">
        <f t="shared" si="29"/>
        <v>13801.884798790923</v>
      </c>
      <c r="T49" s="34">
        <f>SUM(T8:T48)</f>
        <v>-30027.861866470197</v>
      </c>
      <c r="U49" s="34">
        <f>SUM(U8:U48)</f>
        <v>292846.66410324705</v>
      </c>
      <c r="V49" s="19"/>
      <c r="W49" s="24">
        <f t="shared" si="27"/>
        <v>50</v>
      </c>
      <c r="X49" s="28">
        <f t="shared" si="24"/>
        <v>9933.4559999999983</v>
      </c>
      <c r="Y49" s="30">
        <v>318414.50215748715</v>
      </c>
      <c r="Z49" s="58">
        <f t="shared" si="25"/>
        <v>8.7307936843104397</v>
      </c>
      <c r="AB49" s="24">
        <f t="shared" si="28"/>
        <v>50</v>
      </c>
      <c r="AC49" s="29">
        <f t="shared" si="23"/>
        <v>47757</v>
      </c>
      <c r="AD49" s="30">
        <v>372747.92775509524</v>
      </c>
      <c r="AE49" s="58">
        <f t="shared" si="26"/>
        <v>27.284334583943874</v>
      </c>
    </row>
    <row r="50" spans="1:31" x14ac:dyDescent="0.25">
      <c r="B50" s="46"/>
      <c r="L50" s="9"/>
      <c r="R50" s="10">
        <f>SUM(R49:S49)</f>
        <v>66969.184648295093</v>
      </c>
    </row>
    <row r="51" spans="1:31" x14ac:dyDescent="0.25">
      <c r="L51" s="9"/>
      <c r="W51" s="107" t="s">
        <v>193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193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0.49</v>
      </c>
      <c r="Y53" s="26">
        <f>U49</f>
        <v>292846.66410324705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0.73499999999999999</v>
      </c>
      <c r="Y54" s="30">
        <f t="dataTable" ref="Y54:Y64" dt2D="0" dtr="0" r1="J9" ca="1"/>
        <v>347180.08970085526</v>
      </c>
      <c r="Z54" s="58">
        <f>100*((Y54-$Y$59)/$Y$59)</f>
        <v>18.553540899633475</v>
      </c>
    </row>
    <row r="55" spans="1:31" x14ac:dyDescent="0.25">
      <c r="O55" s="1" t="s">
        <v>104</v>
      </c>
      <c r="P55" s="10">
        <f>SUM(O49:P49)</f>
        <v>147238.49012620578</v>
      </c>
      <c r="Q55" s="1" t="s">
        <v>3</v>
      </c>
      <c r="R55" s="56">
        <f>P55/$F$41</f>
        <v>0.46246149295246491</v>
      </c>
      <c r="S55" s="1" t="s">
        <v>58</v>
      </c>
      <c r="W55" s="24">
        <f t="shared" si="30"/>
        <v>-40</v>
      </c>
      <c r="X55" s="28">
        <f t="shared" ref="X55:X64" si="31">$X$53*(1+(-W55/100))</f>
        <v>0.68599999999999994</v>
      </c>
      <c r="Y55" s="30">
        <v>336313.40458133351</v>
      </c>
      <c r="Z55" s="58">
        <f t="shared" ref="Z55:Z64" si="32">100*((Y55-$Y$59)/$Y$59)</f>
        <v>14.842832719706745</v>
      </c>
    </row>
    <row r="56" spans="1:31" x14ac:dyDescent="0.25">
      <c r="O56" s="1" t="s">
        <v>97</v>
      </c>
      <c r="P56" s="52">
        <f>SUM(Q49:Q49)</f>
        <v>108666.85119521637</v>
      </c>
      <c r="Q56" s="1" t="s">
        <v>3</v>
      </c>
      <c r="R56" s="56">
        <f>P56/$F$41</f>
        <v>0.34131180097749975</v>
      </c>
      <c r="S56" s="1" t="s">
        <v>58</v>
      </c>
      <c r="T56" s="51"/>
      <c r="W56" s="24">
        <f t="shared" si="30"/>
        <v>-30</v>
      </c>
      <c r="X56" s="28">
        <f t="shared" si="31"/>
        <v>0.63700000000000001</v>
      </c>
      <c r="Y56" s="30">
        <v>325446.71946181188</v>
      </c>
      <c r="Z56" s="58">
        <f t="shared" si="32"/>
        <v>11.132124539780055</v>
      </c>
    </row>
    <row r="57" spans="1:31" x14ac:dyDescent="0.25">
      <c r="O57" s="1" t="s">
        <v>114</v>
      </c>
      <c r="P57" s="52">
        <f>SUM(R49:S49)</f>
        <v>66969.184648295093</v>
      </c>
      <c r="Q57" s="1" t="s">
        <v>3</v>
      </c>
      <c r="R57" s="56">
        <f>P57/$F$41</f>
        <v>0.21034356633047016</v>
      </c>
      <c r="S57" s="1" t="s">
        <v>58</v>
      </c>
      <c r="T57" s="51"/>
      <c r="W57" s="24">
        <f t="shared" si="30"/>
        <v>-20</v>
      </c>
      <c r="X57" s="28">
        <f t="shared" si="31"/>
        <v>0.58799999999999997</v>
      </c>
      <c r="Y57" s="30">
        <v>314580.03434229031</v>
      </c>
      <c r="Z57" s="58">
        <f t="shared" si="32"/>
        <v>7.4214163598533816</v>
      </c>
    </row>
    <row r="58" spans="1:31" x14ac:dyDescent="0.25">
      <c r="O58" s="1" t="s">
        <v>106</v>
      </c>
      <c r="P58" s="52">
        <f>T49</f>
        <v>-30027.861866470197</v>
      </c>
      <c r="Q58" s="1" t="s">
        <v>3</v>
      </c>
      <c r="R58" s="56">
        <f>P58/$F$41</f>
        <v>-9.4314535669546451E-2</v>
      </c>
      <c r="S58" s="1" t="s">
        <v>58</v>
      </c>
      <c r="T58" s="51"/>
      <c r="W58" s="24">
        <f>W59-10</f>
        <v>-10</v>
      </c>
      <c r="X58" s="28">
        <f t="shared" si="31"/>
        <v>0.53900000000000003</v>
      </c>
      <c r="Y58" s="30">
        <v>303713.34922276862</v>
      </c>
      <c r="Z58" s="58">
        <f t="shared" si="32"/>
        <v>3.7107081799266717</v>
      </c>
    </row>
    <row r="59" spans="1:31" x14ac:dyDescent="0.25">
      <c r="T59" s="51"/>
      <c r="W59" s="60">
        <v>0</v>
      </c>
      <c r="X59" s="64">
        <f t="shared" si="31"/>
        <v>0.49</v>
      </c>
      <c r="Y59" s="62">
        <v>292846.66410324705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292846.66410324705</v>
      </c>
      <c r="Q60" s="12" t="s">
        <v>3</v>
      </c>
      <c r="R60" s="57">
        <f>SUM(R55:R58)</f>
        <v>0.9198023245908884</v>
      </c>
      <c r="S60" s="12" t="s">
        <v>58</v>
      </c>
      <c r="T60" s="51"/>
      <c r="W60" s="24">
        <f>W59+10</f>
        <v>10</v>
      </c>
      <c r="X60" s="28">
        <f t="shared" si="31"/>
        <v>0.441</v>
      </c>
      <c r="Y60" s="30">
        <v>281979.97898372536</v>
      </c>
      <c r="Z60" s="58">
        <f t="shared" si="32"/>
        <v>-3.7107081799267112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0.39200000000000002</v>
      </c>
      <c r="Y61" s="30">
        <v>271113.29386420373</v>
      </c>
      <c r="Z61" s="58">
        <f t="shared" si="32"/>
        <v>-7.4214163598534029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0.34299999999999997</v>
      </c>
      <c r="Y62" s="30">
        <v>260246.60874468205</v>
      </c>
      <c r="Z62" s="58">
        <f t="shared" si="32"/>
        <v>-11.132124539780113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0.29399999999999998</v>
      </c>
      <c r="Y63" s="30">
        <v>249379.92362516045</v>
      </c>
      <c r="Z63" s="58">
        <f t="shared" si="32"/>
        <v>-14.842832719706795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0.245</v>
      </c>
      <c r="Y64" s="30">
        <v>238513.23850563887</v>
      </c>
      <c r="Z64" s="58">
        <f t="shared" si="32"/>
        <v>-18.553540899633468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D9B0-59E7-49D1-B71C-956EE0506BBF}">
  <sheetPr>
    <tabColor theme="7"/>
  </sheetPr>
  <dimension ref="A1:AW95"/>
  <sheetViews>
    <sheetView topLeftCell="A9" zoomScale="86" zoomScaleNormal="55" workbookViewId="0">
      <selection activeCell="E16" sqref="E16:E17"/>
    </sheetView>
  </sheetViews>
  <sheetFormatPr defaultColWidth="8.85546875" defaultRowHeight="15" x14ac:dyDescent="0.25"/>
  <cols>
    <col min="1" max="1" width="52.7109375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48" style="1" customWidth="1"/>
    <col min="6" max="6" width="17" style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bestFit="1" customWidth="1"/>
    <col min="20" max="20" width="11.140625" style="1" customWidth="1"/>
    <col min="21" max="22" width="31.28515625" style="1" customWidth="1"/>
    <col min="23" max="23" width="23.85546875" style="1" customWidth="1"/>
    <col min="24" max="24" width="13.42578125" style="1" bestFit="1" customWidth="1"/>
    <col min="25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88351.539182252876</v>
      </c>
      <c r="C2" s="12" t="s">
        <v>3</v>
      </c>
    </row>
    <row r="3" spans="1:30" x14ac:dyDescent="0.25">
      <c r="B3" s="44">
        <f>B2/J34</f>
        <v>0.28445440818497386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8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/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8">
        <v>1050660387.0967742</v>
      </c>
      <c r="K8" s="1" t="s">
        <v>134</v>
      </c>
      <c r="L8" s="9"/>
      <c r="N8" s="31">
        <v>0</v>
      </c>
      <c r="O8" s="33">
        <f>F31</f>
        <v>17197.859811651426</v>
      </c>
      <c r="P8" s="31"/>
      <c r="Q8" s="31"/>
      <c r="R8" s="31"/>
      <c r="S8" s="31"/>
      <c r="T8" s="31"/>
      <c r="U8" s="31"/>
      <c r="V8" s="31"/>
      <c r="W8" s="31"/>
      <c r="X8" s="34">
        <f t="shared" ref="X8:X48" si="0">SUM(O8:W8)</f>
        <v>17197.859811651426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8">
        <v>105</v>
      </c>
      <c r="K9" s="1" t="s">
        <v>9</v>
      </c>
      <c r="L9" s="9"/>
      <c r="N9" s="31">
        <v>1</v>
      </c>
      <c r="O9" s="31"/>
      <c r="P9" s="35">
        <f t="shared" ref="P9:P48" si="1">IF(N9&gt;0,IF(N9&lt;=$J$20,(($F$32+$F$33)/$J$20)/((1+($F$11/100))^N9),0),0)</f>
        <v>10582.416404102843</v>
      </c>
      <c r="Q9" s="36">
        <f t="shared" ref="Q9:Q48" si="2">IF(N9&gt;0,($F$41*((1+($F$14/100))^(N9-1)))/((1+($F$11/100))^N9),0)</f>
        <v>1124.5499729237661</v>
      </c>
      <c r="R9" s="37">
        <f t="shared" ref="R9:R48" si="3">IF(N9&gt;0,$F$40/((1+($F$11/100))^N9),0)</f>
        <v>0</v>
      </c>
      <c r="S9" s="37">
        <f t="shared" ref="S9:S48" si="4">IF(N9&gt;0,$J$37/((1+($F$11/100))^N9),0)</f>
        <v>1952.6378025909039</v>
      </c>
      <c r="T9" s="37"/>
      <c r="U9" s="37">
        <f t="shared" ref="U9:U48" si="5">IF(AND(MOD(N9,$J$31)=0,N9&gt;0),$B$42/((1+($F$11/100))^N9),0)</f>
        <v>0</v>
      </c>
      <c r="V9" s="37">
        <f t="shared" ref="V9:V48" si="6">IF(N9&gt;0,$J$32/((1+($F$11/100))^N9),0)</f>
        <v>0</v>
      </c>
      <c r="W9" s="35">
        <f t="shared" ref="W9:W18" si="7">IF(N9=$B$5,((((1-$J$15/100)^N9)*$B$43+((1-$J$16/100)^N9)*$B$44)/((1+($F$11/100))^N9))*-1,0)</f>
        <v>0</v>
      </c>
      <c r="X9" s="34">
        <f t="shared" si="0"/>
        <v>13659.604179617512</v>
      </c>
      <c r="Y9" s="19"/>
      <c r="Z9" s="39" t="s">
        <v>40</v>
      </c>
      <c r="AA9" s="40">
        <f>B44</f>
        <v>8505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81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1"/>
        <v>10078.491813431279</v>
      </c>
      <c r="Q10" s="36">
        <f t="shared" si="2"/>
        <v>1081.7099739552416</v>
      </c>
      <c r="R10" s="37">
        <f t="shared" si="3"/>
        <v>0</v>
      </c>
      <c r="S10" s="37">
        <f t="shared" si="4"/>
        <v>1859.6550500865753</v>
      </c>
      <c r="T10" s="37"/>
      <c r="U10" s="37">
        <f t="shared" si="5"/>
        <v>0</v>
      </c>
      <c r="V10" s="37">
        <f t="shared" si="6"/>
        <v>0</v>
      </c>
      <c r="W10" s="35">
        <f t="shared" si="7"/>
        <v>0</v>
      </c>
      <c r="X10" s="34">
        <f t="shared" si="0"/>
        <v>13019.856837473097</v>
      </c>
      <c r="Y10" s="19"/>
      <c r="Z10" s="39" t="s">
        <v>173</v>
      </c>
      <c r="AA10" s="73">
        <f>B49</f>
        <v>57326.199372171417</v>
      </c>
      <c r="AB10" s="39" t="s">
        <v>3</v>
      </c>
      <c r="AD10" s="2"/>
    </row>
    <row r="11" spans="1:30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900</v>
      </c>
      <c r="K11" s="1" t="s">
        <v>28</v>
      </c>
      <c r="L11" s="9"/>
      <c r="N11" s="31">
        <f t="shared" ref="N11:N48" si="8">IF((N10+1)&gt;$B$5,,IF(N10=0,,N10+1))</f>
        <v>3</v>
      </c>
      <c r="O11" s="31"/>
      <c r="P11" s="35">
        <f t="shared" si="1"/>
        <v>9598.5636318393135</v>
      </c>
      <c r="Q11" s="36">
        <f t="shared" si="2"/>
        <v>1040.5019749474229</v>
      </c>
      <c r="R11" s="37">
        <f t="shared" si="3"/>
        <v>0</v>
      </c>
      <c r="S11" s="37">
        <f t="shared" si="4"/>
        <v>1771.1000477015</v>
      </c>
      <c r="T11" s="37"/>
      <c r="U11" s="37">
        <f t="shared" si="5"/>
        <v>0</v>
      </c>
      <c r="V11" s="37">
        <f t="shared" si="6"/>
        <v>0</v>
      </c>
      <c r="W11" s="35">
        <f t="shared" si="7"/>
        <v>0</v>
      </c>
      <c r="X11" s="34">
        <f t="shared" si="0"/>
        <v>12410.165654488237</v>
      </c>
      <c r="Y11" s="19"/>
      <c r="Z11" s="39" t="s">
        <v>110</v>
      </c>
      <c r="AA11" s="74">
        <f>F12</f>
        <v>31060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31060</v>
      </c>
      <c r="G12" s="1" t="s">
        <v>37</v>
      </c>
      <c r="H12" s="9"/>
      <c r="I12" s="38" t="s">
        <v>32</v>
      </c>
      <c r="J12" s="8">
        <v>200</v>
      </c>
      <c r="K12" s="1" t="s">
        <v>33</v>
      </c>
      <c r="L12" s="9"/>
      <c r="N12" s="31">
        <f t="shared" si="8"/>
        <v>4</v>
      </c>
      <c r="O12" s="31"/>
      <c r="P12" s="35">
        <f t="shared" si="1"/>
        <v>9141.4891731802982</v>
      </c>
      <c r="Q12" s="36">
        <f t="shared" si="2"/>
        <v>1000.8638044732355</v>
      </c>
      <c r="R12" s="37">
        <f t="shared" si="3"/>
        <v>0</v>
      </c>
      <c r="S12" s="37">
        <f t="shared" si="4"/>
        <v>1686.761950191905</v>
      </c>
      <c r="T12" s="37"/>
      <c r="U12" s="37">
        <f t="shared" si="5"/>
        <v>0</v>
      </c>
      <c r="V12" s="37">
        <f t="shared" si="6"/>
        <v>0</v>
      </c>
      <c r="W12" s="35">
        <f t="shared" si="7"/>
        <v>0</v>
      </c>
      <c r="X12" s="34">
        <f t="shared" si="0"/>
        <v>11829.11492784544</v>
      </c>
      <c r="Y12" s="19"/>
      <c r="Z12" s="79" t="s">
        <v>67</v>
      </c>
      <c r="AA12" s="73">
        <f>J42</f>
        <v>1863.6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1"/>
        <v>8706.1801649336176</v>
      </c>
      <c r="Q13" s="36">
        <f t="shared" si="2"/>
        <v>962.73565954092169</v>
      </c>
      <c r="R13" s="37">
        <f t="shared" si="3"/>
        <v>0</v>
      </c>
      <c r="S13" s="37">
        <f t="shared" si="4"/>
        <v>1606.4399525637189</v>
      </c>
      <c r="T13" s="37"/>
      <c r="U13" s="37">
        <f t="shared" si="5"/>
        <v>6663.8900458142434</v>
      </c>
      <c r="V13" s="37">
        <f t="shared" si="6"/>
        <v>0</v>
      </c>
      <c r="W13" s="35">
        <f t="shared" si="7"/>
        <v>0</v>
      </c>
      <c r="X13" s="34">
        <f t="shared" si="0"/>
        <v>17939.245822852499</v>
      </c>
      <c r="Y13" s="19"/>
      <c r="Z13" s="98" t="s">
        <v>169</v>
      </c>
      <c r="AA13" s="101">
        <f>J26</f>
        <v>100</v>
      </c>
      <c r="AB13" s="98" t="s">
        <v>161</v>
      </c>
      <c r="AD13" s="2"/>
    </row>
    <row r="14" spans="1:30" x14ac:dyDescent="0.25">
      <c r="A14" s="21" t="s">
        <v>144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139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1"/>
        <v>0</v>
      </c>
      <c r="Q14" s="36">
        <f t="shared" si="2"/>
        <v>926.06001536793428</v>
      </c>
      <c r="R14" s="37">
        <f t="shared" si="3"/>
        <v>0</v>
      </c>
      <c r="S14" s="37">
        <f t="shared" si="4"/>
        <v>1529.9428119654467</v>
      </c>
      <c r="T14" s="37"/>
      <c r="U14" s="37">
        <f t="shared" si="5"/>
        <v>0</v>
      </c>
      <c r="V14" s="37">
        <f t="shared" si="6"/>
        <v>0</v>
      </c>
      <c r="W14" s="35">
        <f t="shared" si="7"/>
        <v>0</v>
      </c>
      <c r="X14" s="34">
        <f t="shared" si="0"/>
        <v>2456.002827333381</v>
      </c>
      <c r="Y14" s="19"/>
      <c r="Z14" s="98" t="s">
        <v>193</v>
      </c>
      <c r="AA14" s="105">
        <f>J17</f>
        <v>0.19</v>
      </c>
      <c r="AB14" s="98" t="s">
        <v>35</v>
      </c>
      <c r="AD14" s="2"/>
    </row>
    <row r="15" spans="1:30" x14ac:dyDescent="0.25">
      <c r="A15" s="1" t="s">
        <v>148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1"/>
        <v>0</v>
      </c>
      <c r="Q15" s="36">
        <f t="shared" si="2"/>
        <v>890.78153859201291</v>
      </c>
      <c r="R15" s="37">
        <f t="shared" si="3"/>
        <v>0</v>
      </c>
      <c r="S15" s="37">
        <f t="shared" si="4"/>
        <v>1457.0883923480442</v>
      </c>
      <c r="T15" s="37"/>
      <c r="U15" s="37">
        <f t="shared" si="5"/>
        <v>0</v>
      </c>
      <c r="V15" s="37">
        <f t="shared" si="6"/>
        <v>0</v>
      </c>
      <c r="W15" s="35">
        <f t="shared" si="7"/>
        <v>0</v>
      </c>
      <c r="X15" s="34">
        <f t="shared" si="0"/>
        <v>2347.8699309400572</v>
      </c>
      <c r="Y15" s="19"/>
      <c r="AD15" s="2"/>
    </row>
    <row r="16" spans="1:30" ht="30" x14ac:dyDescent="0.25">
      <c r="A16" s="21" t="s">
        <v>145</v>
      </c>
      <c r="B16" s="1">
        <v>0</v>
      </c>
      <c r="C16" s="1" t="s">
        <v>128</v>
      </c>
      <c r="E16" s="139" t="s">
        <v>199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1"/>
        <v>0</v>
      </c>
      <c r="Q16" s="36">
        <f t="shared" si="2"/>
        <v>856.84700378850755</v>
      </c>
      <c r="R16" s="37">
        <f t="shared" si="3"/>
        <v>0</v>
      </c>
      <c r="S16" s="37">
        <f t="shared" si="4"/>
        <v>1387.7032308076614</v>
      </c>
      <c r="T16" s="37"/>
      <c r="U16" s="37">
        <f t="shared" si="5"/>
        <v>0</v>
      </c>
      <c r="V16" s="37">
        <f t="shared" si="6"/>
        <v>0</v>
      </c>
      <c r="W16" s="35">
        <f t="shared" si="7"/>
        <v>0</v>
      </c>
      <c r="X16" s="34">
        <f t="shared" si="0"/>
        <v>2244.550234596169</v>
      </c>
      <c r="Y16" s="19"/>
      <c r="AD16" s="2"/>
    </row>
    <row r="17" spans="1:49" x14ac:dyDescent="0.25">
      <c r="A17" s="1" t="s">
        <v>149</v>
      </c>
      <c r="B17" s="1">
        <v>0</v>
      </c>
      <c r="C17" s="1" t="s">
        <v>4</v>
      </c>
      <c r="E17" s="22" t="s">
        <v>200</v>
      </c>
      <c r="F17" s="2">
        <v>200000</v>
      </c>
      <c r="G17" s="1" t="s">
        <v>129</v>
      </c>
      <c r="H17" s="9"/>
      <c r="I17" s="22" t="s">
        <v>36</v>
      </c>
      <c r="J17" s="13">
        <v>0.19</v>
      </c>
      <c r="K17" s="1" t="s">
        <v>35</v>
      </c>
      <c r="L17" s="9"/>
      <c r="N17" s="31">
        <f t="shared" si="8"/>
        <v>9</v>
      </c>
      <c r="O17" s="31"/>
      <c r="P17" s="35">
        <f t="shared" si="1"/>
        <v>0</v>
      </c>
      <c r="Q17" s="36">
        <f t="shared" si="2"/>
        <v>824.20521316799318</v>
      </c>
      <c r="R17" s="37">
        <f t="shared" si="3"/>
        <v>0</v>
      </c>
      <c r="S17" s="37">
        <f t="shared" si="4"/>
        <v>1321.6221245787251</v>
      </c>
      <c r="T17" s="37"/>
      <c r="U17" s="37">
        <f t="shared" si="5"/>
        <v>0</v>
      </c>
      <c r="V17" s="37">
        <f t="shared" si="6"/>
        <v>0</v>
      </c>
      <c r="W17" s="35">
        <f t="shared" si="7"/>
        <v>0</v>
      </c>
      <c r="X17" s="34">
        <f t="shared" si="0"/>
        <v>2145.8273377467185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1"/>
        <v>0</v>
      </c>
      <c r="Q18" s="36">
        <f t="shared" si="2"/>
        <v>792.80691933302205</v>
      </c>
      <c r="R18" s="37">
        <f t="shared" si="3"/>
        <v>0</v>
      </c>
      <c r="S18" s="37">
        <f t="shared" si="4"/>
        <v>1258.6877376940238</v>
      </c>
      <c r="T18" s="37"/>
      <c r="U18" s="37">
        <f t="shared" si="5"/>
        <v>5221.3322213641577</v>
      </c>
      <c r="V18" s="37">
        <f t="shared" si="6"/>
        <v>0</v>
      </c>
      <c r="W18" s="35">
        <f t="shared" si="7"/>
        <v>-14171.38526068286</v>
      </c>
      <c r="X18" s="34">
        <f t="shared" si="0"/>
        <v>-6898.5583822916569</v>
      </c>
      <c r="Y18" s="19"/>
      <c r="AD18" s="2"/>
    </row>
    <row r="19" spans="1:49" x14ac:dyDescent="0.25">
      <c r="A19" s="91" t="s">
        <v>182</v>
      </c>
      <c r="B19" s="77">
        <v>200000</v>
      </c>
      <c r="C19" s="1" t="s">
        <v>134</v>
      </c>
      <c r="E19" s="22" t="s">
        <v>181</v>
      </c>
      <c r="F19" s="88">
        <v>2746000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f t="shared" si="4"/>
        <v>0</v>
      </c>
      <c r="T19" s="37"/>
      <c r="U19" s="37">
        <f t="shared" si="5"/>
        <v>0</v>
      </c>
      <c r="V19" s="37">
        <f t="shared" si="6"/>
        <v>0</v>
      </c>
      <c r="W19" s="35">
        <f t="shared" ref="W19:W48" si="9">IF(N19=$B$5,((((1-$J$15/100)^N19)*$B$48+((1-$J$16/100)^N19)*$B$44)/((1+($F$11/100))^N19))*-1,0)</f>
        <v>0</v>
      </c>
      <c r="X19" s="34">
        <f t="shared" si="0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f t="shared" si="4"/>
        <v>0</v>
      </c>
      <c r="T20" s="37"/>
      <c r="U20" s="37">
        <f t="shared" si="5"/>
        <v>0</v>
      </c>
      <c r="V20" s="37">
        <f t="shared" si="6"/>
        <v>0</v>
      </c>
      <c r="W20" s="35">
        <f t="shared" si="9"/>
        <v>0</v>
      </c>
      <c r="X20" s="34">
        <f t="shared" si="0"/>
        <v>0</v>
      </c>
      <c r="Y20" s="19"/>
    </row>
    <row r="21" spans="1:49" x14ac:dyDescent="0.25">
      <c r="E21" s="22" t="s">
        <v>67</v>
      </c>
      <c r="F21" s="43">
        <v>1480.4759999999999</v>
      </c>
      <c r="G21" s="1" t="s">
        <v>152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f t="shared" si="4"/>
        <v>0</v>
      </c>
      <c r="T21" s="37"/>
      <c r="U21" s="37">
        <f t="shared" si="5"/>
        <v>0</v>
      </c>
      <c r="V21" s="37">
        <f t="shared" si="6"/>
        <v>0</v>
      </c>
      <c r="W21" s="35">
        <f t="shared" si="9"/>
        <v>0</v>
      </c>
      <c r="X21" s="34">
        <f t="shared" si="0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185</v>
      </c>
      <c r="AK21" s="125" t="s">
        <v>186</v>
      </c>
      <c r="AL21" s="125" t="s">
        <v>187</v>
      </c>
      <c r="AM21" s="125" t="s">
        <v>40</v>
      </c>
      <c r="AN21" s="125" t="s">
        <v>188</v>
      </c>
      <c r="AO21" s="125" t="s">
        <v>189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9"/>
      <c r="N22" s="31">
        <f t="shared" si="8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f t="shared" si="4"/>
        <v>0</v>
      </c>
      <c r="T22" s="37"/>
      <c r="U22" s="37">
        <f t="shared" si="5"/>
        <v>0</v>
      </c>
      <c r="V22" s="37">
        <f t="shared" si="6"/>
        <v>0</v>
      </c>
      <c r="W22" s="35">
        <f t="shared" si="9"/>
        <v>0</v>
      </c>
      <c r="X22" s="34">
        <f t="shared" si="0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-36.957477823010329</v>
      </c>
      <c r="AL22" s="127">
        <f>AC24</f>
        <v>-5.3768514753835337</v>
      </c>
      <c r="AM22" s="128">
        <f t="shared" ref="AM22:AM32" si="10">AC39</f>
        <v>-5.2306235180329699</v>
      </c>
      <c r="AN22" s="128">
        <f t="shared" ref="AN22:AN32" si="11">AH39</f>
        <v>-26.97277957215795</v>
      </c>
      <c r="AO22" s="128">
        <f>AC54</f>
        <v>-8.1437320431647748</v>
      </c>
      <c r="AP22" s="135">
        <f>AC69</f>
        <v>5.3768514753835337</v>
      </c>
    </row>
    <row r="23" spans="1:49" x14ac:dyDescent="0.25">
      <c r="A23" s="12"/>
      <c r="H23" s="9"/>
      <c r="I23" s="12" t="s">
        <v>156</v>
      </c>
      <c r="L23" s="106"/>
      <c r="N23" s="31">
        <f t="shared" si="8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 t="shared" si="4"/>
        <v>0</v>
      </c>
      <c r="T23" s="37"/>
      <c r="U23" s="37">
        <f t="shared" si="5"/>
        <v>0</v>
      </c>
      <c r="V23" s="37">
        <f t="shared" si="6"/>
        <v>0</v>
      </c>
      <c r="W23" s="35">
        <f t="shared" si="9"/>
        <v>0</v>
      </c>
      <c r="X23" s="34">
        <f t="shared" si="0"/>
        <v>0</v>
      </c>
      <c r="Y23" s="19"/>
      <c r="Z23" s="24" t="s">
        <v>109</v>
      </c>
      <c r="AA23" s="28">
        <v>0.20008429721251814</v>
      </c>
      <c r="AB23" s="26">
        <f>X49</f>
        <v>88351.539182252876</v>
      </c>
      <c r="AC23" s="24"/>
      <c r="AE23" s="24" t="s">
        <v>109</v>
      </c>
      <c r="AF23" s="29">
        <v>57326.199372171417</v>
      </c>
      <c r="AG23" s="30">
        <f>X49</f>
        <v>88351.539182252876</v>
      </c>
      <c r="AH23" s="24"/>
      <c r="AJ23" s="126">
        <v>-40</v>
      </c>
      <c r="AK23" s="127">
        <f>AH25</f>
        <v>-29.565982258408262</v>
      </c>
      <c r="AL23" s="127">
        <f t="shared" ref="AL23:AL32" si="12">AC25</f>
        <v>-4.3014811803068298</v>
      </c>
      <c r="AM23" s="128">
        <f t="shared" si="10"/>
        <v>-4.1844988144263597</v>
      </c>
      <c r="AN23" s="128">
        <f t="shared" si="11"/>
        <v>-18.063452542544187</v>
      </c>
      <c r="AO23" s="128">
        <f t="shared" ref="AO23:AO32" si="13">AC55</f>
        <v>-6.5149856345317936</v>
      </c>
      <c r="AP23" s="135">
        <f t="shared" ref="AP23:AP32" si="14">AC70</f>
        <v>4.3014811803068467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157</v>
      </c>
      <c r="J24" s="60" t="s">
        <v>155</v>
      </c>
      <c r="L24" s="106"/>
      <c r="N24" s="31">
        <f t="shared" si="8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f t="shared" si="4"/>
        <v>0</v>
      </c>
      <c r="T24" s="37"/>
      <c r="U24" s="37">
        <f t="shared" si="5"/>
        <v>0</v>
      </c>
      <c r="V24" s="37">
        <f t="shared" si="6"/>
        <v>0</v>
      </c>
      <c r="W24" s="35">
        <f t="shared" si="9"/>
        <v>0</v>
      </c>
      <c r="X24" s="34">
        <f t="shared" si="0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 ca="1"/>
        <v>83601.008144207852</v>
      </c>
      <c r="AC24" s="58">
        <f>100*((AB24-$AB$29)/$AB$29)</f>
        <v>-5.3768514753835337</v>
      </c>
      <c r="AE24" s="24">
        <f t="shared" ref="AE24:AE27" si="17">AE25-10</f>
        <v>-50</v>
      </c>
      <c r="AF24" s="28">
        <f>$AF$23*(1+(AE24/100))</f>
        <v>28663.099686085709</v>
      </c>
      <c r="AG24" s="30">
        <f t="dataTable" ref="AG24:AG34" dt2D="0" dtr="0" r1="B49"/>
        <v>55699.038682683487</v>
      </c>
      <c r="AH24" s="58">
        <f t="shared" ref="AH24:AH34" si="18">100*((AG24-$AG$29)/$AG$29)</f>
        <v>-36.957477823010329</v>
      </c>
      <c r="AJ24" s="126">
        <v>-30</v>
      </c>
      <c r="AK24" s="127">
        <f t="shared" ref="AK24:AK32" si="19">AH26</f>
        <v>-22.174486693806195</v>
      </c>
      <c r="AL24" s="127">
        <f t="shared" si="12"/>
        <v>-3.2261108852301099</v>
      </c>
      <c r="AM24" s="128">
        <f t="shared" si="10"/>
        <v>-3.138374110819766</v>
      </c>
      <c r="AN24" s="128">
        <f t="shared" si="11"/>
        <v>-15.049075322539304</v>
      </c>
      <c r="AO24" s="128">
        <f t="shared" si="13"/>
        <v>-4.8862392258988621</v>
      </c>
      <c r="AP24" s="135">
        <f t="shared" si="14"/>
        <v>3.2261108852301437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158</v>
      </c>
      <c r="J25" s="98">
        <v>1.3</v>
      </c>
      <c r="K25" s="98" t="s">
        <v>159</v>
      </c>
      <c r="L25" s="106"/>
      <c r="N25" s="31">
        <f t="shared" si="8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f t="shared" si="4"/>
        <v>0</v>
      </c>
      <c r="T25" s="37"/>
      <c r="U25" s="37">
        <f t="shared" si="5"/>
        <v>0</v>
      </c>
      <c r="V25" s="37">
        <f t="shared" si="6"/>
        <v>0</v>
      </c>
      <c r="W25" s="35">
        <f t="shared" si="9"/>
        <v>0</v>
      </c>
      <c r="X25" s="34">
        <f t="shared" si="0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84551.114351816854</v>
      </c>
      <c r="AC25" s="58">
        <f t="shared" ref="AC25:AC34" si="20">100*((AB25-$AB$29)/$AB$29)</f>
        <v>-4.3014811803068298</v>
      </c>
      <c r="AE25" s="24">
        <f t="shared" si="17"/>
        <v>-40</v>
      </c>
      <c r="AF25" s="28">
        <f t="shared" ref="AF25:AF34" si="21">$AF$23*(1+(AE25/100))</f>
        <v>34395.719623302852</v>
      </c>
      <c r="AG25" s="30">
        <v>62229.538782597367</v>
      </c>
      <c r="AH25" s="58">
        <f t="shared" si="18"/>
        <v>-29.565982258408262</v>
      </c>
      <c r="AJ25" s="126">
        <v>-20</v>
      </c>
      <c r="AK25" s="127">
        <f t="shared" si="19"/>
        <v>-14.782991129204119</v>
      </c>
      <c r="AL25" s="127">
        <f t="shared" si="12"/>
        <v>-2.1507405901534069</v>
      </c>
      <c r="AM25" s="128">
        <f t="shared" si="10"/>
        <v>-2.0922494072131879</v>
      </c>
      <c r="AN25" s="128">
        <f t="shared" si="11"/>
        <v>-12.019185076719678</v>
      </c>
      <c r="AO25" s="128">
        <f t="shared" si="13"/>
        <v>-3.2574928172658968</v>
      </c>
      <c r="AP25" s="135">
        <f t="shared" si="14"/>
        <v>2.1507405901534562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160</v>
      </c>
      <c r="J26" s="95">
        <f>J12/2</f>
        <v>100</v>
      </c>
      <c r="K26" s="94" t="s">
        <v>161</v>
      </c>
      <c r="L26" s="96"/>
      <c r="N26" s="31">
        <f t="shared" si="8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f t="shared" si="4"/>
        <v>0</v>
      </c>
      <c r="T26" s="37"/>
      <c r="U26" s="37">
        <f t="shared" si="5"/>
        <v>0</v>
      </c>
      <c r="V26" s="37">
        <f t="shared" si="6"/>
        <v>0</v>
      </c>
      <c r="W26" s="35">
        <f t="shared" si="9"/>
        <v>0</v>
      </c>
      <c r="X26" s="34">
        <f t="shared" si="0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85501.22055942587</v>
      </c>
      <c r="AC26" s="58">
        <f t="shared" si="20"/>
        <v>-3.2261108852301099</v>
      </c>
      <c r="AE26" s="24">
        <f t="shared" si="17"/>
        <v>-30</v>
      </c>
      <c r="AF26" s="28">
        <f t="shared" si="21"/>
        <v>40128.339560519991</v>
      </c>
      <c r="AG26" s="30">
        <v>68760.038882511246</v>
      </c>
      <c r="AH26" s="58">
        <f t="shared" si="18"/>
        <v>-22.174486693806195</v>
      </c>
      <c r="AJ26" s="126">
        <v>-10</v>
      </c>
      <c r="AK26" s="127">
        <f t="shared" si="19"/>
        <v>-7.3914955646020752</v>
      </c>
      <c r="AL26" s="127">
        <f t="shared" si="12"/>
        <v>-1.075370295076687</v>
      </c>
      <c r="AM26" s="128">
        <f t="shared" si="10"/>
        <v>-1.0461247036065939</v>
      </c>
      <c r="AN26" s="128">
        <f t="shared" si="11"/>
        <v>-8.973006153794568</v>
      </c>
      <c r="AO26" s="128">
        <f t="shared" si="13"/>
        <v>-1.6287464086329484</v>
      </c>
      <c r="AP26" s="135">
        <f t="shared" si="14"/>
        <v>1.075370295076687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f t="shared" si="4"/>
        <v>0</v>
      </c>
      <c r="T27" s="37"/>
      <c r="U27" s="37">
        <f t="shared" si="5"/>
        <v>0</v>
      </c>
      <c r="V27" s="37">
        <f t="shared" si="6"/>
        <v>0</v>
      </c>
      <c r="W27" s="35">
        <f t="shared" si="9"/>
        <v>0</v>
      </c>
      <c r="X27" s="34">
        <f t="shared" si="0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86451.326767034872</v>
      </c>
      <c r="AC27" s="58">
        <f t="shared" si="20"/>
        <v>-2.1507405901534069</v>
      </c>
      <c r="AE27" s="24">
        <f t="shared" si="17"/>
        <v>-20</v>
      </c>
      <c r="AF27" s="28">
        <f t="shared" si="21"/>
        <v>45860.959497737138</v>
      </c>
      <c r="AG27" s="30">
        <v>75290.538982425132</v>
      </c>
      <c r="AH27" s="58">
        <f t="shared" si="18"/>
        <v>-14.782991129204119</v>
      </c>
      <c r="AJ27" s="126">
        <v>0</v>
      </c>
      <c r="AK27" s="127">
        <f t="shared" si="19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0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/>
      <c r="J28" s="2"/>
      <c r="K28" s="46"/>
      <c r="N28" s="31">
        <f t="shared" si="8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 t="shared" si="4"/>
        <v>0</v>
      </c>
      <c r="T28" s="37"/>
      <c r="U28" s="37">
        <f t="shared" si="5"/>
        <v>0</v>
      </c>
      <c r="V28" s="37">
        <f t="shared" si="6"/>
        <v>0</v>
      </c>
      <c r="W28" s="35">
        <f t="shared" si="9"/>
        <v>0</v>
      </c>
      <c r="X28" s="34">
        <f t="shared" si="0"/>
        <v>0</v>
      </c>
      <c r="Y28" s="19"/>
      <c r="Z28" s="24">
        <f>Z29-10</f>
        <v>-10</v>
      </c>
      <c r="AA28" s="28">
        <f t="shared" si="16"/>
        <v>0.18007586749126633</v>
      </c>
      <c r="AB28" s="30">
        <v>87401.432974643889</v>
      </c>
      <c r="AC28" s="58">
        <f t="shared" si="20"/>
        <v>-1.075370295076687</v>
      </c>
      <c r="AE28" s="24">
        <f>AE29-10</f>
        <v>-10</v>
      </c>
      <c r="AF28" s="28">
        <f t="shared" si="21"/>
        <v>51593.579434954278</v>
      </c>
      <c r="AG28" s="30">
        <v>81821.03908233899</v>
      </c>
      <c r="AH28" s="58">
        <f t="shared" si="18"/>
        <v>-7.3914955646020752</v>
      </c>
      <c r="AJ28" s="126">
        <v>10</v>
      </c>
      <c r="AK28" s="127">
        <f t="shared" si="19"/>
        <v>7.3914955646020752</v>
      </c>
      <c r="AL28" s="127">
        <f t="shared" si="12"/>
        <v>1.075370295076687</v>
      </c>
      <c r="AM28" s="128">
        <f t="shared" si="10"/>
        <v>1.0461247036065775</v>
      </c>
      <c r="AN28" s="128">
        <f t="shared" si="11"/>
        <v>2.7041167037096683</v>
      </c>
      <c r="AO28" s="128">
        <f t="shared" si="13"/>
        <v>1.628746408632965</v>
      </c>
      <c r="AP28" s="135">
        <f t="shared" si="14"/>
        <v>-1.075370295076687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f t="shared" si="4"/>
        <v>0</v>
      </c>
      <c r="T29" s="37"/>
      <c r="U29" s="37">
        <f t="shared" si="5"/>
        <v>0</v>
      </c>
      <c r="V29" s="37">
        <f t="shared" si="6"/>
        <v>0</v>
      </c>
      <c r="W29" s="35">
        <f t="shared" si="9"/>
        <v>0</v>
      </c>
      <c r="X29" s="34">
        <f t="shared" si="0"/>
        <v>0</v>
      </c>
      <c r="Y29" s="19"/>
      <c r="Z29" s="60">
        <v>0</v>
      </c>
      <c r="AA29" s="64">
        <f>$AA$23*(1+(Z29/100))</f>
        <v>0.20008429721251814</v>
      </c>
      <c r="AB29" s="62">
        <v>88351.539182252876</v>
      </c>
      <c r="AC29" s="63">
        <f t="shared" si="20"/>
        <v>0</v>
      </c>
      <c r="AE29" s="60">
        <v>0</v>
      </c>
      <c r="AF29" s="64">
        <f t="shared" si="21"/>
        <v>57326.199372171417</v>
      </c>
      <c r="AG29" s="62">
        <v>88351.539182252876</v>
      </c>
      <c r="AH29" s="63">
        <f t="shared" si="18"/>
        <v>0</v>
      </c>
      <c r="AJ29" s="126">
        <v>20</v>
      </c>
      <c r="AK29" s="127">
        <f t="shared" si="19"/>
        <v>14.78299112920415</v>
      </c>
      <c r="AL29" s="127">
        <f t="shared" si="12"/>
        <v>2.1507405901534562</v>
      </c>
      <c r="AM29" s="128">
        <f t="shared" si="10"/>
        <v>2.0922494072131719</v>
      </c>
      <c r="AN29" s="128">
        <f t="shared" si="11"/>
        <v>6.3911037263950199</v>
      </c>
      <c r="AO29" s="128">
        <f t="shared" si="13"/>
        <v>3.2574928172658968</v>
      </c>
      <c r="AP29" s="135">
        <f t="shared" si="14"/>
        <v>-2.1507405901534069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f t="shared" si="4"/>
        <v>0</v>
      </c>
      <c r="T30" s="37"/>
      <c r="U30" s="37">
        <f t="shared" si="5"/>
        <v>0</v>
      </c>
      <c r="V30" s="37">
        <f t="shared" si="6"/>
        <v>0</v>
      </c>
      <c r="W30" s="35">
        <f t="shared" si="9"/>
        <v>0</v>
      </c>
      <c r="X30" s="34">
        <f t="shared" si="0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89301.645389861864</v>
      </c>
      <c r="AC30" s="58">
        <f t="shared" si="20"/>
        <v>1.075370295076687</v>
      </c>
      <c r="AE30" s="24">
        <f>AE29+10</f>
        <v>10</v>
      </c>
      <c r="AF30" s="28">
        <f t="shared" si="21"/>
        <v>63058.819309388564</v>
      </c>
      <c r="AG30" s="30">
        <v>94882.039282166763</v>
      </c>
      <c r="AH30" s="58">
        <f t="shared" si="18"/>
        <v>7.3914955646020752</v>
      </c>
      <c r="AJ30" s="126">
        <v>30</v>
      </c>
      <c r="AK30" s="127">
        <f t="shared" si="19"/>
        <v>22.174486693806227</v>
      </c>
      <c r="AL30" s="127">
        <f t="shared" si="12"/>
        <v>3.2261108852301268</v>
      </c>
      <c r="AM30" s="128">
        <f t="shared" si="10"/>
        <v>3.1383741108197492</v>
      </c>
      <c r="AN30" s="128">
        <f t="shared" si="11"/>
        <v>9.0952204301046891</v>
      </c>
      <c r="AO30" s="128">
        <f t="shared" si="13"/>
        <v>4.8862392258988789</v>
      </c>
      <c r="AP30" s="135">
        <f t="shared" si="14"/>
        <v>-3.2261108852301099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171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17197.859811651426</v>
      </c>
      <c r="G31" s="1" t="s">
        <v>3</v>
      </c>
      <c r="I31" s="38" t="s">
        <v>98</v>
      </c>
      <c r="J31" s="45">
        <f>ROUNDDOWN(J11/(F12/J12),0)</f>
        <v>5</v>
      </c>
      <c r="K31" s="39" t="s">
        <v>24</v>
      </c>
      <c r="L31" s="9"/>
      <c r="N31" s="31">
        <f t="shared" si="8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f t="shared" si="4"/>
        <v>0</v>
      </c>
      <c r="T31" s="37"/>
      <c r="U31" s="37">
        <f t="shared" si="5"/>
        <v>0</v>
      </c>
      <c r="V31" s="37">
        <f t="shared" si="6"/>
        <v>0</v>
      </c>
      <c r="W31" s="35">
        <f t="shared" si="9"/>
        <v>0</v>
      </c>
      <c r="X31" s="34">
        <f t="shared" si="0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90251.751597470924</v>
      </c>
      <c r="AC31" s="58">
        <f t="shared" si="20"/>
        <v>2.1507405901534562</v>
      </c>
      <c r="AE31" s="24">
        <f t="shared" ref="AE31:AE34" si="24">AE30+10</f>
        <v>20</v>
      </c>
      <c r="AF31" s="28">
        <f t="shared" si="21"/>
        <v>68791.439246605703</v>
      </c>
      <c r="AG31" s="30">
        <v>101412.53938208065</v>
      </c>
      <c r="AH31" s="58">
        <f t="shared" si="18"/>
        <v>14.78299112920415</v>
      </c>
      <c r="AJ31" s="126">
        <v>40</v>
      </c>
      <c r="AK31" s="127">
        <f t="shared" si="19"/>
        <v>29.565982258408269</v>
      </c>
      <c r="AL31" s="127">
        <f t="shared" si="12"/>
        <v>4.3014811803068467</v>
      </c>
      <c r="AM31" s="128">
        <f t="shared" si="10"/>
        <v>4.1844988144263437</v>
      </c>
      <c r="AN31" s="128">
        <f t="shared" si="11"/>
        <v>11.79933713381434</v>
      </c>
      <c r="AO31" s="128">
        <f t="shared" si="13"/>
        <v>6.5149856345318096</v>
      </c>
      <c r="AP31" s="135">
        <f t="shared" si="14"/>
        <v>-4.3014811803068298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40128.339560519991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f t="shared" si="4"/>
        <v>0</v>
      </c>
      <c r="T32" s="37"/>
      <c r="U32" s="37">
        <f t="shared" si="5"/>
        <v>0</v>
      </c>
      <c r="V32" s="37">
        <f t="shared" si="6"/>
        <v>0</v>
      </c>
      <c r="W32" s="35">
        <f t="shared" si="9"/>
        <v>0</v>
      </c>
      <c r="X32" s="34">
        <f t="shared" si="0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91201.857805079897</v>
      </c>
      <c r="AC32" s="58">
        <f t="shared" si="20"/>
        <v>3.2261108852301268</v>
      </c>
      <c r="AE32" s="24">
        <f t="shared" si="24"/>
        <v>30</v>
      </c>
      <c r="AF32" s="28">
        <f t="shared" si="21"/>
        <v>74524.059183822843</v>
      </c>
      <c r="AG32" s="30">
        <v>107943.03948199454</v>
      </c>
      <c r="AH32" s="58">
        <f t="shared" si="18"/>
        <v>22.174486693806227</v>
      </c>
      <c r="AJ32" s="126">
        <v>50</v>
      </c>
      <c r="AK32" s="127">
        <f t="shared" si="19"/>
        <v>36.95747782301035</v>
      </c>
      <c r="AL32" s="127">
        <f t="shared" si="12"/>
        <v>5.3768514753835337</v>
      </c>
      <c r="AM32" s="128">
        <f t="shared" si="10"/>
        <v>5.230623518032937</v>
      </c>
      <c r="AN32" s="128">
        <f t="shared" si="11"/>
        <v>21.772479701272836</v>
      </c>
      <c r="AO32" s="128">
        <f t="shared" si="13"/>
        <v>8.1437320431647926</v>
      </c>
      <c r="AP32" s="135">
        <f t="shared" si="14"/>
        <v>-5.3768514753835337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5210.7358064516138</v>
      </c>
      <c r="C33" s="1" t="s">
        <v>3</v>
      </c>
      <c r="E33" s="22" t="s">
        <v>65</v>
      </c>
      <c r="F33" s="10">
        <f>F32*(F22/100)*J20</f>
        <v>15429.346561019938</v>
      </c>
      <c r="G33" s="1" t="s">
        <v>3</v>
      </c>
      <c r="L33" s="9"/>
      <c r="N33" s="31">
        <f t="shared" si="8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 t="shared" si="4"/>
        <v>0</v>
      </c>
      <c r="T33" s="37"/>
      <c r="U33" s="37">
        <f t="shared" si="5"/>
        <v>0</v>
      </c>
      <c r="V33" s="37">
        <f t="shared" si="6"/>
        <v>0</v>
      </c>
      <c r="W33" s="35">
        <f t="shared" si="9"/>
        <v>0</v>
      </c>
      <c r="X33" s="34">
        <f t="shared" si="0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92151.964012688913</v>
      </c>
      <c r="AC33" s="58">
        <f t="shared" si="20"/>
        <v>4.3014811803068467</v>
      </c>
      <c r="AE33" s="24">
        <f t="shared" si="24"/>
        <v>40</v>
      </c>
      <c r="AF33" s="28">
        <f t="shared" si="21"/>
        <v>80256.679121039982</v>
      </c>
      <c r="AG33" s="30">
        <v>114473.53958190839</v>
      </c>
      <c r="AH33" s="58">
        <f t="shared" si="18"/>
        <v>29.565982258408269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144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310600</v>
      </c>
      <c r="K34" s="39" t="s">
        <v>42</v>
      </c>
      <c r="L34" s="9"/>
      <c r="N34" s="31">
        <f t="shared" si="8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f t="shared" si="4"/>
        <v>0</v>
      </c>
      <c r="T34" s="37"/>
      <c r="U34" s="37">
        <f t="shared" si="5"/>
        <v>0</v>
      </c>
      <c r="V34" s="37">
        <f t="shared" si="6"/>
        <v>0</v>
      </c>
      <c r="W34" s="35">
        <f t="shared" si="9"/>
        <v>0</v>
      </c>
      <c r="X34" s="34">
        <f t="shared" si="0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93102.070220297901</v>
      </c>
      <c r="AC34" s="58">
        <f t="shared" si="20"/>
        <v>5.3768514753835337</v>
      </c>
      <c r="AE34" s="24">
        <f t="shared" si="24"/>
        <v>50</v>
      </c>
      <c r="AF34" s="28">
        <f t="shared" si="21"/>
        <v>85989.299058257122</v>
      </c>
      <c r="AG34" s="30">
        <v>121004.03968182228</v>
      </c>
      <c r="AH34" s="58">
        <f t="shared" si="18"/>
        <v>36.95747782301035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f t="shared" si="4"/>
        <v>0</v>
      </c>
      <c r="T35" s="37"/>
      <c r="U35" s="37">
        <f t="shared" si="5"/>
        <v>0</v>
      </c>
      <c r="V35" s="37">
        <f t="shared" si="6"/>
        <v>0</v>
      </c>
      <c r="W35" s="35">
        <f t="shared" si="9"/>
        <v>0</v>
      </c>
      <c r="X35" s="34">
        <f t="shared" si="0"/>
        <v>0</v>
      </c>
      <c r="Y35" s="19"/>
    </row>
    <row r="36" spans="1:49" x14ac:dyDescent="0.25">
      <c r="A36" s="21" t="s">
        <v>182</v>
      </c>
      <c r="B36" s="18">
        <f>IF(B19=0,0,(B19/B8))</f>
        <v>8.1055012036669289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f t="shared" si="4"/>
        <v>0</v>
      </c>
      <c r="T36" s="37"/>
      <c r="U36" s="37">
        <f t="shared" si="5"/>
        <v>0</v>
      </c>
      <c r="V36" s="37">
        <f t="shared" si="6"/>
        <v>0</v>
      </c>
      <c r="W36" s="35">
        <f t="shared" si="9"/>
        <v>0</v>
      </c>
      <c r="X36" s="34">
        <f t="shared" si="0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A37" s="91"/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2050.2696927204493</v>
      </c>
      <c r="K37" s="12" t="s">
        <v>46</v>
      </c>
      <c r="L37" s="9"/>
      <c r="N37" s="31">
        <f t="shared" si="8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f t="shared" si="4"/>
        <v>0</v>
      </c>
      <c r="T37" s="37"/>
      <c r="U37" s="37">
        <f t="shared" si="5"/>
        <v>0</v>
      </c>
      <c r="V37" s="37">
        <f t="shared" si="6"/>
        <v>0</v>
      </c>
      <c r="W37" s="35">
        <f t="shared" si="9"/>
        <v>0</v>
      </c>
      <c r="X37" s="34">
        <f t="shared" si="0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B38" s="18"/>
      <c r="E38" s="22" t="s">
        <v>59</v>
      </c>
      <c r="F38" s="48">
        <f>F36*J17</f>
        <v>3.8016016470378444E-2</v>
      </c>
      <c r="G38" s="1" t="s">
        <v>58</v>
      </c>
      <c r="I38" s="22" t="s">
        <v>136</v>
      </c>
      <c r="J38" s="13">
        <f>F17/$B$8</f>
        <v>8.1055012036669289</v>
      </c>
      <c r="K38" s="1" t="s">
        <v>46</v>
      </c>
      <c r="L38" s="9"/>
      <c r="N38" s="31">
        <f t="shared" si="8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 t="shared" si="4"/>
        <v>0</v>
      </c>
      <c r="T38" s="37"/>
      <c r="U38" s="37">
        <f t="shared" si="5"/>
        <v>0</v>
      </c>
      <c r="V38" s="37">
        <f t="shared" si="6"/>
        <v>0</v>
      </c>
      <c r="W38" s="35">
        <f t="shared" si="9"/>
        <v>0</v>
      </c>
      <c r="X38" s="34">
        <f t="shared" si="0"/>
        <v>0</v>
      </c>
      <c r="Y38" s="19"/>
      <c r="Z38" s="24" t="s">
        <v>109</v>
      </c>
      <c r="AA38" s="25">
        <v>8505</v>
      </c>
      <c r="AB38" s="26">
        <f>X49</f>
        <v>88351.539182252876</v>
      </c>
      <c r="AC38" s="24"/>
      <c r="AE38" s="24" t="s">
        <v>109</v>
      </c>
      <c r="AF38" s="29">
        <v>31060</v>
      </c>
      <c r="AG38" s="30">
        <f>X49</f>
        <v>88351.539182252876</v>
      </c>
      <c r="AH38" s="24"/>
    </row>
    <row r="39" spans="1:49" x14ac:dyDescent="0.25">
      <c r="A39" s="21"/>
      <c r="B39" s="18"/>
      <c r="I39" s="22" t="s">
        <v>181</v>
      </c>
      <c r="J39" s="13">
        <f>F19/$B$8</f>
        <v>111.28853152634694</v>
      </c>
      <c r="K39" s="1" t="s">
        <v>46</v>
      </c>
      <c r="L39" s="9"/>
      <c r="N39" s="31">
        <f t="shared" si="8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f t="shared" si="4"/>
        <v>0</v>
      </c>
      <c r="T39" s="37"/>
      <c r="U39" s="37">
        <f t="shared" si="5"/>
        <v>0</v>
      </c>
      <c r="V39" s="37">
        <f t="shared" si="6"/>
        <v>0</v>
      </c>
      <c r="W39" s="35">
        <f t="shared" si="9"/>
        <v>0</v>
      </c>
      <c r="X39" s="34">
        <f t="shared" si="0"/>
        <v>0</v>
      </c>
      <c r="Y39" s="19"/>
      <c r="Z39" s="24">
        <f t="shared" ref="Z39:Z42" si="25">Z40-10</f>
        <v>-50</v>
      </c>
      <c r="AA39" s="25">
        <f t="shared" ref="AA39:AA49" si="26">$AA$38*(1+(Z39/100))</f>
        <v>4252.5</v>
      </c>
      <c r="AB39" s="30">
        <f t="dataTable" ref="AB39:AB49" dt2D="0" dtr="0" r1="B44" ca="1"/>
        <v>83730.202795241843</v>
      </c>
      <c r="AC39" s="58">
        <f>100*((AB39-$AB$44)/$AB$44)</f>
        <v>-5.2306235180329699</v>
      </c>
      <c r="AE39" s="24">
        <f t="shared" ref="AE39:AE42" si="27">AE40-10</f>
        <v>-50</v>
      </c>
      <c r="AF39" s="29">
        <f t="shared" ref="AF39:AF49" si="28">$AF$38*(1+(AE39/100))</f>
        <v>15530</v>
      </c>
      <c r="AG39" s="30">
        <f t="dataTable" ref="AG39:AG49" dt2D="0" dtr="0" r1="F12" ca="1"/>
        <v>64520.673270015046</v>
      </c>
      <c r="AH39" s="58">
        <f>100*((AG39-$AG$44)/$AG$44)</f>
        <v>-26.97277957215795</v>
      </c>
    </row>
    <row r="40" spans="1:49" ht="30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f t="shared" si="4"/>
        <v>0</v>
      </c>
      <c r="T40" s="37"/>
      <c r="U40" s="37">
        <f t="shared" si="5"/>
        <v>0</v>
      </c>
      <c r="V40" s="37">
        <f t="shared" si="6"/>
        <v>0</v>
      </c>
      <c r="W40" s="35">
        <f t="shared" si="9"/>
        <v>0</v>
      </c>
      <c r="X40" s="34">
        <f t="shared" si="0"/>
        <v>0</v>
      </c>
      <c r="Y40" s="19"/>
      <c r="Z40" s="24">
        <f t="shared" si="25"/>
        <v>-40</v>
      </c>
      <c r="AA40" s="25">
        <f t="shared" si="26"/>
        <v>5103</v>
      </c>
      <c r="AB40" s="30">
        <v>84654.470072644064</v>
      </c>
      <c r="AC40" s="58">
        <f t="shared" ref="AC40:AC49" si="29">100*((AB40-$AB$29)/$AB$29)</f>
        <v>-4.1844988144263597</v>
      </c>
      <c r="AE40" s="24">
        <f t="shared" si="27"/>
        <v>-40</v>
      </c>
      <c r="AF40" s="29">
        <f t="shared" si="28"/>
        <v>18636</v>
      </c>
      <c r="AG40" s="30">
        <v>72392.200831459297</v>
      </c>
      <c r="AH40" s="58">
        <f t="shared" ref="AH40:AH43" si="30">100*((AG40-$AG$44)/$AG$44)</f>
        <v>-18.063452542544187</v>
      </c>
    </row>
    <row r="41" spans="1:49" x14ac:dyDescent="0.25">
      <c r="A41" s="22" t="s">
        <v>194</v>
      </c>
      <c r="B41" s="8">
        <f>J8/B8</f>
        <v>42580.645161290326</v>
      </c>
      <c r="C41" s="1" t="s">
        <v>3</v>
      </c>
      <c r="E41" s="22" t="s">
        <v>94</v>
      </c>
      <c r="F41" s="46">
        <f>F38*F12</f>
        <v>1180.7774715699545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f t="shared" si="4"/>
        <v>0</v>
      </c>
      <c r="T41" s="37"/>
      <c r="U41" s="37">
        <f t="shared" si="5"/>
        <v>0</v>
      </c>
      <c r="V41" s="37">
        <f t="shared" si="6"/>
        <v>0</v>
      </c>
      <c r="W41" s="35">
        <f t="shared" si="9"/>
        <v>0</v>
      </c>
      <c r="X41" s="34">
        <f t="shared" si="0"/>
        <v>0</v>
      </c>
      <c r="Y41" s="19"/>
      <c r="Z41" s="24">
        <f t="shared" si="25"/>
        <v>-30</v>
      </c>
      <c r="AA41" s="25">
        <f t="shared" si="26"/>
        <v>5953.5</v>
      </c>
      <c r="AB41" s="30">
        <v>85578.737350046271</v>
      </c>
      <c r="AC41" s="58">
        <f t="shared" si="29"/>
        <v>-3.138374110819766</v>
      </c>
      <c r="AE41" s="24">
        <f t="shared" si="27"/>
        <v>-30</v>
      </c>
      <c r="AF41" s="29">
        <f t="shared" si="28"/>
        <v>21742</v>
      </c>
      <c r="AG41" s="30">
        <v>75055.449502092815</v>
      </c>
      <c r="AH41" s="58">
        <f t="shared" si="30"/>
        <v>-15.049075322539304</v>
      </c>
    </row>
    <row r="42" spans="1:49" x14ac:dyDescent="0.25">
      <c r="A42" s="38" t="s">
        <v>115</v>
      </c>
      <c r="B42" s="42">
        <f>IF(J24="No",J9*J10,0)</f>
        <v>8505</v>
      </c>
      <c r="C42" s="39" t="s">
        <v>3</v>
      </c>
      <c r="I42" s="22" t="s">
        <v>67</v>
      </c>
      <c r="J42" s="20">
        <f>F21*F12/$B$8</f>
        <v>1863.6</v>
      </c>
      <c r="K42" s="1" t="s">
        <v>46</v>
      </c>
      <c r="L42" s="9"/>
      <c r="N42" s="31">
        <f t="shared" si="8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f t="shared" si="4"/>
        <v>0</v>
      </c>
      <c r="T42" s="37"/>
      <c r="U42" s="37">
        <f t="shared" si="5"/>
        <v>0</v>
      </c>
      <c r="V42" s="37">
        <f t="shared" si="6"/>
        <v>0</v>
      </c>
      <c r="W42" s="35">
        <f t="shared" si="9"/>
        <v>0</v>
      </c>
      <c r="X42" s="34">
        <f t="shared" si="0"/>
        <v>0</v>
      </c>
      <c r="Y42" s="19"/>
      <c r="Z42" s="24">
        <f t="shared" si="25"/>
        <v>-20</v>
      </c>
      <c r="AA42" s="25">
        <f t="shared" si="26"/>
        <v>6804</v>
      </c>
      <c r="AB42" s="30">
        <v>86503.004627448463</v>
      </c>
      <c r="AC42" s="58">
        <f t="shared" si="29"/>
        <v>-2.0922494072131879</v>
      </c>
      <c r="AE42" s="24">
        <f t="shared" si="27"/>
        <v>-20</v>
      </c>
      <c r="AF42" s="29">
        <f t="shared" si="28"/>
        <v>24848</v>
      </c>
      <c r="AG42" s="30">
        <v>77732.4041698074</v>
      </c>
      <c r="AH42" s="58">
        <f t="shared" si="30"/>
        <v>-12.019185076719678</v>
      </c>
    </row>
    <row r="43" spans="1:49" x14ac:dyDescent="0.25">
      <c r="A43" s="21" t="s">
        <v>117</v>
      </c>
      <c r="B43" s="10">
        <f>(1+(B17/100))*B41</f>
        <v>42580.645161290326</v>
      </c>
      <c r="C43" s="1" t="s">
        <v>3</v>
      </c>
      <c r="L43" s="9"/>
      <c r="N43" s="31">
        <f t="shared" si="8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 t="shared" si="4"/>
        <v>0</v>
      </c>
      <c r="T43" s="37"/>
      <c r="U43" s="37">
        <f t="shared" si="5"/>
        <v>0</v>
      </c>
      <c r="V43" s="37">
        <f t="shared" si="6"/>
        <v>0</v>
      </c>
      <c r="W43" s="35">
        <f t="shared" si="9"/>
        <v>0</v>
      </c>
      <c r="X43" s="34">
        <f t="shared" si="0"/>
        <v>0</v>
      </c>
      <c r="Y43" s="19"/>
      <c r="Z43" s="24">
        <f>Z44-10</f>
        <v>-10</v>
      </c>
      <c r="AA43" s="25">
        <f t="shared" si="26"/>
        <v>7654.5</v>
      </c>
      <c r="AB43" s="30">
        <v>87427.27190485067</v>
      </c>
      <c r="AC43" s="58">
        <f t="shared" si="29"/>
        <v>-1.0461247036065939</v>
      </c>
      <c r="AE43" s="24">
        <f>AE44-10</f>
        <v>-10</v>
      </c>
      <c r="AF43" s="29">
        <f t="shared" si="28"/>
        <v>27954</v>
      </c>
      <c r="AG43" s="30">
        <v>80423.750134457106</v>
      </c>
      <c r="AH43" s="58">
        <f t="shared" si="30"/>
        <v>-8.973006153794568</v>
      </c>
    </row>
    <row r="44" spans="1:49" x14ac:dyDescent="0.25">
      <c r="A44" s="21" t="s">
        <v>118</v>
      </c>
      <c r="B44" s="59">
        <f>(1+(B17/100))*B42</f>
        <v>8505</v>
      </c>
      <c r="C44" s="1" t="s">
        <v>3</v>
      </c>
      <c r="E44" s="97" t="s">
        <v>162</v>
      </c>
      <c r="F44" s="98"/>
      <c r="G44" s="98"/>
      <c r="L44" s="9"/>
      <c r="N44" s="31">
        <f t="shared" si="8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f t="shared" si="4"/>
        <v>0</v>
      </c>
      <c r="T44" s="37"/>
      <c r="U44" s="37">
        <f t="shared" si="5"/>
        <v>0</v>
      </c>
      <c r="V44" s="37">
        <f t="shared" si="6"/>
        <v>0</v>
      </c>
      <c r="W44" s="35">
        <f t="shared" si="9"/>
        <v>0</v>
      </c>
      <c r="X44" s="34">
        <f t="shared" si="0"/>
        <v>0</v>
      </c>
      <c r="Y44" s="19"/>
      <c r="Z44" s="60">
        <v>0</v>
      </c>
      <c r="AA44" s="65">
        <f>$AA$38*(1+(Z44/100))</f>
        <v>8505</v>
      </c>
      <c r="AB44" s="62">
        <v>88351.539182252876</v>
      </c>
      <c r="AC44" s="63">
        <f t="shared" si="29"/>
        <v>0</v>
      </c>
      <c r="AE44" s="60">
        <v>0</v>
      </c>
      <c r="AF44" s="61">
        <f t="shared" si="28"/>
        <v>31060</v>
      </c>
      <c r="AG44" s="62">
        <v>88351.539182252876</v>
      </c>
      <c r="AH44" s="63">
        <f>100*((AG44-$AG$44)/$AG$44)</f>
        <v>0</v>
      </c>
    </row>
    <row r="45" spans="1:49" x14ac:dyDescent="0.25">
      <c r="A45" s="1" t="s">
        <v>150</v>
      </c>
      <c r="B45" s="10">
        <f>B43+B44</f>
        <v>51085.645161290326</v>
      </c>
      <c r="C45" s="1" t="s">
        <v>3</v>
      </c>
      <c r="E45" s="104" t="s">
        <v>167</v>
      </c>
      <c r="F45" s="99">
        <f>((1+(B16/100))*J9*J10)*(1+(B13%+B14%+B15%))</f>
        <v>9525.6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f t="shared" si="4"/>
        <v>0</v>
      </c>
      <c r="T45" s="37"/>
      <c r="U45" s="37">
        <f t="shared" si="5"/>
        <v>0</v>
      </c>
      <c r="V45" s="37">
        <f t="shared" si="6"/>
        <v>0</v>
      </c>
      <c r="W45" s="35">
        <f t="shared" si="9"/>
        <v>0</v>
      </c>
      <c r="X45" s="34">
        <f t="shared" si="0"/>
        <v>0</v>
      </c>
      <c r="Y45" s="19"/>
      <c r="Z45" s="24">
        <f>Z44+10</f>
        <v>10</v>
      </c>
      <c r="AA45" s="25">
        <f t="shared" si="26"/>
        <v>9355.5</v>
      </c>
      <c r="AB45" s="30">
        <v>89275.806459655068</v>
      </c>
      <c r="AC45" s="58">
        <f t="shared" si="29"/>
        <v>1.0461247036065775</v>
      </c>
      <c r="AE45" s="24">
        <f>AE44+10</f>
        <v>10</v>
      </c>
      <c r="AF45" s="29">
        <f t="shared" si="28"/>
        <v>34166</v>
      </c>
      <c r="AG45" s="30">
        <v>90740.667911264769</v>
      </c>
      <c r="AH45" s="58">
        <f t="shared" ref="AH45:AH49" si="31">100*((AG45-$AG$44)/$AG$44)</f>
        <v>2.7041167037096683</v>
      </c>
    </row>
    <row r="46" spans="1:49" x14ac:dyDescent="0.25">
      <c r="A46" s="1" t="s">
        <v>151</v>
      </c>
      <c r="B46" s="78">
        <f>(1+B15/100)*B45</f>
        <v>52107.358064516135</v>
      </c>
      <c r="C46" s="1" t="s">
        <v>3</v>
      </c>
      <c r="E46" s="98" t="s">
        <v>168</v>
      </c>
      <c r="F46" s="99">
        <f>((J21%)*F45)+(((1-J21%)*F45)*(1+(F22%*J20)))</f>
        <v>12089.41524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f t="shared" si="4"/>
        <v>0</v>
      </c>
      <c r="T46" s="37"/>
      <c r="U46" s="37">
        <f t="shared" si="5"/>
        <v>0</v>
      </c>
      <c r="V46" s="37">
        <f t="shared" si="6"/>
        <v>0</v>
      </c>
      <c r="W46" s="35">
        <f t="shared" si="9"/>
        <v>0</v>
      </c>
      <c r="X46" s="34">
        <f t="shared" si="0"/>
        <v>0</v>
      </c>
      <c r="Y46" s="19"/>
      <c r="Z46" s="24">
        <f t="shared" ref="Z46:Z49" si="32">Z45+10</f>
        <v>20</v>
      </c>
      <c r="AA46" s="25">
        <f t="shared" si="26"/>
        <v>10206</v>
      </c>
      <c r="AB46" s="30">
        <v>90200.073737057275</v>
      </c>
      <c r="AC46" s="58">
        <f t="shared" si="29"/>
        <v>2.0922494072131719</v>
      </c>
      <c r="AE46" s="24">
        <f t="shared" ref="AE46:AE49" si="33">AE45+10</f>
        <v>20</v>
      </c>
      <c r="AF46" s="29">
        <f t="shared" si="28"/>
        <v>37272</v>
      </c>
      <c r="AG46" s="30">
        <v>93998.177695257196</v>
      </c>
      <c r="AH46" s="58">
        <f t="shared" si="31"/>
        <v>6.3911037263950199</v>
      </c>
    </row>
    <row r="47" spans="1:49" x14ac:dyDescent="0.25">
      <c r="A47" s="21" t="s">
        <v>116</v>
      </c>
      <c r="B47" s="18">
        <f>B46+SUM(B33:B36)</f>
        <v>57326.199372171417</v>
      </c>
      <c r="C47" s="1" t="s">
        <v>3</v>
      </c>
      <c r="E47" s="98" t="s">
        <v>98</v>
      </c>
      <c r="F47" s="99">
        <f>J12*J11</f>
        <v>180000</v>
      </c>
      <c r="G47" s="98" t="s">
        <v>42</v>
      </c>
      <c r="L47" s="9"/>
      <c r="N47" s="31">
        <f t="shared" si="8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f t="shared" si="4"/>
        <v>0</v>
      </c>
      <c r="T47" s="37"/>
      <c r="U47" s="37">
        <f t="shared" si="5"/>
        <v>0</v>
      </c>
      <c r="V47" s="37">
        <f t="shared" si="6"/>
        <v>0</v>
      </c>
      <c r="W47" s="35">
        <f t="shared" si="9"/>
        <v>0</v>
      </c>
      <c r="X47" s="34">
        <f t="shared" si="0"/>
        <v>0</v>
      </c>
      <c r="Y47" s="19"/>
      <c r="Z47" s="24">
        <f t="shared" si="32"/>
        <v>30</v>
      </c>
      <c r="AA47" s="25">
        <f t="shared" si="26"/>
        <v>11056.5</v>
      </c>
      <c r="AB47" s="30">
        <v>91124.341014459467</v>
      </c>
      <c r="AC47" s="58">
        <f t="shared" si="29"/>
        <v>3.1383741108197492</v>
      </c>
      <c r="AE47" s="24">
        <f t="shared" si="33"/>
        <v>30</v>
      </c>
      <c r="AF47" s="29">
        <f t="shared" si="28"/>
        <v>40378</v>
      </c>
      <c r="AG47" s="30">
        <v>96387.306424269089</v>
      </c>
      <c r="AH47" s="58">
        <f t="shared" si="31"/>
        <v>9.0952204301046891</v>
      </c>
    </row>
    <row r="48" spans="1:49" x14ac:dyDescent="0.25">
      <c r="A48" s="21" t="s">
        <v>172</v>
      </c>
      <c r="B48" s="18">
        <f>SUM(B31:B32)</f>
        <v>0</v>
      </c>
      <c r="C48" s="1" t="s">
        <v>3</v>
      </c>
      <c r="E48" s="98" t="s">
        <v>163</v>
      </c>
      <c r="F48" s="100">
        <f>(F46/F47)*J25</f>
        <v>8.7312443400000009E-2</v>
      </c>
      <c r="G48" s="98" t="s">
        <v>58</v>
      </c>
      <c r="L48" s="9"/>
      <c r="N48" s="31">
        <f t="shared" si="8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 t="shared" si="4"/>
        <v>0</v>
      </c>
      <c r="T48" s="37"/>
      <c r="U48" s="37">
        <f t="shared" si="5"/>
        <v>0</v>
      </c>
      <c r="V48" s="37">
        <f t="shared" si="6"/>
        <v>0</v>
      </c>
      <c r="W48" s="35">
        <f t="shared" si="9"/>
        <v>0</v>
      </c>
      <c r="X48" s="34">
        <f t="shared" si="0"/>
        <v>0</v>
      </c>
      <c r="Y48" s="19"/>
      <c r="Z48" s="24">
        <f t="shared" si="32"/>
        <v>40</v>
      </c>
      <c r="AA48" s="25">
        <f t="shared" si="26"/>
        <v>11907</v>
      </c>
      <c r="AB48" s="30">
        <v>92048.608291861674</v>
      </c>
      <c r="AC48" s="58">
        <f t="shared" si="29"/>
        <v>4.1844988144263437</v>
      </c>
      <c r="AE48" s="24">
        <f t="shared" si="33"/>
        <v>40</v>
      </c>
      <c r="AF48" s="29">
        <f t="shared" si="28"/>
        <v>43484</v>
      </c>
      <c r="AG48" s="30">
        <v>98776.435153280967</v>
      </c>
      <c r="AH48" s="58">
        <f t="shared" si="31"/>
        <v>11.79933713381434</v>
      </c>
    </row>
    <row r="49" spans="1:34" x14ac:dyDescent="0.25">
      <c r="A49" s="21" t="s">
        <v>173</v>
      </c>
      <c r="B49" s="18">
        <f>B47-B48</f>
        <v>57326.199372171417</v>
      </c>
      <c r="C49" s="1" t="s">
        <v>3</v>
      </c>
      <c r="E49" s="98" t="s">
        <v>164</v>
      </c>
      <c r="F49" s="101">
        <f>J26*365</f>
        <v>36500</v>
      </c>
      <c r="G49" s="98" t="s">
        <v>37</v>
      </c>
      <c r="L49" s="9"/>
      <c r="N49" s="32" t="s">
        <v>74</v>
      </c>
      <c r="O49" s="34">
        <f>SUM(O8:O48)</f>
        <v>17197.859811651426</v>
      </c>
      <c r="P49" s="34">
        <f t="shared" ref="P49:V49" si="34">SUM(P8:P48)</f>
        <v>48107.141187487359</v>
      </c>
      <c r="Q49" s="34">
        <f t="shared" si="34"/>
        <v>9501.0620760900565</v>
      </c>
      <c r="R49" s="34">
        <f t="shared" si="34"/>
        <v>0</v>
      </c>
      <c r="S49" s="34">
        <f t="shared" si="34"/>
        <v>15831.639100528504</v>
      </c>
      <c r="T49" s="34"/>
      <c r="U49" s="34">
        <f t="shared" si="34"/>
        <v>11885.2222671784</v>
      </c>
      <c r="V49" s="34">
        <f t="shared" si="34"/>
        <v>0</v>
      </c>
      <c r="W49" s="34">
        <f>SUM(W8:W48)</f>
        <v>-14171.38526068286</v>
      </c>
      <c r="X49" s="34">
        <f>SUM(X8:X48)</f>
        <v>88351.539182252876</v>
      </c>
      <c r="Y49" s="19"/>
      <c r="Z49" s="24">
        <f t="shared" si="32"/>
        <v>50</v>
      </c>
      <c r="AA49" s="25">
        <f t="shared" si="26"/>
        <v>12757.5</v>
      </c>
      <c r="AB49" s="30">
        <v>92972.875569263881</v>
      </c>
      <c r="AC49" s="58">
        <f t="shared" si="29"/>
        <v>5.230623518032937</v>
      </c>
      <c r="AE49" s="24">
        <f t="shared" si="33"/>
        <v>50</v>
      </c>
      <c r="AF49" s="29">
        <f t="shared" si="28"/>
        <v>46590</v>
      </c>
      <c r="AG49" s="30">
        <v>107587.860116471</v>
      </c>
      <c r="AH49" s="58">
        <f t="shared" si="31"/>
        <v>21.772479701272836</v>
      </c>
    </row>
    <row r="50" spans="1:34" x14ac:dyDescent="0.25">
      <c r="E50" s="98" t="s">
        <v>165</v>
      </c>
      <c r="F50" s="102">
        <f>F48*F49</f>
        <v>3186.9041841000003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166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160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170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1863.6</v>
      </c>
      <c r="AB53" s="30">
        <f>X49</f>
        <v>88351.539182252876</v>
      </c>
      <c r="AC53" s="24"/>
      <c r="AE53" s="108" t="s">
        <v>109</v>
      </c>
      <c r="AF53" s="109">
        <v>100</v>
      </c>
      <c r="AG53" s="110">
        <f>X49</f>
        <v>88351.539182252876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5">Z55-10</f>
        <v>-50</v>
      </c>
      <c r="AA54" s="29">
        <f>$AA$53*(1+(Z54/100))</f>
        <v>931.8</v>
      </c>
      <c r="AB54" s="30">
        <f t="dataTable" ref="AB54:AB64" dt2D="0" dtr="0" r1="J42" ca="1"/>
        <v>81156.426575238467</v>
      </c>
      <c r="AC54" s="58">
        <f t="shared" ref="AC54:AC64" si="36">100*((AB54-$AG$29)/$AG$29)</f>
        <v>-8.1437320431647748</v>
      </c>
      <c r="AE54" s="108">
        <f t="shared" ref="AE54:AE56" si="37">AE55-20</f>
        <v>-100</v>
      </c>
      <c r="AF54" s="109">
        <f>$AF$53*(1+(AE54/100))</f>
        <v>0</v>
      </c>
      <c r="AG54" s="110">
        <f t="dataTable" ref="AG54:AG64" dt2D="0" dtr="0" r1="J26" ca="1"/>
        <v>88351.539182252876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65305.000999138785</v>
      </c>
      <c r="Q55" s="1" t="s">
        <v>3</v>
      </c>
      <c r="R55" s="56">
        <f>P55/$J$34</f>
        <v>0.21025434964307399</v>
      </c>
      <c r="S55" s="1" t="s">
        <v>58</v>
      </c>
      <c r="V55" s="70"/>
      <c r="X55" s="68"/>
      <c r="Y55" s="68"/>
      <c r="Z55" s="24">
        <f t="shared" si="35"/>
        <v>-40</v>
      </c>
      <c r="AA55" s="29">
        <f t="shared" ref="AA55:AA64" si="38">$AA$53*(1+(Z55/100))</f>
        <v>1118.1599999999999</v>
      </c>
      <c r="AB55" s="30">
        <v>82595.449096641372</v>
      </c>
      <c r="AC55" s="58">
        <f t="shared" si="36"/>
        <v>-6.5149856345317936</v>
      </c>
      <c r="AE55" s="108">
        <f t="shared" si="37"/>
        <v>-80</v>
      </c>
      <c r="AF55" s="109">
        <f t="shared" ref="AF55:AF64" si="39">$AF$53*(1+(AE55/100))</f>
        <v>19.999999999999996</v>
      </c>
      <c r="AG55" s="110">
        <v>88351.539182252876</v>
      </c>
      <c r="AH55" s="58">
        <f t="shared" ref="AH55:AH64" si="40">100*((AG55-$AG$59)/$AG$59)</f>
        <v>0</v>
      </c>
    </row>
    <row r="56" spans="1:34" x14ac:dyDescent="0.25">
      <c r="O56" s="1" t="s">
        <v>97</v>
      </c>
      <c r="P56" s="52">
        <f>SUM(Q49:R49)</f>
        <v>9501.0620760900565</v>
      </c>
      <c r="Q56" s="1" t="s">
        <v>3</v>
      </c>
      <c r="R56" s="56">
        <f>P56/$J$34</f>
        <v>3.0589382086574555E-2</v>
      </c>
      <c r="S56" s="1" t="s">
        <v>58</v>
      </c>
      <c r="U56" s="51"/>
      <c r="V56" s="70"/>
      <c r="X56" s="68"/>
      <c r="Y56" s="68"/>
      <c r="Z56" s="24">
        <f t="shared" si="35"/>
        <v>-30</v>
      </c>
      <c r="AA56" s="29">
        <f t="shared" si="38"/>
        <v>1304.5199999999998</v>
      </c>
      <c r="AB56" s="30">
        <v>84034.471618044234</v>
      </c>
      <c r="AC56" s="58">
        <f t="shared" si="36"/>
        <v>-4.8862392258988621</v>
      </c>
      <c r="AE56" s="108">
        <f t="shared" si="37"/>
        <v>-60</v>
      </c>
      <c r="AF56" s="109">
        <f t="shared" si="39"/>
        <v>40</v>
      </c>
      <c r="AG56" s="110">
        <v>88351.539182252876</v>
      </c>
      <c r="AH56" s="58">
        <f t="shared" si="40"/>
        <v>0</v>
      </c>
    </row>
    <row r="57" spans="1:34" x14ac:dyDescent="0.25">
      <c r="O57" s="1" t="s">
        <v>114</v>
      </c>
      <c r="P57" s="52">
        <f>SUM(S49:T49)</f>
        <v>15831.639100528504</v>
      </c>
      <c r="Q57" s="1" t="s">
        <v>3</v>
      </c>
      <c r="R57" s="56">
        <f>P57/$J$34</f>
        <v>5.0971149711939806E-2</v>
      </c>
      <c r="S57" s="1" t="s">
        <v>58</v>
      </c>
      <c r="U57" s="51"/>
      <c r="V57" s="70"/>
      <c r="X57" s="68"/>
      <c r="Y57" s="68"/>
      <c r="Z57" s="24">
        <f t="shared" si="35"/>
        <v>-20</v>
      </c>
      <c r="AA57" s="29">
        <f t="shared" si="38"/>
        <v>1490.88</v>
      </c>
      <c r="AB57" s="30">
        <v>85473.494139447124</v>
      </c>
      <c r="AC57" s="58">
        <f t="shared" si="36"/>
        <v>-3.2574928172658968</v>
      </c>
      <c r="AE57" s="108">
        <f>AE58-20</f>
        <v>-40</v>
      </c>
      <c r="AF57" s="109">
        <f t="shared" si="39"/>
        <v>60</v>
      </c>
      <c r="AG57" s="110">
        <v>88351.539182252876</v>
      </c>
      <c r="AH57" s="58">
        <f t="shared" si="40"/>
        <v>0</v>
      </c>
    </row>
    <row r="58" spans="1:34" x14ac:dyDescent="0.25">
      <c r="O58" s="1" t="s">
        <v>105</v>
      </c>
      <c r="P58" s="52">
        <f>SUM(U49:V49)</f>
        <v>11885.2222671784</v>
      </c>
      <c r="Q58" s="1" t="s">
        <v>3</v>
      </c>
      <c r="R58" s="56">
        <f>P58/$J$34</f>
        <v>3.8265364672177719E-2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8"/>
        <v>1677.24</v>
      </c>
      <c r="AB58" s="30">
        <v>86912.51666085</v>
      </c>
      <c r="AC58" s="58">
        <f t="shared" si="36"/>
        <v>-1.6287464086329484</v>
      </c>
      <c r="AE58" s="108">
        <f>AE59-20</f>
        <v>-20</v>
      </c>
      <c r="AF58" s="109">
        <f t="shared" si="39"/>
        <v>80</v>
      </c>
      <c r="AG58" s="110">
        <v>88351.539182252876</v>
      </c>
      <c r="AH58" s="58">
        <f t="shared" si="40"/>
        <v>0</v>
      </c>
    </row>
    <row r="59" spans="1:34" x14ac:dyDescent="0.25">
      <c r="O59" s="1" t="s">
        <v>106</v>
      </c>
      <c r="P59" s="52">
        <f>W49</f>
        <v>-14171.38526068286</v>
      </c>
      <c r="Q59" s="1" t="s">
        <v>3</v>
      </c>
      <c r="R59" s="56">
        <f>P59/$J$34</f>
        <v>-4.5625837928792212E-2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8"/>
        <v>1863.6</v>
      </c>
      <c r="AB59" s="62">
        <v>88351.539182252876</v>
      </c>
      <c r="AC59" s="63">
        <f t="shared" si="36"/>
        <v>0</v>
      </c>
      <c r="AE59" s="111">
        <v>0</v>
      </c>
      <c r="AF59" s="112">
        <f t="shared" si="39"/>
        <v>100</v>
      </c>
      <c r="AG59" s="113">
        <v>88351.539182252876</v>
      </c>
      <c r="AH59" s="63">
        <f t="shared" si="40"/>
        <v>0</v>
      </c>
    </row>
    <row r="60" spans="1:34" x14ac:dyDescent="0.25">
      <c r="O60" s="12" t="s">
        <v>75</v>
      </c>
      <c r="P60" s="55">
        <f>SUM(P55:P59)</f>
        <v>88351.539182252891</v>
      </c>
      <c r="Q60" s="12" t="s">
        <v>3</v>
      </c>
      <c r="R60" s="57">
        <f>SUM(R55:R59)</f>
        <v>0.28445440818497386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8"/>
        <v>2049.96</v>
      </c>
      <c r="AB60" s="30">
        <v>89790.561703655767</v>
      </c>
      <c r="AC60" s="58">
        <f t="shared" si="36"/>
        <v>1.628746408632965</v>
      </c>
      <c r="AE60" s="108">
        <f>AE59+20</f>
        <v>20</v>
      </c>
      <c r="AF60" s="109">
        <f t="shared" si="39"/>
        <v>120</v>
      </c>
      <c r="AG60" s="110">
        <v>88351.539182252876</v>
      </c>
      <c r="AH60" s="58">
        <f t="shared" si="40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1">Z60+10</f>
        <v>20</v>
      </c>
      <c r="AA61" s="29">
        <f t="shared" si="38"/>
        <v>2236.3199999999997</v>
      </c>
      <c r="AB61" s="30">
        <v>91229.584225058628</v>
      </c>
      <c r="AC61" s="58">
        <f t="shared" si="36"/>
        <v>3.2574928172658968</v>
      </c>
      <c r="AE61" s="108">
        <f t="shared" ref="AE61:AE64" si="42">AE60+20</f>
        <v>40</v>
      </c>
      <c r="AF61" s="109">
        <f t="shared" si="39"/>
        <v>140</v>
      </c>
      <c r="AG61" s="110">
        <v>88351.539182252876</v>
      </c>
      <c r="AH61" s="58">
        <f t="shared" si="40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1"/>
        <v>30</v>
      </c>
      <c r="AA62" s="29">
        <f t="shared" si="38"/>
        <v>2422.6799999999998</v>
      </c>
      <c r="AB62" s="30">
        <v>92668.606746461533</v>
      </c>
      <c r="AC62" s="58">
        <f t="shared" si="36"/>
        <v>4.8862392258988789</v>
      </c>
      <c r="AE62" s="108">
        <f t="shared" si="42"/>
        <v>60</v>
      </c>
      <c r="AF62" s="109">
        <f t="shared" si="39"/>
        <v>160</v>
      </c>
      <c r="AG62" s="110">
        <v>88351.539182252876</v>
      </c>
      <c r="AH62" s="58">
        <f t="shared" si="40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1"/>
        <v>40</v>
      </c>
      <c r="AA63" s="29">
        <f t="shared" si="38"/>
        <v>2609.0399999999995</v>
      </c>
      <c r="AB63" s="30">
        <v>94107.629267864395</v>
      </c>
      <c r="AC63" s="58">
        <f t="shared" si="36"/>
        <v>6.5149856345318096</v>
      </c>
      <c r="AE63" s="108">
        <f t="shared" si="42"/>
        <v>80</v>
      </c>
      <c r="AF63" s="109">
        <f t="shared" si="39"/>
        <v>180</v>
      </c>
      <c r="AG63" s="110">
        <v>88351.539182252876</v>
      </c>
      <c r="AH63" s="58">
        <f t="shared" si="40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1"/>
        <v>50</v>
      </c>
      <c r="AA64" s="29">
        <f t="shared" si="38"/>
        <v>2795.3999999999996</v>
      </c>
      <c r="AB64" s="30">
        <v>95546.6517892673</v>
      </c>
      <c r="AC64" s="58">
        <f t="shared" si="36"/>
        <v>8.1437320431647926</v>
      </c>
      <c r="AE64" s="108">
        <f t="shared" si="42"/>
        <v>100</v>
      </c>
      <c r="AF64" s="109">
        <f t="shared" si="39"/>
        <v>200</v>
      </c>
      <c r="AG64" s="110">
        <v>88351.539182252876</v>
      </c>
      <c r="AH64" s="58">
        <f t="shared" si="40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193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193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0.19</v>
      </c>
      <c r="AB68" s="110">
        <f>X49</f>
        <v>88351.539182252876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3">Z70-10</f>
        <v>-50</v>
      </c>
      <c r="AA69" s="130">
        <f>$AA$68*(1+(-Z69/100))</f>
        <v>0.28500000000000003</v>
      </c>
      <c r="AB69" s="110">
        <f t="dataTable" ref="AB69:AB79" dt2D="0" dtr="0" r1="J17" ca="1"/>
        <v>93102.070220297901</v>
      </c>
      <c r="AC69" s="131">
        <f>100*((AB69-$AB$74)/$AB$74)</f>
        <v>5.3768514753835337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3"/>
        <v>-40</v>
      </c>
      <c r="AA70" s="130">
        <f t="shared" ref="AA70:AA79" si="44">$AA$68*(1+(-Z70/100))</f>
        <v>0.26599999999999996</v>
      </c>
      <c r="AB70" s="110">
        <v>92151.964012688913</v>
      </c>
      <c r="AC70" s="131">
        <f t="shared" ref="AC70:AC79" si="45">100*((AB70-$AB$74)/$AB$74)</f>
        <v>4.3014811803068467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3"/>
        <v>-30</v>
      </c>
      <c r="AA71" s="130">
        <f t="shared" si="44"/>
        <v>0.24700000000000003</v>
      </c>
      <c r="AB71" s="110">
        <v>91201.857805079911</v>
      </c>
      <c r="AC71" s="131">
        <f t="shared" si="45"/>
        <v>3.2261108852301437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3"/>
        <v>-20</v>
      </c>
      <c r="AA72" s="130">
        <f t="shared" si="44"/>
        <v>0.22799999999999998</v>
      </c>
      <c r="AB72" s="110">
        <v>90251.751597470924</v>
      </c>
      <c r="AC72" s="131">
        <f t="shared" si="45"/>
        <v>2.1507405901534562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3"/>
        <v>-10</v>
      </c>
      <c r="AA73" s="130">
        <f t="shared" si="44"/>
        <v>0.20900000000000002</v>
      </c>
      <c r="AB73" s="110">
        <v>89301.645389861864</v>
      </c>
      <c r="AC73" s="131">
        <f t="shared" si="45"/>
        <v>1.075370295076687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4"/>
        <v>0.19</v>
      </c>
      <c r="AB74" s="113">
        <v>88351.539182252876</v>
      </c>
      <c r="AC74" s="133">
        <f t="shared" si="45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6">Z74+10</f>
        <v>10</v>
      </c>
      <c r="AA75" s="130">
        <f t="shared" si="44"/>
        <v>0.17100000000000001</v>
      </c>
      <c r="AB75" s="110">
        <v>87401.432974643889</v>
      </c>
      <c r="AC75" s="131">
        <f t="shared" si="45"/>
        <v>-1.075370295076687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6"/>
        <v>20</v>
      </c>
      <c r="AA76" s="130">
        <f t="shared" si="44"/>
        <v>0.15200000000000002</v>
      </c>
      <c r="AB76" s="110">
        <v>86451.326767034872</v>
      </c>
      <c r="AC76" s="131">
        <f t="shared" si="45"/>
        <v>-2.1507405901534069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6"/>
        <v>30</v>
      </c>
      <c r="AA77" s="130">
        <f t="shared" si="44"/>
        <v>0.13299999999999998</v>
      </c>
      <c r="AB77" s="110">
        <v>85501.22055942587</v>
      </c>
      <c r="AC77" s="131">
        <f t="shared" si="45"/>
        <v>-3.2261108852301099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6"/>
        <v>40</v>
      </c>
      <c r="AA78" s="130">
        <f t="shared" si="44"/>
        <v>0.11399999999999999</v>
      </c>
      <c r="AB78" s="110">
        <v>84551.114351816854</v>
      </c>
      <c r="AC78" s="131">
        <f t="shared" si="45"/>
        <v>-4.3014811803068298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6"/>
        <v>50</v>
      </c>
      <c r="AA79" s="130">
        <f t="shared" si="44"/>
        <v>9.5000000000000001E-2</v>
      </c>
      <c r="AB79" s="110">
        <v>83601.008144207852</v>
      </c>
      <c r="AC79" s="131">
        <f t="shared" si="45"/>
        <v>-5.3768514753835337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364D0E-8B1B-4677-A77D-8819BBE06AA0}">
          <x14:formula1>
            <xm:f>Description!$A$18:$A$19</xm:f>
          </x14:formula1>
          <xm:sqref>J24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8DA-3D23-4F41-9854-AED985C61CC9}">
  <sheetPr>
    <tabColor theme="4"/>
  </sheetPr>
  <dimension ref="A1:AL95"/>
  <sheetViews>
    <sheetView zoomScale="92" zoomScaleNormal="55" workbookViewId="0">
      <selection activeCell="E15" sqref="E15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5.7109375" style="1" bestFit="1" customWidth="1"/>
    <col min="7" max="7" width="8.85546875" style="1" customWidth="1"/>
    <col min="8" max="8" width="19.28515625" style="1" customWidth="1"/>
    <col min="9" max="9" width="48.2851562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15.7109375" style="1" bestFit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3.8554687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84892.153291669514</v>
      </c>
      <c r="C2" s="12" t="s">
        <v>3</v>
      </c>
    </row>
    <row r="3" spans="1:27" x14ac:dyDescent="0.25">
      <c r="B3" s="44">
        <f>B2/F41</f>
        <v>0.27331665580061015</v>
      </c>
      <c r="C3" s="12" t="s">
        <v>58</v>
      </c>
    </row>
    <row r="4" spans="1:27" x14ac:dyDescent="0.25">
      <c r="A4" s="12" t="s">
        <v>60</v>
      </c>
      <c r="J4" s="77"/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E5" s="77"/>
      <c r="F5" s="46"/>
      <c r="J5" s="77"/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146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8">
        <v>238786451.61290324</v>
      </c>
      <c r="K8" s="1" t="s">
        <v>134</v>
      </c>
      <c r="L8" s="9"/>
      <c r="N8" s="31">
        <v>0</v>
      </c>
      <c r="O8" s="33">
        <f>F31</f>
        <v>3660.4961664901325</v>
      </c>
      <c r="P8" s="31"/>
      <c r="Q8" s="31"/>
      <c r="R8" s="31"/>
      <c r="S8" s="92">
        <v>0</v>
      </c>
      <c r="T8" s="31"/>
      <c r="U8" s="34">
        <f t="shared" ref="U8:U48" si="0">SUM(O8:T8)</f>
        <v>3660.4961664901325</v>
      </c>
      <c r="V8" s="19"/>
      <c r="W8" s="39" t="s">
        <v>180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0.16</v>
      </c>
      <c r="K9" s="1" t="s">
        <v>57</v>
      </c>
      <c r="L9" s="9"/>
      <c r="N9" s="31">
        <v>1</v>
      </c>
      <c r="O9" s="31"/>
      <c r="P9" s="35">
        <f t="shared" ref="P9:P48" si="1">IF(N9&gt;0,IF(N9&lt;=$J$15,(($F$32+$F$33)/$J$15)/((1+($F$11/100))^N9),0),0)</f>
        <v>2252.4253077802614</v>
      </c>
      <c r="Q9" s="36">
        <f t="shared" ref="Q9:Q48" si="2">IF(N9&gt;0,($F$38*((1+($F$14/100))^(N9-1)))/((1+($F$11/100))^N9),0)</f>
        <v>4097.1631903715916</v>
      </c>
      <c r="R9" s="37">
        <f t="shared" ref="R9:R48" si="3">IF(N9&gt;0,$J$31/((1+($F$11/100))^N9),0)</f>
        <v>3135.8758978289993</v>
      </c>
      <c r="S9" s="37">
        <v>0</v>
      </c>
      <c r="T9" s="35">
        <f t="shared" ref="T9:T48" si="4">IF(N9=$B$5,((((1-$J$11/100)^N9)*$B$40)/((1+($F$11/100))^N9))*-1,0)</f>
        <v>0</v>
      </c>
      <c r="U9" s="34">
        <f t="shared" si="0"/>
        <v>9485.4643959808527</v>
      </c>
      <c r="V9" s="19"/>
      <c r="W9" s="39" t="s">
        <v>173</v>
      </c>
      <c r="X9" s="73">
        <f>B44</f>
        <v>12201.653888300441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1"/>
        <v>2145.1669597907248</v>
      </c>
      <c r="Q10" s="36">
        <f t="shared" si="2"/>
        <v>3941.080783119341</v>
      </c>
      <c r="R10" s="37">
        <f t="shared" si="3"/>
        <v>2986.5484741228565</v>
      </c>
      <c r="S10" s="37">
        <v>0</v>
      </c>
      <c r="T10" s="35">
        <f t="shared" si="4"/>
        <v>0</v>
      </c>
      <c r="U10" s="34">
        <f t="shared" si="0"/>
        <v>9072.7962170329229</v>
      </c>
      <c r="V10" s="19"/>
      <c r="W10" s="39" t="s">
        <v>110</v>
      </c>
      <c r="X10" s="74">
        <f>F12</f>
        <v>31060</v>
      </c>
      <c r="Y10" s="39" t="s">
        <v>37</v>
      </c>
      <c r="AA10" s="2"/>
    </row>
    <row r="11" spans="1:27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1"/>
        <v>2043.0161521816426</v>
      </c>
      <c r="Q11" s="36">
        <f t="shared" si="2"/>
        <v>3790.9443723338409</v>
      </c>
      <c r="R11" s="37">
        <f t="shared" si="3"/>
        <v>2844.3318801170058</v>
      </c>
      <c r="S11" s="37">
        <v>0</v>
      </c>
      <c r="T11" s="35">
        <f t="shared" si="4"/>
        <v>0</v>
      </c>
      <c r="U11" s="34">
        <f t="shared" si="0"/>
        <v>8678.2924046324897</v>
      </c>
      <c r="V11" s="19"/>
      <c r="W11" s="79" t="s">
        <v>67</v>
      </c>
      <c r="X11" s="43">
        <f>J33</f>
        <v>3106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31060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1"/>
        <v>1945.7296687444218</v>
      </c>
      <c r="Q12" s="36">
        <f t="shared" si="2"/>
        <v>3646.5274438639813</v>
      </c>
      <c r="R12" s="37">
        <f t="shared" si="3"/>
        <v>2708.8875048733394</v>
      </c>
      <c r="S12" s="37">
        <v>0</v>
      </c>
      <c r="T12" s="35">
        <f t="shared" si="4"/>
        <v>0</v>
      </c>
      <c r="U12" s="34">
        <f t="shared" si="0"/>
        <v>8301.1446174817429</v>
      </c>
      <c r="V12" s="19"/>
      <c r="W12" s="98" t="s">
        <v>193</v>
      </c>
      <c r="X12" s="105">
        <f>J9</f>
        <v>0.16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142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1"/>
        <v>1853.0758749946872</v>
      </c>
      <c r="Q13" s="36">
        <f t="shared" si="2"/>
        <v>3507.6121126691623</v>
      </c>
      <c r="R13" s="37">
        <f t="shared" si="3"/>
        <v>2579.8928617841325</v>
      </c>
      <c r="S13" s="37">
        <f>IF(N13&gt;0,($F$15/$B$8)/((1+($F$11/100))^N13),0)</f>
        <v>7738.5378797777248</v>
      </c>
      <c r="T13" s="35">
        <f t="shared" si="4"/>
        <v>0</v>
      </c>
      <c r="U13" s="34">
        <f t="shared" si="0"/>
        <v>15679.118729225707</v>
      </c>
      <c r="V13" s="19"/>
      <c r="AA13" s="2"/>
    </row>
    <row r="14" spans="1:27" x14ac:dyDescent="0.25">
      <c r="A14" s="21" t="s">
        <v>144</v>
      </c>
      <c r="B14" s="1">
        <v>0</v>
      </c>
      <c r="C14" s="1" t="s">
        <v>128</v>
      </c>
      <c r="E14" s="22" t="s">
        <v>143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1"/>
        <v>0</v>
      </c>
      <c r="Q14" s="36">
        <f t="shared" si="2"/>
        <v>3373.9887940912895</v>
      </c>
      <c r="R14" s="37">
        <f t="shared" si="3"/>
        <v>2457.0408207467931</v>
      </c>
      <c r="S14" s="37">
        <v>0</v>
      </c>
      <c r="T14" s="35">
        <f t="shared" si="4"/>
        <v>0</v>
      </c>
      <c r="U14" s="34">
        <f t="shared" si="0"/>
        <v>5831.0296148380821</v>
      </c>
      <c r="V14" s="19"/>
      <c r="AA14" s="2"/>
    </row>
    <row r="15" spans="1:27" x14ac:dyDescent="0.25">
      <c r="A15" s="1" t="s">
        <v>148</v>
      </c>
      <c r="B15" s="1">
        <v>30</v>
      </c>
      <c r="C15" s="1" t="s">
        <v>4</v>
      </c>
      <c r="E15" s="38" t="s">
        <v>201</v>
      </c>
      <c r="F15" s="89">
        <v>243700000</v>
      </c>
      <c r="G15" s="39" t="s">
        <v>141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1"/>
        <v>0</v>
      </c>
      <c r="Q15" s="36">
        <f t="shared" si="2"/>
        <v>3245.4558876497172</v>
      </c>
      <c r="R15" s="37">
        <f t="shared" si="3"/>
        <v>2340.0388769017072</v>
      </c>
      <c r="S15" s="37">
        <v>0</v>
      </c>
      <c r="T15" s="35">
        <f t="shared" si="4"/>
        <v>0</v>
      </c>
      <c r="U15" s="34">
        <f t="shared" si="0"/>
        <v>5585.4947645514239</v>
      </c>
      <c r="V15" s="19"/>
      <c r="AA15" s="2"/>
    </row>
    <row r="16" spans="1:27" ht="30" x14ac:dyDescent="0.25">
      <c r="A16" s="21" t="s">
        <v>145</v>
      </c>
      <c r="B16" s="1">
        <v>0</v>
      </c>
      <c r="C16" s="1" t="s">
        <v>128</v>
      </c>
      <c r="E16" s="139" t="s">
        <v>199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1"/>
        <v>0</v>
      </c>
      <c r="Q16" s="36">
        <f t="shared" si="2"/>
        <v>3121.8194728821081</v>
      </c>
      <c r="R16" s="37">
        <f t="shared" si="3"/>
        <v>2228.6084541921023</v>
      </c>
      <c r="S16" s="37">
        <v>0</v>
      </c>
      <c r="T16" s="35">
        <f t="shared" si="4"/>
        <v>0</v>
      </c>
      <c r="U16" s="34">
        <f t="shared" si="0"/>
        <v>5350.4279270742099</v>
      </c>
      <c r="V16" s="19"/>
      <c r="AA16" s="2"/>
    </row>
    <row r="17" spans="1:38" x14ac:dyDescent="0.25">
      <c r="A17" s="1" t="s">
        <v>149</v>
      </c>
      <c r="B17" s="1">
        <v>0</v>
      </c>
      <c r="C17" s="1" t="s">
        <v>4</v>
      </c>
      <c r="E17" s="22" t="s">
        <v>200</v>
      </c>
      <c r="F17" s="2">
        <v>200000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1"/>
        <v>0</v>
      </c>
      <c r="Q17" s="36">
        <f t="shared" si="2"/>
        <v>3002.8930167723138</v>
      </c>
      <c r="R17" s="37">
        <f t="shared" si="3"/>
        <v>2122.4842420877167</v>
      </c>
      <c r="S17" s="37">
        <v>0</v>
      </c>
      <c r="T17" s="35">
        <f t="shared" si="4"/>
        <v>0</v>
      </c>
      <c r="U17" s="34">
        <f t="shared" si="0"/>
        <v>5125.3772588600305</v>
      </c>
      <c r="V17" s="19"/>
      <c r="AA17" s="2"/>
    </row>
    <row r="18" spans="1:38" x14ac:dyDescent="0.25">
      <c r="A18" s="21" t="s">
        <v>14</v>
      </c>
      <c r="B18" s="1">
        <v>10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1"/>
        <v>0</v>
      </c>
      <c r="Q18" s="36">
        <f t="shared" si="2"/>
        <v>2888.4970923238452</v>
      </c>
      <c r="R18" s="37">
        <f t="shared" si="3"/>
        <v>2021.4135638930634</v>
      </c>
      <c r="S18" s="37">
        <f>IF(N18&gt;0,($F$15/$B$8)/((1+($F$11/100))^N18),0)</f>
        <v>6063.3469190131982</v>
      </c>
      <c r="T18" s="35">
        <f t="shared" si="4"/>
        <v>-2850.7463797281835</v>
      </c>
      <c r="U18" s="34">
        <f t="shared" si="0"/>
        <v>8122.5111955019238</v>
      </c>
      <c r="V18" s="19"/>
      <c r="AA18" s="2"/>
    </row>
    <row r="19" spans="1:38" x14ac:dyDescent="0.25">
      <c r="A19" s="91" t="s">
        <v>182</v>
      </c>
      <c r="B19" s="77">
        <v>200000</v>
      </c>
      <c r="C19" s="1" t="s">
        <v>134</v>
      </c>
      <c r="E19" s="22" t="s">
        <v>181</v>
      </c>
      <c r="F19" s="77">
        <v>2746000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v>0</v>
      </c>
      <c r="T19" s="35">
        <f t="shared" si="4"/>
        <v>0</v>
      </c>
      <c r="U19" s="34">
        <f t="shared" si="0"/>
        <v>0</v>
      </c>
      <c r="V19" s="19"/>
      <c r="AA19" s="2"/>
    </row>
    <row r="20" spans="1:38" x14ac:dyDescent="0.25">
      <c r="E20" s="22" t="s">
        <v>67</v>
      </c>
      <c r="F20" s="43">
        <v>2467.46</v>
      </c>
      <c r="G20" s="1" t="s">
        <v>152</v>
      </c>
      <c r="H20" s="9"/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v>0</v>
      </c>
      <c r="T20" s="35">
        <f t="shared" si="4"/>
        <v>0</v>
      </c>
      <c r="U20" s="34">
        <f t="shared" si="0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v>0</v>
      </c>
      <c r="T21" s="35">
        <f t="shared" si="4"/>
        <v>0</v>
      </c>
      <c r="U21" s="34">
        <f t="shared" si="0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185</v>
      </c>
      <c r="AH21" s="125" t="s">
        <v>186</v>
      </c>
      <c r="AI21" s="125" t="s">
        <v>142</v>
      </c>
      <c r="AJ21" s="125" t="s">
        <v>189</v>
      </c>
      <c r="AK21" s="125" t="s">
        <v>188</v>
      </c>
      <c r="AL21" s="27" t="s">
        <v>193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v>0</v>
      </c>
      <c r="T22" s="35">
        <f t="shared" si="4"/>
        <v>0</v>
      </c>
      <c r="U22" s="34">
        <f t="shared" si="0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-8.1868050173171163</v>
      </c>
      <c r="AI22" s="127">
        <f>Z24</f>
        <v>-20.388210702551504</v>
      </c>
      <c r="AJ22" s="128">
        <f t="shared" ref="AJ22:AJ32" si="6">Z39</f>
        <v>-14.125986772679463</v>
      </c>
      <c r="AK22" s="128">
        <f t="shared" ref="AK22:AK32" si="7">AE39</f>
        <v>-34.514197475230965</v>
      </c>
      <c r="AL22" s="71">
        <f>Z54</f>
        <v>20.388210702551504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>IF(N23&gt;0,($F$15/$B$8)/((1+($F$11/100))^N23),0)</f>
        <v>0</v>
      </c>
      <c r="T23" s="35">
        <f t="shared" si="4"/>
        <v>0</v>
      </c>
      <c r="U23" s="34">
        <f t="shared" si="0"/>
        <v>0</v>
      </c>
      <c r="V23" s="19"/>
      <c r="W23" s="24" t="s">
        <v>79</v>
      </c>
      <c r="X23" s="28">
        <v>0.8656675285516281</v>
      </c>
      <c r="Y23" s="26">
        <f>U49</f>
        <v>84892.153291669514</v>
      </c>
      <c r="Z23" s="24"/>
      <c r="AB23" s="24" t="s">
        <v>79</v>
      </c>
      <c r="AC23" s="29">
        <v>12201.653888300441</v>
      </c>
      <c r="AD23" s="30">
        <f>U49</f>
        <v>84892.153291669514</v>
      </c>
      <c r="AE23" s="24"/>
      <c r="AG23" s="126">
        <v>-40</v>
      </c>
      <c r="AH23" s="127">
        <f>AE25</f>
        <v>-6.5494440138536918</v>
      </c>
      <c r="AI23" s="127">
        <f t="shared" ref="AI23:AI32" si="8">Z25</f>
        <v>-16.310568562041205</v>
      </c>
      <c r="AJ23" s="128">
        <f t="shared" si="6"/>
        <v>-11.300789418143566</v>
      </c>
      <c r="AK23" s="128">
        <f t="shared" si="7"/>
        <v>-27.611357980184771</v>
      </c>
      <c r="AL23" s="71">
        <f t="shared" ref="AL23:AL32" si="9">Z55</f>
        <v>16.31056856204119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v>0</v>
      </c>
      <c r="T24" s="35">
        <f t="shared" si="4"/>
        <v>0</v>
      </c>
      <c r="U24" s="34">
        <f t="shared" si="0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67584.162208630922</v>
      </c>
      <c r="Z24" s="58">
        <f>100*((Y24-$Y$29)/$Y$29)</f>
        <v>-20.388210702551504</v>
      </c>
      <c r="AB24" s="24">
        <f t="shared" ref="AB24:AB27" si="12">AB25-10</f>
        <v>-50</v>
      </c>
      <c r="AC24" s="25">
        <f>$AC$23*(1+(AB24/100))</f>
        <v>6100.8269441502207</v>
      </c>
      <c r="AD24" s="30">
        <f t="dataTable" ref="AD24:AD34" dt2D="0" dtr="0" r1="B44" ca="1"/>
        <v>77942.198226678578</v>
      </c>
      <c r="AE24" s="58">
        <f t="shared" ref="AE24:AE34" si="13">100*((AD24-$AD$29)/$AD$29)</f>
        <v>-8.1868050173171163</v>
      </c>
      <c r="AG24" s="126">
        <v>-30</v>
      </c>
      <c r="AH24" s="127">
        <f t="shared" ref="AH24:AH32" si="14">AE26</f>
        <v>-4.9120830103902691</v>
      </c>
      <c r="AI24" s="127">
        <f t="shared" si="8"/>
        <v>-12.232926421530891</v>
      </c>
      <c r="AJ24" s="128">
        <f t="shared" si="6"/>
        <v>-8.4755920636076834</v>
      </c>
      <c r="AK24" s="128">
        <f t="shared" si="7"/>
        <v>-20.70851848513859</v>
      </c>
      <c r="AL24" s="71">
        <f t="shared" si="9"/>
        <v>12.232926421530909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v>0</v>
      </c>
      <c r="T25" s="35">
        <f t="shared" si="4"/>
        <v>0</v>
      </c>
      <c r="U25" s="34">
        <f t="shared" si="0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71045.760425238637</v>
      </c>
      <c r="Z25" s="58">
        <f t="shared" ref="Z25:Z34" si="15">100*((Y25-$Y$29)/$Y$29)</f>
        <v>-16.310568562041205</v>
      </c>
      <c r="AB25" s="24">
        <f t="shared" si="12"/>
        <v>-40</v>
      </c>
      <c r="AC25" s="25">
        <f t="shared" ref="AC25:AC28" si="16">$AC$23*(1+(AB25/100))</f>
        <v>7320.992332980265</v>
      </c>
      <c r="AD25" s="30">
        <v>79332.189239676765</v>
      </c>
      <c r="AE25" s="58">
        <f t="shared" si="13"/>
        <v>-6.5494440138536918</v>
      </c>
      <c r="AG25" s="126">
        <v>-20</v>
      </c>
      <c r="AH25" s="127">
        <f t="shared" si="14"/>
        <v>-3.2747220069268459</v>
      </c>
      <c r="AI25" s="127">
        <f t="shared" si="8"/>
        <v>-8.1552842810205952</v>
      </c>
      <c r="AJ25" s="128">
        <f t="shared" si="6"/>
        <v>-5.650394709071783</v>
      </c>
      <c r="AK25" s="128">
        <f t="shared" si="7"/>
        <v>-13.805678990092392</v>
      </c>
      <c r="AL25" s="71">
        <f t="shared" si="9"/>
        <v>8.1552842810206112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v>0</v>
      </c>
      <c r="T26" s="35">
        <f t="shared" si="4"/>
        <v>0</v>
      </c>
      <c r="U26" s="34">
        <f t="shared" si="0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74507.358641846367</v>
      </c>
      <c r="Z26" s="58">
        <f t="shared" si="15"/>
        <v>-12.232926421530891</v>
      </c>
      <c r="AB26" s="24">
        <f t="shared" si="12"/>
        <v>-30</v>
      </c>
      <c r="AC26" s="25">
        <f t="shared" si="16"/>
        <v>8541.1577218103084</v>
      </c>
      <c r="AD26" s="30">
        <v>80722.180252674952</v>
      </c>
      <c r="AE26" s="58">
        <f t="shared" si="13"/>
        <v>-4.9120830103902691</v>
      </c>
      <c r="AG26" s="126">
        <v>-10</v>
      </c>
      <c r="AH26" s="127">
        <f t="shared" si="14"/>
        <v>-1.6373610034634229</v>
      </c>
      <c r="AI26" s="127">
        <f t="shared" si="8"/>
        <v>-4.0776421405102976</v>
      </c>
      <c r="AJ26" s="128">
        <f t="shared" si="6"/>
        <v>-2.8251973545358826</v>
      </c>
      <c r="AK26" s="128">
        <f t="shared" si="7"/>
        <v>-6.9028394950461962</v>
      </c>
      <c r="AL26" s="71">
        <f t="shared" si="9"/>
        <v>4.0776421405103145</v>
      </c>
    </row>
    <row r="27" spans="1:38" x14ac:dyDescent="0.25">
      <c r="J27" s="2"/>
      <c r="N27" s="31">
        <f t="shared" si="5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v>0</v>
      </c>
      <c r="T27" s="35">
        <f t="shared" si="4"/>
        <v>0</v>
      </c>
      <c r="U27" s="34">
        <f t="shared" si="0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77968.956858454083</v>
      </c>
      <c r="Z27" s="58">
        <f t="shared" si="15"/>
        <v>-8.1552842810205952</v>
      </c>
      <c r="AB27" s="24">
        <f t="shared" si="12"/>
        <v>-20</v>
      </c>
      <c r="AC27" s="25">
        <f t="shared" si="16"/>
        <v>9761.3231106403528</v>
      </c>
      <c r="AD27" s="30">
        <v>82112.17126567314</v>
      </c>
      <c r="AE27" s="58">
        <f t="shared" si="13"/>
        <v>-3.2747220069268459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>IF(N28&gt;0,($F$15/$B$8)/((1+($F$11/100))^N28),0)</f>
        <v>0</v>
      </c>
      <c r="T28" s="35">
        <f t="shared" si="4"/>
        <v>0</v>
      </c>
      <c r="U28" s="34">
        <f t="shared" si="0"/>
        <v>0</v>
      </c>
      <c r="V28" s="19"/>
      <c r="W28" s="24">
        <f>W29-10</f>
        <v>-10</v>
      </c>
      <c r="X28" s="28">
        <f t="shared" si="11"/>
        <v>0.7791007756964653</v>
      </c>
      <c r="Y28" s="30">
        <v>81430.555075061799</v>
      </c>
      <c r="Z28" s="58">
        <f t="shared" si="15"/>
        <v>-4.0776421405102976</v>
      </c>
      <c r="AB28" s="24">
        <f>AB29-10</f>
        <v>-10</v>
      </c>
      <c r="AC28" s="25">
        <f t="shared" si="16"/>
        <v>10981.488499470397</v>
      </c>
      <c r="AD28" s="30">
        <v>83502.162278671327</v>
      </c>
      <c r="AE28" s="58">
        <f t="shared" si="13"/>
        <v>-1.6373610034634229</v>
      </c>
      <c r="AG28" s="126">
        <v>10</v>
      </c>
      <c r="AH28" s="127">
        <f t="shared" si="14"/>
        <v>1.6373610034634229</v>
      </c>
      <c r="AI28" s="127">
        <f t="shared" si="8"/>
        <v>4.0776421405103145</v>
      </c>
      <c r="AJ28" s="128">
        <f t="shared" si="6"/>
        <v>2.8251973545359172</v>
      </c>
      <c r="AK28" s="128">
        <f t="shared" si="7"/>
        <v>6.9028394950462149</v>
      </c>
      <c r="AL28" s="71">
        <f t="shared" si="9"/>
        <v>-4.0776421405102976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v>0</v>
      </c>
      <c r="T29" s="35">
        <f t="shared" si="4"/>
        <v>0</v>
      </c>
      <c r="U29" s="34">
        <f t="shared" si="0"/>
        <v>0</v>
      </c>
      <c r="V29" s="19"/>
      <c r="W29" s="60">
        <v>0</v>
      </c>
      <c r="X29" s="64">
        <f>$X$23*(1+(W29/100))</f>
        <v>0.8656675285516281</v>
      </c>
      <c r="Y29" s="62">
        <v>84892.153291669514</v>
      </c>
      <c r="Z29" s="63">
        <f t="shared" si="15"/>
        <v>0</v>
      </c>
      <c r="AB29" s="60">
        <v>0</v>
      </c>
      <c r="AC29" s="65">
        <f>$AC$23*(1+(AB29/100))</f>
        <v>12201.653888300441</v>
      </c>
      <c r="AD29" s="62">
        <v>84892.153291669514</v>
      </c>
      <c r="AE29" s="63">
        <f t="shared" si="13"/>
        <v>0</v>
      </c>
      <c r="AG29" s="126">
        <v>20</v>
      </c>
      <c r="AH29" s="127">
        <f t="shared" si="14"/>
        <v>3.2747220069268459</v>
      </c>
      <c r="AI29" s="127">
        <f t="shared" si="8"/>
        <v>8.1552842810206112</v>
      </c>
      <c r="AJ29" s="128">
        <f t="shared" si="6"/>
        <v>5.6503947090717999</v>
      </c>
      <c r="AK29" s="128">
        <f t="shared" si="7"/>
        <v>13.805678990092412</v>
      </c>
      <c r="AL29" s="71">
        <f t="shared" si="9"/>
        <v>-8.1552842810205952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v>0</v>
      </c>
      <c r="T30" s="35">
        <f t="shared" si="4"/>
        <v>0</v>
      </c>
      <c r="U30" s="34">
        <f t="shared" si="0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88353.751508277244</v>
      </c>
      <c r="Z30" s="58">
        <f t="shared" si="15"/>
        <v>4.0776421405103145</v>
      </c>
      <c r="AB30" s="24">
        <f>AB29+10</f>
        <v>10</v>
      </c>
      <c r="AC30" s="25">
        <f t="shared" ref="AC30:AC34" si="18">$AC$23*(1+(AB30/100))</f>
        <v>13421.819277130486</v>
      </c>
      <c r="AD30" s="30">
        <v>86282.144304667701</v>
      </c>
      <c r="AE30" s="58">
        <f t="shared" si="13"/>
        <v>1.6373610034634229</v>
      </c>
      <c r="AG30" s="126">
        <v>30</v>
      </c>
      <c r="AH30" s="127">
        <f t="shared" si="14"/>
        <v>4.9120830103902691</v>
      </c>
      <c r="AI30" s="127">
        <f t="shared" si="8"/>
        <v>12.232926421530909</v>
      </c>
      <c r="AJ30" s="128">
        <f t="shared" si="6"/>
        <v>8.4755920636076656</v>
      </c>
      <c r="AK30" s="128">
        <f t="shared" si="7"/>
        <v>20.708518485138576</v>
      </c>
      <c r="AL30" s="71">
        <f t="shared" si="9"/>
        <v>-12.232926421530891</v>
      </c>
    </row>
    <row r="31" spans="1:38" x14ac:dyDescent="0.25">
      <c r="A31" s="21" t="s">
        <v>171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3660.4961664901325</v>
      </c>
      <c r="G31" s="1" t="s">
        <v>3</v>
      </c>
      <c r="I31" s="12" t="s">
        <v>174</v>
      </c>
      <c r="J31" s="47">
        <f>SUM(J32:J36)</f>
        <v>3292.6696927204493</v>
      </c>
      <c r="K31" s="12" t="s">
        <v>46</v>
      </c>
      <c r="L31" s="9"/>
      <c r="N31" s="31">
        <f t="shared" si="5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v>0</v>
      </c>
      <c r="T31" s="35">
        <f t="shared" si="4"/>
        <v>0</v>
      </c>
      <c r="U31" s="34">
        <f t="shared" si="0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91815.34972488496</v>
      </c>
      <c r="Z31" s="58">
        <f t="shared" si="15"/>
        <v>8.1552842810206112</v>
      </c>
      <c r="AB31" s="24">
        <f t="shared" ref="AB31:AB34" si="20">AB30+10</f>
        <v>20</v>
      </c>
      <c r="AC31" s="25">
        <f t="shared" si="18"/>
        <v>14641.98466596053</v>
      </c>
      <c r="AD31" s="30">
        <v>87672.135317665889</v>
      </c>
      <c r="AE31" s="58">
        <f t="shared" si="13"/>
        <v>3.2747220069268459</v>
      </c>
      <c r="AG31" s="126">
        <v>40</v>
      </c>
      <c r="AH31" s="127">
        <f t="shared" si="14"/>
        <v>6.5494440138536918</v>
      </c>
      <c r="AI31" s="127">
        <f t="shared" si="8"/>
        <v>16.31056856204119</v>
      </c>
      <c r="AJ31" s="128">
        <f t="shared" si="6"/>
        <v>11.300789418143566</v>
      </c>
      <c r="AK31" s="128">
        <f t="shared" si="7"/>
        <v>27.611357980184771</v>
      </c>
      <c r="AL31" s="71">
        <f t="shared" si="9"/>
        <v>-16.310568562041205</v>
      </c>
    </row>
    <row r="32" spans="1:38" ht="30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8541.1577218103084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v>0</v>
      </c>
      <c r="T32" s="35">
        <f t="shared" si="4"/>
        <v>0</v>
      </c>
      <c r="U32" s="34">
        <f t="shared" si="0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95276.947941492675</v>
      </c>
      <c r="Z32" s="58">
        <f t="shared" si="15"/>
        <v>12.232926421530909</v>
      </c>
      <c r="AB32" s="24">
        <f t="shared" si="20"/>
        <v>30</v>
      </c>
      <c r="AC32" s="25">
        <f t="shared" si="18"/>
        <v>15862.150054790574</v>
      </c>
      <c r="AD32" s="30">
        <v>89062.126330664076</v>
      </c>
      <c r="AE32" s="58">
        <f t="shared" si="13"/>
        <v>4.9120830103902691</v>
      </c>
      <c r="AG32" s="126">
        <v>50</v>
      </c>
      <c r="AH32" s="127">
        <f t="shared" si="14"/>
        <v>8.1868050173171163</v>
      </c>
      <c r="AI32" s="127">
        <f t="shared" si="8"/>
        <v>20.388210702551504</v>
      </c>
      <c r="AJ32" s="128">
        <f t="shared" si="6"/>
        <v>14.125986772679463</v>
      </c>
      <c r="AK32" s="128">
        <f t="shared" si="7"/>
        <v>34.514197475230986</v>
      </c>
      <c r="AL32" s="71">
        <f t="shared" si="9"/>
        <v>-20.388210702551504</v>
      </c>
    </row>
    <row r="33" spans="1:31" x14ac:dyDescent="0.25">
      <c r="A33" s="21" t="s">
        <v>6</v>
      </c>
      <c r="B33" s="18">
        <f>IF(B13=0,0,(B13/100)*$B$41)</f>
        <v>1258.0645161290324</v>
      </c>
      <c r="C33" s="1" t="s">
        <v>3</v>
      </c>
      <c r="E33" s="22" t="s">
        <v>65</v>
      </c>
      <c r="F33" s="10">
        <f>F32*(F21/100)*J15</f>
        <v>3284.0751440360641</v>
      </c>
      <c r="G33" s="1" t="s">
        <v>3</v>
      </c>
      <c r="I33" s="22" t="s">
        <v>67</v>
      </c>
      <c r="J33" s="46">
        <f>F20*F12/B8</f>
        <v>3106</v>
      </c>
      <c r="K33" s="1" t="s">
        <v>46</v>
      </c>
      <c r="L33" s="9"/>
      <c r="N33" s="31">
        <f t="shared" si="5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>IF(N33&gt;0,($F$15/$B$8)/((1+($F$11/100))^N33),0)</f>
        <v>0</v>
      </c>
      <c r="T33" s="35">
        <f t="shared" si="4"/>
        <v>0</v>
      </c>
      <c r="U33" s="34">
        <f t="shared" si="0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98738.546158100376</v>
      </c>
      <c r="Z33" s="58">
        <f t="shared" si="15"/>
        <v>16.31056856204119</v>
      </c>
      <c r="AB33" s="24">
        <f t="shared" si="20"/>
        <v>40</v>
      </c>
      <c r="AC33" s="25">
        <f t="shared" si="18"/>
        <v>17082.315443620617</v>
      </c>
      <c r="AD33" s="30">
        <v>90452.117343662263</v>
      </c>
      <c r="AE33" s="58">
        <f t="shared" si="13"/>
        <v>6.5494440138536918</v>
      </c>
    </row>
    <row r="34" spans="1:31" x14ac:dyDescent="0.25">
      <c r="A34" s="21" t="s">
        <v>144</v>
      </c>
      <c r="B34" s="18">
        <f>IF(B14=0,0,(B14/100)*$B$41)</f>
        <v>0</v>
      </c>
      <c r="C34" s="1" t="s">
        <v>3</v>
      </c>
      <c r="F34" s="46"/>
      <c r="I34" s="22" t="s">
        <v>181</v>
      </c>
      <c r="J34" s="20">
        <f>F19/$B$8</f>
        <v>111.28853152634694</v>
      </c>
      <c r="K34" s="1" t="s">
        <v>46</v>
      </c>
      <c r="L34" s="9"/>
      <c r="N34" s="31">
        <f t="shared" si="5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v>0</v>
      </c>
      <c r="T34" s="35">
        <f t="shared" si="4"/>
        <v>0</v>
      </c>
      <c r="U34" s="34">
        <f t="shared" si="0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102200.14437470811</v>
      </c>
      <c r="Z34" s="58">
        <f t="shared" si="15"/>
        <v>20.388210702551504</v>
      </c>
      <c r="AB34" s="24">
        <f t="shared" si="20"/>
        <v>50</v>
      </c>
      <c r="AC34" s="25">
        <f t="shared" si="18"/>
        <v>18302.480832450663</v>
      </c>
      <c r="AD34" s="30">
        <v>91842.10835666045</v>
      </c>
      <c r="AE34" s="58">
        <f t="shared" si="13"/>
        <v>8.1868050173171163</v>
      </c>
    </row>
    <row r="35" spans="1:31" x14ac:dyDescent="0.25">
      <c r="A35" s="21" t="s">
        <v>14</v>
      </c>
      <c r="B35" s="18">
        <f>IF(B18=0,0,(B18/100)*$B$41)</f>
        <v>1258.0645161290324</v>
      </c>
      <c r="C35" s="1" t="s">
        <v>3</v>
      </c>
      <c r="E35" s="12" t="s">
        <v>97</v>
      </c>
      <c r="I35" s="22" t="s">
        <v>136</v>
      </c>
      <c r="J35" s="13">
        <f>F17/$B$8</f>
        <v>8.1055012036669289</v>
      </c>
      <c r="K35" s="1" t="s">
        <v>46</v>
      </c>
      <c r="L35" s="9"/>
      <c r="N35" s="31">
        <f t="shared" si="5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v>0</v>
      </c>
      <c r="T35" s="35">
        <f t="shared" si="4"/>
        <v>0</v>
      </c>
      <c r="U35" s="34">
        <f t="shared" si="0"/>
        <v>0</v>
      </c>
      <c r="V35" s="19"/>
    </row>
    <row r="36" spans="1:31" x14ac:dyDescent="0.25">
      <c r="A36" s="91" t="s">
        <v>182</v>
      </c>
      <c r="B36" s="18">
        <f>IF(B19=0,0,(B19/B8))</f>
        <v>8.1055012036669289</v>
      </c>
      <c r="C36" s="1" t="s">
        <v>3</v>
      </c>
      <c r="E36" s="22" t="s">
        <v>175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v>0</v>
      </c>
      <c r="T36" s="35">
        <f t="shared" si="4"/>
        <v>0</v>
      </c>
      <c r="U36" s="34">
        <f t="shared" si="0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176</v>
      </c>
      <c r="F37" s="48">
        <f>F36*J9</f>
        <v>0.13850680456826051</v>
      </c>
      <c r="G37" s="1" t="s">
        <v>58</v>
      </c>
      <c r="I37" s="22"/>
      <c r="J37" s="13"/>
      <c r="L37" s="9"/>
      <c r="N37" s="31">
        <f t="shared" si="5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v>0</v>
      </c>
      <c r="T37" s="35">
        <f t="shared" si="4"/>
        <v>0</v>
      </c>
      <c r="U37" s="34">
        <f t="shared" si="0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4302.0213498901712</v>
      </c>
      <c r="G38" t="s">
        <v>46</v>
      </c>
      <c r="I38" s="38"/>
      <c r="J38" s="13"/>
      <c r="L38" s="9"/>
      <c r="N38" s="31">
        <f t="shared" si="5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>IF(N38&gt;0,($F$15/$B$8)/((1+($F$11/100))^N38),0)</f>
        <v>0</v>
      </c>
      <c r="T38" s="35">
        <f t="shared" si="4"/>
        <v>0</v>
      </c>
      <c r="U38" s="34">
        <f t="shared" si="0"/>
        <v>0</v>
      </c>
      <c r="V38" s="19"/>
      <c r="W38" s="24" t="s">
        <v>79</v>
      </c>
      <c r="X38" s="28">
        <v>3106</v>
      </c>
      <c r="Y38" s="26">
        <f>U49</f>
        <v>84892.153291669514</v>
      </c>
      <c r="Z38" s="24"/>
      <c r="AB38" s="24" t="s">
        <v>79</v>
      </c>
      <c r="AC38" s="29">
        <v>31060</v>
      </c>
      <c r="AD38" s="30">
        <f>U49</f>
        <v>84892.153291669514</v>
      </c>
      <c r="AE38" s="24"/>
    </row>
    <row r="39" spans="1:31" x14ac:dyDescent="0.25">
      <c r="A39" s="22" t="s">
        <v>194</v>
      </c>
      <c r="B39" s="8">
        <f>J8/B8</f>
        <v>9677.4193548387102</v>
      </c>
      <c r="C39" s="1" t="s">
        <v>3</v>
      </c>
      <c r="L39" s="9"/>
      <c r="N39" s="31">
        <f t="shared" si="5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v>0</v>
      </c>
      <c r="T39" s="35">
        <f t="shared" si="4"/>
        <v>0</v>
      </c>
      <c r="U39" s="34">
        <f t="shared" si="0"/>
        <v>0</v>
      </c>
      <c r="V39" s="19"/>
      <c r="W39" s="24">
        <f t="shared" ref="W39:W42" si="21">W40-10</f>
        <v>-50</v>
      </c>
      <c r="X39" s="28">
        <f>$X$38*(1+(W39/100))</f>
        <v>1553</v>
      </c>
      <c r="Y39" s="30">
        <f t="dataTable" ref="Y39:Y49" dt2D="0" dtr="0" r1="J33" ca="1"/>
        <v>72900.298946645504</v>
      </c>
      <c r="Z39" s="58">
        <f>100*((Y39-$Y$29)/$Y$29)</f>
        <v>-14.125986772679463</v>
      </c>
      <c r="AB39" s="24">
        <f t="shared" ref="AB39:AB42" si="22">AB40-10</f>
        <v>-50</v>
      </c>
      <c r="AC39" s="29">
        <f t="shared" ref="AC39:AC49" si="23">$AC$38*(1+(AB39/100))</f>
        <v>15530</v>
      </c>
      <c r="AD39" s="30">
        <f t="dataTable" ref="AD39:AD49" dt2D="0" dtr="0" r1="F12" ca="1"/>
        <v>55592.307863606911</v>
      </c>
      <c r="AE39" s="58">
        <f>100*((AD39-$AD$44)/$AD$44)</f>
        <v>-34.514197475230965</v>
      </c>
    </row>
    <row r="40" spans="1:31" x14ac:dyDescent="0.25">
      <c r="A40" s="1" t="s">
        <v>113</v>
      </c>
      <c r="B40" s="10">
        <f>(1+(B16/100))*B39</f>
        <v>9677.4193548387102</v>
      </c>
      <c r="C40" s="1" t="s">
        <v>3</v>
      </c>
      <c r="L40" s="9"/>
      <c r="N40" s="31">
        <f t="shared" si="5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v>0</v>
      </c>
      <c r="T40" s="35">
        <f t="shared" si="4"/>
        <v>0</v>
      </c>
      <c r="U40" s="34">
        <f t="shared" si="0"/>
        <v>0</v>
      </c>
      <c r="V40" s="19"/>
      <c r="W40" s="24">
        <f t="shared" si="21"/>
        <v>-40</v>
      </c>
      <c r="X40" s="28">
        <f t="shared" ref="X40:X49" si="24">$X$38*(1+(W40/100))</f>
        <v>1863.6</v>
      </c>
      <c r="Y40" s="30">
        <v>75298.669815650312</v>
      </c>
      <c r="Z40" s="58">
        <f t="shared" ref="Z40:Z49" si="25">100*((Y40-$Y$29)/$Y$29)</f>
        <v>-11.300789418143566</v>
      </c>
      <c r="AB40" s="24">
        <f t="shared" si="22"/>
        <v>-40</v>
      </c>
      <c r="AC40" s="29">
        <f t="shared" si="23"/>
        <v>18636</v>
      </c>
      <c r="AD40" s="30">
        <v>61452.276949219435</v>
      </c>
      <c r="AE40" s="58">
        <f t="shared" ref="AE40:AE49" si="26">100*((AD40-$AD$44)/$AD$44)</f>
        <v>-27.611357980184771</v>
      </c>
    </row>
    <row r="41" spans="1:31" x14ac:dyDescent="0.25">
      <c r="A41" s="1" t="s">
        <v>151</v>
      </c>
      <c r="B41" s="78">
        <f>(1+B15/100)*B40</f>
        <v>12580.645161290324</v>
      </c>
      <c r="C41" s="1" t="s">
        <v>3</v>
      </c>
      <c r="E41" s="38" t="s">
        <v>86</v>
      </c>
      <c r="F41" s="42">
        <f>F12*B5</f>
        <v>310600</v>
      </c>
      <c r="G41" s="39" t="s">
        <v>42</v>
      </c>
      <c r="L41" s="9"/>
      <c r="N41" s="31">
        <f t="shared" si="5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v>0</v>
      </c>
      <c r="T41" s="35">
        <f t="shared" si="4"/>
        <v>0</v>
      </c>
      <c r="U41" s="34">
        <f t="shared" si="0"/>
        <v>0</v>
      </c>
      <c r="V41" s="19"/>
      <c r="W41" s="24">
        <f t="shared" si="21"/>
        <v>-30</v>
      </c>
      <c r="X41" s="28">
        <f t="shared" si="24"/>
        <v>2174.1999999999998</v>
      </c>
      <c r="Y41" s="30">
        <v>77697.040684655105</v>
      </c>
      <c r="Z41" s="58">
        <f t="shared" si="25"/>
        <v>-8.4755920636076834</v>
      </c>
      <c r="AB41" s="24">
        <f t="shared" si="22"/>
        <v>-30</v>
      </c>
      <c r="AC41" s="29">
        <f t="shared" si="23"/>
        <v>21742</v>
      </c>
      <c r="AD41" s="30">
        <v>67312.246034831944</v>
      </c>
      <c r="AE41" s="58">
        <f t="shared" si="26"/>
        <v>-20.70851848513859</v>
      </c>
    </row>
    <row r="42" spans="1:31" x14ac:dyDescent="0.25">
      <c r="A42" s="21" t="s">
        <v>95</v>
      </c>
      <c r="B42" s="18">
        <f>SUM(B33:B37)+B40</f>
        <v>12201.653888300441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v>0</v>
      </c>
      <c r="T42" s="35">
        <f t="shared" si="4"/>
        <v>0</v>
      </c>
      <c r="U42" s="34">
        <f t="shared" si="0"/>
        <v>0</v>
      </c>
      <c r="V42" s="19"/>
      <c r="W42" s="24">
        <f t="shared" si="21"/>
        <v>-20</v>
      </c>
      <c r="X42" s="28">
        <f t="shared" si="24"/>
        <v>2484.8000000000002</v>
      </c>
      <c r="Y42" s="30">
        <v>80095.411553659913</v>
      </c>
      <c r="Z42" s="58">
        <f t="shared" si="25"/>
        <v>-5.650394709071783</v>
      </c>
      <c r="AB42" s="24">
        <f t="shared" si="22"/>
        <v>-20</v>
      </c>
      <c r="AC42" s="29">
        <f t="shared" si="23"/>
        <v>24848</v>
      </c>
      <c r="AD42" s="30">
        <v>73172.215120444467</v>
      </c>
      <c r="AE42" s="58">
        <f t="shared" si="26"/>
        <v>-13.805678990092392</v>
      </c>
    </row>
    <row r="43" spans="1:31" x14ac:dyDescent="0.25">
      <c r="A43" s="21" t="s">
        <v>172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>IF(N43&gt;0,($F$15/$B$8)/((1+($F$11/100))^N43),0)</f>
        <v>0</v>
      </c>
      <c r="T43" s="35">
        <f t="shared" si="4"/>
        <v>0</v>
      </c>
      <c r="U43" s="34">
        <f t="shared" si="0"/>
        <v>0</v>
      </c>
      <c r="V43" s="19"/>
      <c r="W43" s="24">
        <f>W44-10</f>
        <v>-10</v>
      </c>
      <c r="X43" s="28">
        <f t="shared" si="24"/>
        <v>2795.4</v>
      </c>
      <c r="Y43" s="30">
        <v>82493.782422664721</v>
      </c>
      <c r="Z43" s="58">
        <f t="shared" si="25"/>
        <v>-2.8251973545358826</v>
      </c>
      <c r="AB43" s="24">
        <f>AB44-10</f>
        <v>-10</v>
      </c>
      <c r="AC43" s="29">
        <f t="shared" si="23"/>
        <v>27954</v>
      </c>
      <c r="AD43" s="30">
        <v>79032.184206056991</v>
      </c>
      <c r="AE43" s="58">
        <f t="shared" si="26"/>
        <v>-6.9028394950461962</v>
      </c>
    </row>
    <row r="44" spans="1:31" x14ac:dyDescent="0.25">
      <c r="A44" s="21" t="s">
        <v>173</v>
      </c>
      <c r="B44" s="18">
        <f>SUM(B42:B43)</f>
        <v>12201.653888300441</v>
      </c>
      <c r="C44" s="1" t="s">
        <v>3</v>
      </c>
      <c r="L44" s="9"/>
      <c r="N44" s="31">
        <f t="shared" si="5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v>0</v>
      </c>
      <c r="T44" s="35">
        <f t="shared" si="4"/>
        <v>0</v>
      </c>
      <c r="U44" s="34">
        <f t="shared" si="0"/>
        <v>0</v>
      </c>
      <c r="V44" s="19"/>
      <c r="W44" s="60">
        <v>0</v>
      </c>
      <c r="X44" s="64">
        <f t="shared" si="24"/>
        <v>3106</v>
      </c>
      <c r="Y44" s="62">
        <v>84892.153291669514</v>
      </c>
      <c r="Z44" s="63">
        <f t="shared" si="25"/>
        <v>0</v>
      </c>
      <c r="AB44" s="60">
        <v>0</v>
      </c>
      <c r="AC44" s="61">
        <f t="shared" si="23"/>
        <v>31060</v>
      </c>
      <c r="AD44" s="62">
        <v>84892.153291669514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v>0</v>
      </c>
      <c r="T45" s="35">
        <f t="shared" si="4"/>
        <v>0</v>
      </c>
      <c r="U45" s="34">
        <f t="shared" si="0"/>
        <v>0</v>
      </c>
      <c r="V45" s="19"/>
      <c r="W45" s="24">
        <f>W44+10</f>
        <v>10</v>
      </c>
      <c r="X45" s="28">
        <f t="shared" si="24"/>
        <v>3416.6000000000004</v>
      </c>
      <c r="Y45" s="30">
        <v>87290.524160674337</v>
      </c>
      <c r="Z45" s="58">
        <f t="shared" si="25"/>
        <v>2.8251973545359172</v>
      </c>
      <c r="AB45" s="24">
        <f>AB44+10</f>
        <v>10</v>
      </c>
      <c r="AC45" s="29">
        <f t="shared" si="23"/>
        <v>34166</v>
      </c>
      <c r="AD45" s="30">
        <v>90752.122377282052</v>
      </c>
      <c r="AE45" s="58">
        <f t="shared" si="26"/>
        <v>6.9028394950462149</v>
      </c>
    </row>
    <row r="46" spans="1:31" x14ac:dyDescent="0.25">
      <c r="L46" s="9"/>
      <c r="N46" s="31">
        <f t="shared" si="5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v>0</v>
      </c>
      <c r="T46" s="35">
        <f t="shared" si="4"/>
        <v>0</v>
      </c>
      <c r="U46" s="34">
        <f t="shared" si="0"/>
        <v>0</v>
      </c>
      <c r="V46" s="19"/>
      <c r="W46" s="24">
        <f t="shared" ref="W46:W49" si="27">W45+10</f>
        <v>20</v>
      </c>
      <c r="X46" s="28">
        <f t="shared" si="24"/>
        <v>3727.2</v>
      </c>
      <c r="Y46" s="30">
        <v>89688.89502967913</v>
      </c>
      <c r="Z46" s="58">
        <f t="shared" si="25"/>
        <v>5.6503947090717999</v>
      </c>
      <c r="AB46" s="24">
        <f t="shared" ref="AB46:AB49" si="28">AB45+10</f>
        <v>20</v>
      </c>
      <c r="AC46" s="29">
        <f t="shared" si="23"/>
        <v>37272</v>
      </c>
      <c r="AD46" s="30">
        <v>96612.091462894576</v>
      </c>
      <c r="AE46" s="58">
        <f t="shared" si="26"/>
        <v>13.805678990092412</v>
      </c>
    </row>
    <row r="47" spans="1:31" x14ac:dyDescent="0.25">
      <c r="L47" s="9"/>
      <c r="N47" s="31">
        <f t="shared" si="5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v>0</v>
      </c>
      <c r="T47" s="35">
        <f t="shared" si="4"/>
        <v>0</v>
      </c>
      <c r="U47" s="34">
        <f t="shared" si="0"/>
        <v>0</v>
      </c>
      <c r="V47" s="19"/>
      <c r="W47" s="24">
        <f t="shared" si="27"/>
        <v>30</v>
      </c>
      <c r="X47" s="28">
        <f t="shared" si="24"/>
        <v>4037.8</v>
      </c>
      <c r="Y47" s="30">
        <v>92087.265898683909</v>
      </c>
      <c r="Z47" s="58">
        <f t="shared" si="25"/>
        <v>8.4755920636076656</v>
      </c>
      <c r="AB47" s="24">
        <f t="shared" si="28"/>
        <v>30</v>
      </c>
      <c r="AC47" s="29">
        <f t="shared" si="23"/>
        <v>40378</v>
      </c>
      <c r="AD47" s="30">
        <v>102472.06054850707</v>
      </c>
      <c r="AE47" s="58">
        <f t="shared" si="26"/>
        <v>20.708518485138576</v>
      </c>
    </row>
    <row r="48" spans="1:31" x14ac:dyDescent="0.25">
      <c r="L48" s="9"/>
      <c r="N48" s="31">
        <f t="shared" si="5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>IF(N48&gt;0,($F$15/$B$8)/((1+($F$11/100))^N48),0)</f>
        <v>0</v>
      </c>
      <c r="T48" s="35">
        <f t="shared" si="4"/>
        <v>0</v>
      </c>
      <c r="U48" s="34">
        <f t="shared" si="0"/>
        <v>0</v>
      </c>
      <c r="V48" s="19"/>
      <c r="W48" s="24">
        <f t="shared" si="27"/>
        <v>40</v>
      </c>
      <c r="X48" s="28">
        <f t="shared" si="24"/>
        <v>4348.3999999999996</v>
      </c>
      <c r="Y48" s="30">
        <v>94485.636767688717</v>
      </c>
      <c r="Z48" s="58">
        <f t="shared" si="25"/>
        <v>11.300789418143566</v>
      </c>
      <c r="AB48" s="24">
        <f t="shared" si="28"/>
        <v>40</v>
      </c>
      <c r="AC48" s="29">
        <f t="shared" si="23"/>
        <v>43484</v>
      </c>
      <c r="AD48" s="30">
        <v>108332.02963411959</v>
      </c>
      <c r="AE48" s="58">
        <f t="shared" si="26"/>
        <v>27.611357980184771</v>
      </c>
    </row>
    <row r="49" spans="1:31" x14ac:dyDescent="0.25">
      <c r="A49" s="7"/>
      <c r="B49" s="77"/>
      <c r="L49" s="9"/>
      <c r="N49" s="32" t="s">
        <v>74</v>
      </c>
      <c r="O49" s="34">
        <f>SUM(O8:O48)</f>
        <v>3660.4961664901325</v>
      </c>
      <c r="P49" s="34">
        <f t="shared" ref="P49:S49" si="29">SUM(P8:P48)</f>
        <v>10239.413963491737</v>
      </c>
      <c r="Q49" s="34">
        <f t="shared" si="29"/>
        <v>34615.982166077185</v>
      </c>
      <c r="R49" s="34">
        <f t="shared" si="29"/>
        <v>25425.122576547717</v>
      </c>
      <c r="S49" s="34">
        <f t="shared" si="29"/>
        <v>13801.884798790923</v>
      </c>
      <c r="T49" s="34">
        <f>SUM(T8:T48)</f>
        <v>-2850.7463797281835</v>
      </c>
      <c r="U49" s="34">
        <f>SUM(U8:U48)</f>
        <v>84892.153291669514</v>
      </c>
      <c r="V49" s="19"/>
      <c r="W49" s="24">
        <f t="shared" si="27"/>
        <v>50</v>
      </c>
      <c r="X49" s="28">
        <f t="shared" si="24"/>
        <v>4659</v>
      </c>
      <c r="Y49" s="30">
        <v>96884.007636693525</v>
      </c>
      <c r="Z49" s="58">
        <f t="shared" si="25"/>
        <v>14.125986772679463</v>
      </c>
      <c r="AB49" s="24">
        <f t="shared" si="28"/>
        <v>50</v>
      </c>
      <c r="AC49" s="29">
        <f t="shared" si="23"/>
        <v>46590</v>
      </c>
      <c r="AD49" s="30">
        <v>114191.99871973213</v>
      </c>
      <c r="AE49" s="58">
        <f t="shared" si="26"/>
        <v>34.514197475230986</v>
      </c>
    </row>
    <row r="50" spans="1:31" x14ac:dyDescent="0.25">
      <c r="B50" s="46"/>
      <c r="L50" s="9"/>
      <c r="R50" s="10">
        <f>SUM(R49:S49)</f>
        <v>39227.007375338639</v>
      </c>
    </row>
    <row r="51" spans="1:31" x14ac:dyDescent="0.25">
      <c r="L51" s="9"/>
      <c r="W51" s="107" t="s">
        <v>193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193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0.16</v>
      </c>
      <c r="Y53" s="26">
        <f>U49</f>
        <v>84892.153291669514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0.24</v>
      </c>
      <c r="Y54" s="30">
        <f t="dataTable" ref="Y54:Y64" dt2D="0" dtr="0" r1="J9" ca="1"/>
        <v>102200.14437470811</v>
      </c>
      <c r="Z54" s="58">
        <f>100*((Y54-$Y$59)/$Y$59)</f>
        <v>20.388210702551504</v>
      </c>
    </row>
    <row r="55" spans="1:31" x14ac:dyDescent="0.25">
      <c r="O55" s="1" t="s">
        <v>104</v>
      </c>
      <c r="P55" s="10">
        <f>SUM(O49:P49)</f>
        <v>13899.91012998187</v>
      </c>
      <c r="Q55" s="1" t="s">
        <v>3</v>
      </c>
      <c r="R55" s="56">
        <f>P55/$F$41</f>
        <v>4.4751803380495399E-2</v>
      </c>
      <c r="S55" s="1" t="s">
        <v>58</v>
      </c>
      <c r="W55" s="24">
        <f t="shared" si="30"/>
        <v>-40</v>
      </c>
      <c r="X55" s="28">
        <f t="shared" ref="X55:X64" si="31">$X$53*(1+(-W55/100))</f>
        <v>0.22399999999999998</v>
      </c>
      <c r="Y55" s="30">
        <v>98738.546158100376</v>
      </c>
      <c r="Z55" s="58">
        <f t="shared" ref="Z55:Z64" si="32">100*((Y55-$Y$59)/$Y$59)</f>
        <v>16.31056856204119</v>
      </c>
    </row>
    <row r="56" spans="1:31" x14ac:dyDescent="0.25">
      <c r="O56" s="1" t="s">
        <v>97</v>
      </c>
      <c r="P56" s="52">
        <f>SUM(Q49:Q49)</f>
        <v>34615.982166077185</v>
      </c>
      <c r="Q56" s="1" t="s">
        <v>3</v>
      </c>
      <c r="R56" s="56">
        <f>P56/$F$41</f>
        <v>0.11144875133959171</v>
      </c>
      <c r="S56" s="1" t="s">
        <v>58</v>
      </c>
      <c r="T56" s="51"/>
      <c r="W56" s="24">
        <f t="shared" si="30"/>
        <v>-30</v>
      </c>
      <c r="X56" s="28">
        <f t="shared" si="31"/>
        <v>0.20800000000000002</v>
      </c>
      <c r="Y56" s="30">
        <v>95276.947941492675</v>
      </c>
      <c r="Z56" s="58">
        <f t="shared" si="32"/>
        <v>12.232926421530909</v>
      </c>
    </row>
    <row r="57" spans="1:31" x14ac:dyDescent="0.25">
      <c r="O57" s="1" t="s">
        <v>114</v>
      </c>
      <c r="P57" s="52">
        <f>SUM(R49:S49)</f>
        <v>39227.007375338639</v>
      </c>
      <c r="Q57" s="1" t="s">
        <v>3</v>
      </c>
      <c r="R57" s="56">
        <f>P57/$F$41</f>
        <v>0.12629429290192737</v>
      </c>
      <c r="S57" s="1" t="s">
        <v>58</v>
      </c>
      <c r="T57" s="51"/>
      <c r="W57" s="24">
        <f t="shared" si="30"/>
        <v>-20</v>
      </c>
      <c r="X57" s="28">
        <f t="shared" si="31"/>
        <v>0.192</v>
      </c>
      <c r="Y57" s="30">
        <v>91815.34972488496</v>
      </c>
      <c r="Z57" s="58">
        <f t="shared" si="32"/>
        <v>8.1552842810206112</v>
      </c>
    </row>
    <row r="58" spans="1:31" x14ac:dyDescent="0.25">
      <c r="O58" s="1" t="s">
        <v>106</v>
      </c>
      <c r="P58" s="52">
        <f>T49</f>
        <v>-2850.7463797281835</v>
      </c>
      <c r="Q58" s="1" t="s">
        <v>3</v>
      </c>
      <c r="R58" s="56">
        <f>P58/$F$41</f>
        <v>-9.1781918214043252E-3</v>
      </c>
      <c r="S58" s="1" t="s">
        <v>58</v>
      </c>
      <c r="T58" s="51"/>
      <c r="W58" s="24">
        <f>W59-10</f>
        <v>-10</v>
      </c>
      <c r="X58" s="28">
        <f t="shared" si="31"/>
        <v>0.17600000000000002</v>
      </c>
      <c r="Y58" s="30">
        <v>88353.751508277244</v>
      </c>
      <c r="Z58" s="58">
        <f t="shared" si="32"/>
        <v>4.0776421405103145</v>
      </c>
    </row>
    <row r="59" spans="1:31" x14ac:dyDescent="0.25">
      <c r="T59" s="51"/>
      <c r="W59" s="60">
        <v>0</v>
      </c>
      <c r="X59" s="64">
        <f t="shared" si="31"/>
        <v>0.16</v>
      </c>
      <c r="Y59" s="62">
        <v>84892.153291669514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84892.153291669514</v>
      </c>
      <c r="Q60" s="12" t="s">
        <v>3</v>
      </c>
      <c r="R60" s="57">
        <f>SUM(R55:R58)</f>
        <v>0.27331665580061015</v>
      </c>
      <c r="S60" s="12" t="s">
        <v>58</v>
      </c>
      <c r="T60" s="51"/>
      <c r="W60" s="24">
        <f>W59+10</f>
        <v>10</v>
      </c>
      <c r="X60" s="28">
        <f t="shared" si="31"/>
        <v>0.14400000000000002</v>
      </c>
      <c r="Y60" s="30">
        <v>81430.555075061799</v>
      </c>
      <c r="Z60" s="58">
        <f t="shared" si="32"/>
        <v>-4.0776421405102976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0.128</v>
      </c>
      <c r="Y61" s="30">
        <v>77968.956858454083</v>
      </c>
      <c r="Z61" s="58">
        <f t="shared" si="32"/>
        <v>-8.1552842810205952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0.11199999999999999</v>
      </c>
      <c r="Y62" s="30">
        <v>74507.358641846367</v>
      </c>
      <c r="Z62" s="58">
        <f t="shared" si="32"/>
        <v>-12.232926421530891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9.6000000000000002E-2</v>
      </c>
      <c r="Y63" s="30">
        <v>71045.760425238637</v>
      </c>
      <c r="Z63" s="58">
        <f t="shared" si="32"/>
        <v>-16.310568562041205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0.08</v>
      </c>
      <c r="Y64" s="30">
        <v>67584.162208630922</v>
      </c>
      <c r="Z64" s="58">
        <f t="shared" si="32"/>
        <v>-20.388210702551504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383-657D-4812-96D2-F2F1B9B2AC33}">
  <sheetPr>
    <tabColor theme="7"/>
  </sheetPr>
  <dimension ref="A1:AW95"/>
  <sheetViews>
    <sheetView zoomScale="87" zoomScaleNormal="55" workbookViewId="0">
      <selection activeCell="E16" sqref="E16:E17"/>
    </sheetView>
  </sheetViews>
  <sheetFormatPr defaultColWidth="8.85546875" defaultRowHeight="15" x14ac:dyDescent="0.25"/>
  <cols>
    <col min="1" max="1" width="52.7109375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48" style="1" customWidth="1"/>
    <col min="6" max="6" width="17" style="1" customWidth="1"/>
    <col min="7" max="7" width="8.85546875" style="1" customWidth="1"/>
    <col min="8" max="8" width="19.28515625" style="1" customWidth="1"/>
    <col min="9" max="9" width="49.14062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bestFit="1" customWidth="1"/>
    <col min="20" max="20" width="11.140625" style="1" customWidth="1"/>
    <col min="21" max="22" width="31.28515625" style="1" customWidth="1"/>
    <col min="23" max="23" width="23.85546875" style="1" customWidth="1"/>
    <col min="24" max="24" width="13.42578125" style="1" bestFit="1" customWidth="1"/>
    <col min="25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29828.474099573381</v>
      </c>
      <c r="C2" s="12" t="s">
        <v>3</v>
      </c>
    </row>
    <row r="3" spans="1:30" x14ac:dyDescent="0.25">
      <c r="B3" s="44">
        <f>B2/J34</f>
        <v>0.13575057615971137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8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/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8">
        <v>289727561.29032254</v>
      </c>
      <c r="K8" s="1" t="s">
        <v>134</v>
      </c>
      <c r="L8" s="9"/>
      <c r="N8" s="31">
        <v>0</v>
      </c>
      <c r="O8" s="33">
        <f>F31</f>
        <v>5439.1731342320682</v>
      </c>
      <c r="P8" s="31"/>
      <c r="Q8" s="31"/>
      <c r="R8" s="31"/>
      <c r="S8" s="31"/>
      <c r="T8" s="31"/>
      <c r="U8" s="31"/>
      <c r="V8" s="31"/>
      <c r="W8" s="31"/>
      <c r="X8" s="34">
        <f>SUM(O8:W8)</f>
        <v>5439.1731342320682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8">
        <v>105</v>
      </c>
      <c r="K9" s="1" t="s">
        <v>9</v>
      </c>
      <c r="L9" s="9"/>
      <c r="N9" s="31">
        <v>1</v>
      </c>
      <c r="O9" s="31"/>
      <c r="P9" s="35">
        <f t="shared" ref="P9:P48" si="0">IF(N9&gt;0,IF(N9&lt;=$J$20,(($F$32+$F$33)/$J$20)/((1+($F$11/100))^N9),0),0)</f>
        <v>3346.9045352641328</v>
      </c>
      <c r="Q9" s="36">
        <f>IF(N9&gt;0,($F$41*((1+($F$14/100))^(N9-1)))/((1+($F$11/100))^N9),0)</f>
        <v>594.56782980608932</v>
      </c>
      <c r="R9" s="37">
        <f>IF(N9&gt;0,$F$40/((1+($F$11/100))^N9),0)</f>
        <v>0</v>
      </c>
      <c r="S9" s="37">
        <f t="shared" ref="S9:S48" si="1">IF(N9&gt;0,$J$37/((1+($F$11/100))^N9),0)</f>
        <v>656.16568672778214</v>
      </c>
      <c r="T9" s="37"/>
      <c r="U9" s="37">
        <f t="shared" ref="U9:U48" si="2">IF(AND(MOD(N9,$J$31)=0,N9&gt;0),$B$42/((1+($F$11/100))^N9),0)</f>
        <v>0</v>
      </c>
      <c r="V9" s="37">
        <f t="shared" ref="V9:V48" si="3">IF(N9&gt;0,$J$32/((1+($F$11/100))^N9),0)</f>
        <v>0</v>
      </c>
      <c r="W9" s="35">
        <f t="shared" ref="W9:W18" si="4">IF(N9=$B$5,((((1-$J$15/100)^N9)*$B$43+((1-$J$16/100)^N9)*$B$44)/((1+($F$11/100))^N9))*-1,0)</f>
        <v>0</v>
      </c>
      <c r="X9" s="34">
        <f t="shared" ref="X9:X48" si="5">SUM(O9:W9)</f>
        <v>4597.6380517980042</v>
      </c>
      <c r="Y9" s="19"/>
      <c r="Z9" s="39" t="s">
        <v>40</v>
      </c>
      <c r="AA9" s="40">
        <f>B44</f>
        <v>4410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42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0"/>
        <v>3187.5281288229839</v>
      </c>
      <c r="Q10" s="36">
        <f t="shared" ref="Q10:Q48" si="6">IF(N10&gt;0,($F$41*((1+($F$14/100))^(N10-1)))/((1+($F$11/100))^N10),0)</f>
        <v>571.91762676585734</v>
      </c>
      <c r="R10" s="37">
        <f t="shared" ref="R10:R48" si="7">IF(N10&gt;0,$F$40/((1+($F$11/100))^N10),0)</f>
        <v>0</v>
      </c>
      <c r="S10" s="37">
        <f t="shared" si="1"/>
        <v>624.91970164550685</v>
      </c>
      <c r="T10" s="37"/>
      <c r="U10" s="37">
        <f t="shared" si="2"/>
        <v>0</v>
      </c>
      <c r="V10" s="37">
        <f t="shared" si="3"/>
        <v>0</v>
      </c>
      <c r="W10" s="35">
        <f t="shared" si="4"/>
        <v>0</v>
      </c>
      <c r="X10" s="34">
        <f t="shared" si="5"/>
        <v>4384.3654572343476</v>
      </c>
      <c r="Y10" s="19"/>
      <c r="Z10" s="39" t="s">
        <v>173</v>
      </c>
      <c r="AA10" s="73">
        <f>B49</f>
        <v>18130.577114106894</v>
      </c>
      <c r="AB10" s="39" t="s">
        <v>3</v>
      </c>
      <c r="AD10" s="2"/>
    </row>
    <row r="11" spans="1:30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536</v>
      </c>
      <c r="K11" s="1" t="s">
        <v>140</v>
      </c>
      <c r="L11" s="9"/>
      <c r="N11" s="31">
        <f t="shared" ref="N11:N48" si="8">IF((N10+1)&gt;$B$5,,IF(N10=0,,N10+1))</f>
        <v>3</v>
      </c>
      <c r="O11" s="31"/>
      <c r="P11" s="35">
        <f t="shared" si="0"/>
        <v>3035.741075069508</v>
      </c>
      <c r="Q11" s="36">
        <f t="shared" si="6"/>
        <v>550.13028860334839</v>
      </c>
      <c r="R11" s="37">
        <f t="shared" si="7"/>
        <v>0</v>
      </c>
      <c r="S11" s="37">
        <f t="shared" si="1"/>
        <v>595.16162061476837</v>
      </c>
      <c r="T11" s="37"/>
      <c r="U11" s="37">
        <f t="shared" si="2"/>
        <v>0</v>
      </c>
      <c r="V11" s="37">
        <f t="shared" si="3"/>
        <v>0</v>
      </c>
      <c r="W11" s="35">
        <f t="shared" si="4"/>
        <v>0</v>
      </c>
      <c r="X11" s="34">
        <f t="shared" si="5"/>
        <v>4181.0329842876245</v>
      </c>
      <c r="Y11" s="19"/>
      <c r="Z11" s="39" t="s">
        <v>110</v>
      </c>
      <c r="AA11" s="74">
        <f>F12</f>
        <v>21973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21973</v>
      </c>
      <c r="G12" s="1" t="s">
        <v>37</v>
      </c>
      <c r="H12" s="9"/>
      <c r="I12" s="38" t="s">
        <v>32</v>
      </c>
      <c r="J12" s="42">
        <v>300</v>
      </c>
      <c r="K12" s="39" t="s">
        <v>33</v>
      </c>
      <c r="L12" s="9"/>
      <c r="N12" s="31">
        <f t="shared" si="8"/>
        <v>4</v>
      </c>
      <c r="O12" s="31"/>
      <c r="P12" s="35">
        <f t="shared" si="0"/>
        <v>2891.1819762566747</v>
      </c>
      <c r="Q12" s="36">
        <f t="shared" si="6"/>
        <v>529.17294427560182</v>
      </c>
      <c r="R12" s="37">
        <f t="shared" si="7"/>
        <v>0</v>
      </c>
      <c r="S12" s="37">
        <f t="shared" si="1"/>
        <v>566.82059106168424</v>
      </c>
      <c r="T12" s="37"/>
      <c r="U12" s="37">
        <f t="shared" si="2"/>
        <v>0</v>
      </c>
      <c r="V12" s="37">
        <f t="shared" si="3"/>
        <v>0</v>
      </c>
      <c r="W12" s="35">
        <f t="shared" si="4"/>
        <v>0</v>
      </c>
      <c r="X12" s="34">
        <f t="shared" si="5"/>
        <v>3987.1755115939609</v>
      </c>
      <c r="Y12" s="19"/>
      <c r="Z12" s="79" t="s">
        <v>67</v>
      </c>
      <c r="AA12" s="73">
        <f>J42</f>
        <v>547.1277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0"/>
        <v>2753.5066440539758</v>
      </c>
      <c r="Q13" s="36">
        <f t="shared" si="6"/>
        <v>509.01397496986465</v>
      </c>
      <c r="R13" s="37">
        <f t="shared" si="7"/>
        <v>0</v>
      </c>
      <c r="S13" s="37">
        <f t="shared" si="1"/>
        <v>539.82913434446118</v>
      </c>
      <c r="T13" s="37"/>
      <c r="U13" s="37">
        <f t="shared" si="2"/>
        <v>0</v>
      </c>
      <c r="V13" s="37">
        <f t="shared" si="3"/>
        <v>0</v>
      </c>
      <c r="W13" s="35">
        <f t="shared" si="4"/>
        <v>0</v>
      </c>
      <c r="X13" s="34">
        <f t="shared" si="5"/>
        <v>3802.3497533683017</v>
      </c>
      <c r="Y13" s="19"/>
      <c r="Z13" s="98" t="s">
        <v>169</v>
      </c>
      <c r="AA13" s="101">
        <f>J26</f>
        <v>150</v>
      </c>
      <c r="AB13" s="98" t="s">
        <v>161</v>
      </c>
      <c r="AD13" s="2"/>
    </row>
    <row r="14" spans="1:30" x14ac:dyDescent="0.25">
      <c r="A14" s="21" t="s">
        <v>144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139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0"/>
        <v>0</v>
      </c>
      <c r="Q14" s="36">
        <f t="shared" si="6"/>
        <v>489.62296639958407</v>
      </c>
      <c r="R14" s="37">
        <f t="shared" si="7"/>
        <v>0</v>
      </c>
      <c r="S14" s="37">
        <f t="shared" si="1"/>
        <v>514.12298508996309</v>
      </c>
      <c r="T14" s="37"/>
      <c r="U14" s="37">
        <f t="shared" si="2"/>
        <v>0</v>
      </c>
      <c r="V14" s="37">
        <f t="shared" si="3"/>
        <v>0</v>
      </c>
      <c r="W14" s="35">
        <f t="shared" si="4"/>
        <v>0</v>
      </c>
      <c r="X14" s="34">
        <f t="shared" si="5"/>
        <v>1003.7459514895472</v>
      </c>
      <c r="Y14" s="19"/>
      <c r="Z14" s="98" t="s">
        <v>193</v>
      </c>
      <c r="AA14" s="105">
        <f>J17</f>
        <v>0.14199999999999999</v>
      </c>
      <c r="AB14" s="98" t="s">
        <v>35</v>
      </c>
      <c r="AD14" s="2"/>
    </row>
    <row r="15" spans="1:30" x14ac:dyDescent="0.25">
      <c r="A15" s="1" t="s">
        <v>148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0"/>
        <v>0</v>
      </c>
      <c r="Q15" s="36">
        <f t="shared" si="6"/>
        <v>470.97066291769522</v>
      </c>
      <c r="R15" s="37">
        <f t="shared" si="7"/>
        <v>0</v>
      </c>
      <c r="S15" s="37">
        <f t="shared" si="1"/>
        <v>489.64093818091709</v>
      </c>
      <c r="T15" s="37"/>
      <c r="U15" s="37">
        <f t="shared" si="2"/>
        <v>3134.1046658738355</v>
      </c>
      <c r="V15" s="37">
        <f t="shared" si="3"/>
        <v>0</v>
      </c>
      <c r="W15" s="35">
        <f t="shared" si="4"/>
        <v>0</v>
      </c>
      <c r="X15" s="34">
        <f t="shared" si="5"/>
        <v>4094.7162669724476</v>
      </c>
      <c r="Y15" s="19"/>
      <c r="AD15" s="2"/>
    </row>
    <row r="16" spans="1:30" ht="30" x14ac:dyDescent="0.25">
      <c r="A16" s="21" t="s">
        <v>145</v>
      </c>
      <c r="B16" s="1">
        <v>0</v>
      </c>
      <c r="C16" s="1" t="s">
        <v>128</v>
      </c>
      <c r="E16" s="139" t="s">
        <v>199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0"/>
        <v>0</v>
      </c>
      <c r="Q16" s="36">
        <f t="shared" si="6"/>
        <v>453.0289233779734</v>
      </c>
      <c r="R16" s="37">
        <f t="shared" si="7"/>
        <v>0</v>
      </c>
      <c r="S16" s="37">
        <f t="shared" si="1"/>
        <v>466.32470302944489</v>
      </c>
      <c r="T16" s="37"/>
      <c r="U16" s="37">
        <f t="shared" si="2"/>
        <v>0</v>
      </c>
      <c r="V16" s="37">
        <f t="shared" si="3"/>
        <v>0</v>
      </c>
      <c r="W16" s="35">
        <f t="shared" si="4"/>
        <v>0</v>
      </c>
      <c r="X16" s="34">
        <f t="shared" si="5"/>
        <v>919.35362640741823</v>
      </c>
      <c r="Y16" s="19"/>
      <c r="AD16" s="2"/>
    </row>
    <row r="17" spans="1:49" x14ac:dyDescent="0.25">
      <c r="A17" s="1" t="s">
        <v>149</v>
      </c>
      <c r="B17" s="1">
        <v>0</v>
      </c>
      <c r="C17" s="1" t="s">
        <v>4</v>
      </c>
      <c r="E17" s="22" t="s">
        <v>200</v>
      </c>
      <c r="F17" s="2">
        <v>180000</v>
      </c>
      <c r="G17" s="1" t="s">
        <v>129</v>
      </c>
      <c r="H17" s="9"/>
      <c r="I17" s="22" t="s">
        <v>36</v>
      </c>
      <c r="J17" s="13">
        <v>0.14199999999999999</v>
      </c>
      <c r="K17" s="1" t="s">
        <v>35</v>
      </c>
      <c r="L17" s="9"/>
      <c r="N17" s="31">
        <f t="shared" si="8"/>
        <v>9</v>
      </c>
      <c r="O17" s="31"/>
      <c r="P17" s="35">
        <f t="shared" si="0"/>
        <v>0</v>
      </c>
      <c r="Q17" s="36">
        <f t="shared" si="6"/>
        <v>435.77067867786025</v>
      </c>
      <c r="R17" s="37">
        <f t="shared" si="7"/>
        <v>0</v>
      </c>
      <c r="S17" s="37">
        <f t="shared" si="1"/>
        <v>444.11876478994753</v>
      </c>
      <c r="T17" s="37"/>
      <c r="U17" s="37">
        <f t="shared" si="2"/>
        <v>0</v>
      </c>
      <c r="V17" s="37">
        <f t="shared" si="3"/>
        <v>0</v>
      </c>
      <c r="W17" s="35">
        <f t="shared" si="4"/>
        <v>0</v>
      </c>
      <c r="X17" s="34">
        <f t="shared" si="5"/>
        <v>879.88944346780772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0"/>
        <v>0</v>
      </c>
      <c r="Q18" s="36">
        <f t="shared" si="6"/>
        <v>419.16989091870363</v>
      </c>
      <c r="R18" s="37">
        <f t="shared" si="7"/>
        <v>0</v>
      </c>
      <c r="S18" s="37">
        <f t="shared" si="1"/>
        <v>422.97025218090238</v>
      </c>
      <c r="T18" s="37"/>
      <c r="U18" s="37">
        <f t="shared" si="2"/>
        <v>0</v>
      </c>
      <c r="V18" s="37">
        <f t="shared" si="3"/>
        <v>0</v>
      </c>
      <c r="W18" s="35">
        <f t="shared" si="4"/>
        <v>-4303.1062243777487</v>
      </c>
      <c r="X18" s="34">
        <f t="shared" si="5"/>
        <v>-3460.9660812781426</v>
      </c>
      <c r="Y18" s="19"/>
      <c r="AD18" s="2"/>
    </row>
    <row r="19" spans="1:49" x14ac:dyDescent="0.25">
      <c r="A19" s="91" t="s">
        <v>182</v>
      </c>
      <c r="B19" s="77">
        <v>200000</v>
      </c>
      <c r="C19" s="1" t="s">
        <v>134</v>
      </c>
      <c r="E19" s="22" t="s">
        <v>181</v>
      </c>
      <c r="F19" s="88">
        <v>1660000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0"/>
        <v>0</v>
      </c>
      <c r="Q19" s="36">
        <f t="shared" si="6"/>
        <v>0</v>
      </c>
      <c r="R19" s="37">
        <f t="shared" si="7"/>
        <v>0</v>
      </c>
      <c r="S19" s="37">
        <f t="shared" si="1"/>
        <v>0</v>
      </c>
      <c r="T19" s="37"/>
      <c r="U19" s="37">
        <f t="shared" si="2"/>
        <v>0</v>
      </c>
      <c r="V19" s="37">
        <f t="shared" si="3"/>
        <v>0</v>
      </c>
      <c r="W19" s="35">
        <f t="shared" ref="W19:W48" si="9">IF(N19=$B$5,((((1-$J$15/100)^N19)*$B$48+((1-$J$16/100)^N19)*$B$44)/((1+($F$11/100))^N19))*-1,0)</f>
        <v>0</v>
      </c>
      <c r="X19" s="34">
        <f t="shared" si="5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0"/>
        <v>0</v>
      </c>
      <c r="Q20" s="36">
        <f t="shared" si="6"/>
        <v>0</v>
      </c>
      <c r="R20" s="37">
        <f t="shared" si="7"/>
        <v>0</v>
      </c>
      <c r="S20" s="37">
        <f t="shared" si="1"/>
        <v>0</v>
      </c>
      <c r="T20" s="37"/>
      <c r="U20" s="37">
        <f t="shared" si="2"/>
        <v>0</v>
      </c>
      <c r="V20" s="37">
        <f t="shared" si="3"/>
        <v>0</v>
      </c>
      <c r="W20" s="35">
        <f t="shared" si="9"/>
        <v>0</v>
      </c>
      <c r="X20" s="34">
        <f t="shared" si="5"/>
        <v>0</v>
      </c>
      <c r="Y20" s="19"/>
    </row>
    <row r="21" spans="1:49" x14ac:dyDescent="0.25">
      <c r="E21" s="22" t="s">
        <v>67</v>
      </c>
      <c r="F21" s="43">
        <v>614.39753999999994</v>
      </c>
      <c r="G21" s="1" t="s">
        <v>152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0"/>
        <v>0</v>
      </c>
      <c r="Q21" s="36">
        <f t="shared" si="6"/>
        <v>0</v>
      </c>
      <c r="R21" s="37">
        <f t="shared" si="7"/>
        <v>0</v>
      </c>
      <c r="S21" s="37">
        <f t="shared" si="1"/>
        <v>0</v>
      </c>
      <c r="T21" s="37"/>
      <c r="U21" s="37">
        <f t="shared" si="2"/>
        <v>0</v>
      </c>
      <c r="V21" s="37">
        <f t="shared" si="3"/>
        <v>0</v>
      </c>
      <c r="W21" s="35">
        <f t="shared" si="9"/>
        <v>0</v>
      </c>
      <c r="X21" s="34">
        <f t="shared" si="5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185</v>
      </c>
      <c r="AK21" s="125" t="s">
        <v>186</v>
      </c>
      <c r="AL21" s="125" t="s">
        <v>187</v>
      </c>
      <c r="AM21" s="125" t="s">
        <v>40</v>
      </c>
      <c r="AN21" s="125" t="s">
        <v>188</v>
      </c>
      <c r="AO21" s="125" t="s">
        <v>189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106"/>
      <c r="N22" s="31">
        <f t="shared" si="8"/>
        <v>0</v>
      </c>
      <c r="O22" s="31"/>
      <c r="P22" s="35">
        <f t="shared" si="0"/>
        <v>0</v>
      </c>
      <c r="Q22" s="36">
        <f t="shared" si="6"/>
        <v>0</v>
      </c>
      <c r="R22" s="37">
        <f t="shared" si="7"/>
        <v>0</v>
      </c>
      <c r="S22" s="37">
        <f t="shared" si="1"/>
        <v>0</v>
      </c>
      <c r="T22" s="37"/>
      <c r="U22" s="37">
        <f t="shared" si="2"/>
        <v>0</v>
      </c>
      <c r="V22" s="37">
        <f t="shared" si="3"/>
        <v>0</v>
      </c>
      <c r="W22" s="35">
        <f t="shared" si="9"/>
        <v>0</v>
      </c>
      <c r="X22" s="34">
        <f t="shared" si="5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-34.621341046062312</v>
      </c>
      <c r="AL22" s="127">
        <f>AC24</f>
        <v>-8.4204203170828844</v>
      </c>
      <c r="AM22" s="128">
        <f t="shared" ref="AM22:AM32" si="10">AC39</f>
        <v>-8.0334263461467046</v>
      </c>
      <c r="AN22" s="128">
        <f t="shared" ref="AN22:AN32" si="11">AH39</f>
        <v>-26.009292561326031</v>
      </c>
      <c r="AO22" s="128">
        <f>AC54</f>
        <v>-7.0817820879998754</v>
      </c>
      <c r="AP22" s="135">
        <f>AC69</f>
        <v>8.4204203170829093</v>
      </c>
    </row>
    <row r="23" spans="1:49" x14ac:dyDescent="0.25">
      <c r="A23" s="12"/>
      <c r="H23" s="9"/>
      <c r="I23" s="12" t="s">
        <v>156</v>
      </c>
      <c r="L23" s="106"/>
      <c r="N23" s="31">
        <f t="shared" si="8"/>
        <v>0</v>
      </c>
      <c r="O23" s="31"/>
      <c r="P23" s="35">
        <f t="shared" si="0"/>
        <v>0</v>
      </c>
      <c r="Q23" s="36">
        <f t="shared" si="6"/>
        <v>0</v>
      </c>
      <c r="R23" s="37">
        <f t="shared" si="7"/>
        <v>0</v>
      </c>
      <c r="S23" s="37">
        <f t="shared" si="1"/>
        <v>0</v>
      </c>
      <c r="T23" s="37"/>
      <c r="U23" s="37">
        <f t="shared" si="2"/>
        <v>0</v>
      </c>
      <c r="V23" s="37">
        <f t="shared" si="3"/>
        <v>0</v>
      </c>
      <c r="W23" s="35">
        <f t="shared" si="9"/>
        <v>0</v>
      </c>
      <c r="X23" s="34">
        <f t="shared" si="5"/>
        <v>0</v>
      </c>
      <c r="Y23" s="19"/>
      <c r="Z23" s="24" t="s">
        <v>109</v>
      </c>
      <c r="AA23" s="28">
        <v>0.20008429721251814</v>
      </c>
      <c r="AB23" s="26">
        <f>X49</f>
        <v>29828.474099573381</v>
      </c>
      <c r="AC23" s="24"/>
      <c r="AE23" s="24" t="s">
        <v>109</v>
      </c>
      <c r="AF23" s="29">
        <v>18130.577114106894</v>
      </c>
      <c r="AG23" s="30">
        <f>X49</f>
        <v>29828.474099573381</v>
      </c>
      <c r="AH23" s="24"/>
      <c r="AJ23" s="126">
        <v>-40</v>
      </c>
      <c r="AK23" s="127">
        <f>AH25</f>
        <v>-27.697072836849852</v>
      </c>
      <c r="AL23" s="127">
        <f t="shared" ref="AL23:AL32" si="12">AC25</f>
        <v>-6.7363362536663072</v>
      </c>
      <c r="AM23" s="128">
        <f t="shared" si="10"/>
        <v>-6.4267410769173638</v>
      </c>
      <c r="AN23" s="128">
        <f t="shared" si="11"/>
        <v>-22.90885208030944</v>
      </c>
      <c r="AO23" s="128">
        <f t="shared" ref="AO23:AO32" si="13">AC55</f>
        <v>-5.6654256703998858</v>
      </c>
      <c r="AP23" s="135">
        <f t="shared" ref="AP23:AP32" si="14">AC70</f>
        <v>6.736336253666356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157</v>
      </c>
      <c r="J24" s="60" t="s">
        <v>155</v>
      </c>
      <c r="L24" s="106"/>
      <c r="N24" s="31">
        <f t="shared" si="8"/>
        <v>0</v>
      </c>
      <c r="O24" s="31"/>
      <c r="P24" s="35">
        <f t="shared" si="0"/>
        <v>0</v>
      </c>
      <c r="Q24" s="36">
        <f t="shared" si="6"/>
        <v>0</v>
      </c>
      <c r="R24" s="37">
        <f t="shared" si="7"/>
        <v>0</v>
      </c>
      <c r="S24" s="37">
        <f t="shared" si="1"/>
        <v>0</v>
      </c>
      <c r="T24" s="37"/>
      <c r="U24" s="37">
        <f t="shared" si="2"/>
        <v>0</v>
      </c>
      <c r="V24" s="37">
        <f t="shared" si="3"/>
        <v>0</v>
      </c>
      <c r="W24" s="35">
        <f t="shared" si="9"/>
        <v>0</v>
      </c>
      <c r="X24" s="34">
        <f t="shared" si="5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 ca="1"/>
        <v>27316.791206217098</v>
      </c>
      <c r="AC24" s="58">
        <f>100*((AB24-$AB$29)/$AB$29)</f>
        <v>-8.4204203170828844</v>
      </c>
      <c r="AE24" s="24">
        <f t="shared" ref="AE24:AE27" si="17">AE25-10</f>
        <v>-50</v>
      </c>
      <c r="AF24" s="29">
        <f t="shared" ref="AF24:AF34" si="18">$AF$23*(1+(AE24/100))</f>
        <v>9065.2885570534472</v>
      </c>
      <c r="AG24" s="30">
        <f t="dataTable" ref="AG24:AG34" dt2D="0" dtr="0" r1="B49"/>
        <v>19501.456352723715</v>
      </c>
      <c r="AH24" s="58">
        <f t="shared" ref="AH24:AH34" si="19">100*((AG24-$AG$29)/$AG$29)</f>
        <v>-34.621341046062312</v>
      </c>
      <c r="AJ24" s="126">
        <v>-30</v>
      </c>
      <c r="AK24" s="127">
        <f t="shared" ref="AK24:AK32" si="20">AH26</f>
        <v>-20.772804627637385</v>
      </c>
      <c r="AL24" s="127">
        <f t="shared" si="12"/>
        <v>-5.0522521902497308</v>
      </c>
      <c r="AM24" s="128">
        <f t="shared" si="10"/>
        <v>-4.8200558076880222</v>
      </c>
      <c r="AN24" s="128">
        <f t="shared" si="11"/>
        <v>-10.731992071170025</v>
      </c>
      <c r="AO24" s="128">
        <f t="shared" si="13"/>
        <v>-4.2490692527999201</v>
      </c>
      <c r="AP24" s="135">
        <f t="shared" si="14"/>
        <v>5.0522521902497921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158</v>
      </c>
      <c r="J25" s="98">
        <v>1.3</v>
      </c>
      <c r="K25" s="98" t="s">
        <v>159</v>
      </c>
      <c r="L25" s="106"/>
      <c r="N25" s="31">
        <f t="shared" si="8"/>
        <v>0</v>
      </c>
      <c r="O25" s="31"/>
      <c r="P25" s="35">
        <f t="shared" si="0"/>
        <v>0</v>
      </c>
      <c r="Q25" s="36">
        <f t="shared" si="6"/>
        <v>0</v>
      </c>
      <c r="R25" s="37">
        <f t="shared" si="7"/>
        <v>0</v>
      </c>
      <c r="S25" s="37">
        <f t="shared" si="1"/>
        <v>0</v>
      </c>
      <c r="T25" s="37"/>
      <c r="U25" s="37">
        <f t="shared" si="2"/>
        <v>0</v>
      </c>
      <c r="V25" s="37">
        <f t="shared" si="3"/>
        <v>0</v>
      </c>
      <c r="W25" s="35">
        <f t="shared" si="9"/>
        <v>0</v>
      </c>
      <c r="X25" s="34">
        <f t="shared" si="5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27819.127784888355</v>
      </c>
      <c r="AC25" s="58">
        <f t="shared" ref="AC25:AC34" si="21">100*((AB25-$AB$29)/$AB$29)</f>
        <v>-6.7363362536663072</v>
      </c>
      <c r="AE25" s="24">
        <f t="shared" si="17"/>
        <v>-40</v>
      </c>
      <c r="AF25" s="29">
        <f t="shared" si="18"/>
        <v>10878.346268464136</v>
      </c>
      <c r="AG25" s="30">
        <v>21566.859902093649</v>
      </c>
      <c r="AH25" s="58">
        <f t="shared" si="19"/>
        <v>-27.697072836849852</v>
      </c>
      <c r="AJ25" s="126">
        <v>-20</v>
      </c>
      <c r="AK25" s="127">
        <f t="shared" si="20"/>
        <v>-13.848536418424921</v>
      </c>
      <c r="AL25" s="127">
        <f t="shared" si="12"/>
        <v>-3.3681681268331416</v>
      </c>
      <c r="AM25" s="128">
        <f t="shared" si="10"/>
        <v>-3.2133705384586695</v>
      </c>
      <c r="AN25" s="128">
        <f t="shared" si="11"/>
        <v>-7.1777306137473351</v>
      </c>
      <c r="AO25" s="128">
        <f t="shared" si="13"/>
        <v>-2.8327128351999189</v>
      </c>
      <c r="AP25" s="135">
        <f t="shared" si="14"/>
        <v>3.368168126833202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160</v>
      </c>
      <c r="J26" s="95">
        <f>J12/2</f>
        <v>150</v>
      </c>
      <c r="K26" s="94" t="s">
        <v>161</v>
      </c>
      <c r="L26" s="96"/>
      <c r="N26" s="31">
        <f t="shared" si="8"/>
        <v>0</v>
      </c>
      <c r="O26" s="31"/>
      <c r="P26" s="35">
        <f t="shared" si="0"/>
        <v>0</v>
      </c>
      <c r="Q26" s="36">
        <f t="shared" si="6"/>
        <v>0</v>
      </c>
      <c r="R26" s="37">
        <f t="shared" si="7"/>
        <v>0</v>
      </c>
      <c r="S26" s="37">
        <f t="shared" si="1"/>
        <v>0</v>
      </c>
      <c r="T26" s="37"/>
      <c r="U26" s="37">
        <f t="shared" si="2"/>
        <v>0</v>
      </c>
      <c r="V26" s="37">
        <f t="shared" si="3"/>
        <v>0</v>
      </c>
      <c r="W26" s="35">
        <f t="shared" si="9"/>
        <v>0</v>
      </c>
      <c r="X26" s="34">
        <f t="shared" si="5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28321.464363559611</v>
      </c>
      <c r="AC26" s="58">
        <f t="shared" si="21"/>
        <v>-5.0522521902497308</v>
      </c>
      <c r="AE26" s="24">
        <f t="shared" si="17"/>
        <v>-30</v>
      </c>
      <c r="AF26" s="29">
        <f t="shared" si="18"/>
        <v>12691.403979874825</v>
      </c>
      <c r="AG26" s="30">
        <v>23632.263451463583</v>
      </c>
      <c r="AH26" s="58">
        <f t="shared" si="19"/>
        <v>-20.772804627637385</v>
      </c>
      <c r="AJ26" s="126">
        <v>-10</v>
      </c>
      <c r="AK26" s="127">
        <f t="shared" si="20"/>
        <v>-6.9242682092124532</v>
      </c>
      <c r="AL26" s="127">
        <f t="shared" si="12"/>
        <v>-1.6840840634165646</v>
      </c>
      <c r="AM26" s="128">
        <f t="shared" si="10"/>
        <v>-1.6066852692293285</v>
      </c>
      <c r="AN26" s="128">
        <f t="shared" si="11"/>
        <v>-3.6007781075043321</v>
      </c>
      <c r="AO26" s="128">
        <f t="shared" si="13"/>
        <v>-1.4163564175999654</v>
      </c>
      <c r="AP26" s="135">
        <f t="shared" si="14"/>
        <v>1.6840840634166137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0"/>
        <v>0</v>
      </c>
      <c r="Q27" s="36">
        <f t="shared" si="6"/>
        <v>0</v>
      </c>
      <c r="R27" s="37">
        <f t="shared" si="7"/>
        <v>0</v>
      </c>
      <c r="S27" s="37">
        <f t="shared" si="1"/>
        <v>0</v>
      </c>
      <c r="T27" s="37"/>
      <c r="U27" s="37">
        <f t="shared" si="2"/>
        <v>0</v>
      </c>
      <c r="V27" s="37">
        <f t="shared" si="3"/>
        <v>0</v>
      </c>
      <c r="W27" s="35">
        <f t="shared" si="9"/>
        <v>0</v>
      </c>
      <c r="X27" s="34">
        <f t="shared" si="5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28823.800942230871</v>
      </c>
      <c r="AC27" s="58">
        <f t="shared" si="21"/>
        <v>-3.3681681268331416</v>
      </c>
      <c r="AE27" s="24">
        <f t="shared" si="17"/>
        <v>-20</v>
      </c>
      <c r="AF27" s="29">
        <f t="shared" si="18"/>
        <v>14504.461691285516</v>
      </c>
      <c r="AG27" s="30">
        <v>25697.667000833517</v>
      </c>
      <c r="AH27" s="58">
        <f t="shared" si="19"/>
        <v>-13.848536418424921</v>
      </c>
      <c r="AJ27" s="126">
        <v>0</v>
      </c>
      <c r="AK27" s="127">
        <f t="shared" si="20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0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>
        <v>180000</v>
      </c>
      <c r="J28" s="2">
        <f>I28/B8</f>
        <v>7.2949510833002362</v>
      </c>
      <c r="K28" s="46">
        <f>J28*15000</f>
        <v>109424.26624950355</v>
      </c>
      <c r="N28" s="31">
        <f t="shared" si="8"/>
        <v>0</v>
      </c>
      <c r="O28" s="31"/>
      <c r="P28" s="35">
        <f t="shared" si="0"/>
        <v>0</v>
      </c>
      <c r="Q28" s="36">
        <f t="shared" si="6"/>
        <v>0</v>
      </c>
      <c r="R28" s="37">
        <f t="shared" si="7"/>
        <v>0</v>
      </c>
      <c r="S28" s="37">
        <f t="shared" si="1"/>
        <v>0</v>
      </c>
      <c r="T28" s="37"/>
      <c r="U28" s="37">
        <f t="shared" si="2"/>
        <v>0</v>
      </c>
      <c r="V28" s="37">
        <f t="shared" si="3"/>
        <v>0</v>
      </c>
      <c r="W28" s="35">
        <f t="shared" si="9"/>
        <v>0</v>
      </c>
      <c r="X28" s="34">
        <f t="shared" si="5"/>
        <v>0</v>
      </c>
      <c r="Y28" s="19"/>
      <c r="Z28" s="24">
        <f>Z29-10</f>
        <v>-10</v>
      </c>
      <c r="AA28" s="28">
        <f t="shared" si="16"/>
        <v>0.18007586749126633</v>
      </c>
      <c r="AB28" s="30">
        <v>29326.137520902128</v>
      </c>
      <c r="AC28" s="58">
        <f t="shared" si="21"/>
        <v>-1.6840840634165646</v>
      </c>
      <c r="AE28" s="24">
        <f>AE29-10</f>
        <v>-10</v>
      </c>
      <c r="AF28" s="29">
        <f t="shared" si="18"/>
        <v>16317.519402696205</v>
      </c>
      <c r="AG28" s="30">
        <v>27763.070550203451</v>
      </c>
      <c r="AH28" s="58">
        <f t="shared" si="19"/>
        <v>-6.9242682092124532</v>
      </c>
      <c r="AJ28" s="126">
        <v>10</v>
      </c>
      <c r="AK28" s="127">
        <f t="shared" si="20"/>
        <v>6.9242682092125136</v>
      </c>
      <c r="AL28" s="127">
        <f t="shared" si="12"/>
        <v>1.6840840634166137</v>
      </c>
      <c r="AM28" s="128">
        <f t="shared" si="10"/>
        <v>1.606685269229341</v>
      </c>
      <c r="AN28" s="128">
        <f t="shared" si="11"/>
        <v>3.625794988828738</v>
      </c>
      <c r="AO28" s="128">
        <f t="shared" si="13"/>
        <v>1.4163564176000021</v>
      </c>
      <c r="AP28" s="135">
        <f t="shared" si="14"/>
        <v>-1.6840840634165646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0"/>
        <v>0</v>
      </c>
      <c r="Q29" s="36">
        <f t="shared" si="6"/>
        <v>0</v>
      </c>
      <c r="R29" s="37">
        <f t="shared" si="7"/>
        <v>0</v>
      </c>
      <c r="S29" s="37">
        <f t="shared" si="1"/>
        <v>0</v>
      </c>
      <c r="T29" s="37"/>
      <c r="U29" s="37">
        <f t="shared" si="2"/>
        <v>0</v>
      </c>
      <c r="V29" s="37">
        <f t="shared" si="3"/>
        <v>0</v>
      </c>
      <c r="W29" s="35">
        <f t="shared" si="9"/>
        <v>0</v>
      </c>
      <c r="X29" s="34">
        <f t="shared" si="5"/>
        <v>0</v>
      </c>
      <c r="Y29" s="19"/>
      <c r="Z29" s="60">
        <v>0</v>
      </c>
      <c r="AA29" s="64">
        <f>$AA$23*(1+(Z29/100))</f>
        <v>0.20008429721251814</v>
      </c>
      <c r="AB29" s="62">
        <v>29828.474099573381</v>
      </c>
      <c r="AC29" s="63">
        <f t="shared" si="21"/>
        <v>0</v>
      </c>
      <c r="AE29" s="60">
        <v>0</v>
      </c>
      <c r="AF29" s="61">
        <f t="shared" si="18"/>
        <v>18130.577114106894</v>
      </c>
      <c r="AG29" s="62">
        <v>29828.474099573381</v>
      </c>
      <c r="AH29" s="63">
        <f t="shared" si="19"/>
        <v>0</v>
      </c>
      <c r="AJ29" s="126">
        <v>20</v>
      </c>
      <c r="AK29" s="127">
        <f t="shared" si="20"/>
        <v>13.848536418424931</v>
      </c>
      <c r="AL29" s="127">
        <f t="shared" si="12"/>
        <v>3.368168126833202</v>
      </c>
      <c r="AM29" s="128">
        <f t="shared" si="10"/>
        <v>3.2133705384587179</v>
      </c>
      <c r="AN29" s="128">
        <f t="shared" si="11"/>
        <v>6.7262354698452684</v>
      </c>
      <c r="AO29" s="128">
        <f t="shared" si="13"/>
        <v>2.8327128351999797</v>
      </c>
      <c r="AP29" s="135">
        <f t="shared" si="14"/>
        <v>-3.3681681268331416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0"/>
        <v>0</v>
      </c>
      <c r="Q30" s="36">
        <f t="shared" si="6"/>
        <v>0</v>
      </c>
      <c r="R30" s="37">
        <f t="shared" si="7"/>
        <v>0</v>
      </c>
      <c r="S30" s="37">
        <f t="shared" si="1"/>
        <v>0</v>
      </c>
      <c r="T30" s="37"/>
      <c r="U30" s="37">
        <f t="shared" si="2"/>
        <v>0</v>
      </c>
      <c r="V30" s="37">
        <f t="shared" si="3"/>
        <v>0</v>
      </c>
      <c r="W30" s="35">
        <f t="shared" si="9"/>
        <v>0</v>
      </c>
      <c r="X30" s="34">
        <f t="shared" si="5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30330.810678244648</v>
      </c>
      <c r="AC30" s="58">
        <f t="shared" si="21"/>
        <v>1.6840840634166137</v>
      </c>
      <c r="AE30" s="24">
        <f>AE29+10</f>
        <v>10</v>
      </c>
      <c r="AF30" s="29">
        <f t="shared" si="18"/>
        <v>19943.634825517587</v>
      </c>
      <c r="AG30" s="30">
        <v>31893.877648943329</v>
      </c>
      <c r="AH30" s="58">
        <f t="shared" si="19"/>
        <v>6.9242682092125136</v>
      </c>
      <c r="AJ30" s="126">
        <v>30</v>
      </c>
      <c r="AK30" s="127">
        <f t="shared" si="20"/>
        <v>20.772804627637424</v>
      </c>
      <c r="AL30" s="127">
        <f t="shared" si="12"/>
        <v>5.0522521902497921</v>
      </c>
      <c r="AM30" s="128">
        <f t="shared" si="10"/>
        <v>4.8200558076880347</v>
      </c>
      <c r="AN30" s="128">
        <f t="shared" si="11"/>
        <v>19.45471771218747</v>
      </c>
      <c r="AO30" s="128">
        <f t="shared" si="13"/>
        <v>4.249069252799945</v>
      </c>
      <c r="AP30" s="135">
        <f t="shared" si="14"/>
        <v>-5.0522521902497308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171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5439.1731342320682</v>
      </c>
      <c r="G31" s="1" t="s">
        <v>3</v>
      </c>
      <c r="I31" s="38" t="s">
        <v>98</v>
      </c>
      <c r="J31" s="45">
        <f>ROUNDDOWN(J11/(F12/J12),0)</f>
        <v>7</v>
      </c>
      <c r="K31" s="39" t="s">
        <v>24</v>
      </c>
      <c r="L31" s="9"/>
      <c r="N31" s="31">
        <f t="shared" si="8"/>
        <v>0</v>
      </c>
      <c r="O31" s="31"/>
      <c r="P31" s="35">
        <f t="shared" si="0"/>
        <v>0</v>
      </c>
      <c r="Q31" s="36">
        <f t="shared" si="6"/>
        <v>0</v>
      </c>
      <c r="R31" s="37">
        <f t="shared" si="7"/>
        <v>0</v>
      </c>
      <c r="S31" s="37">
        <f t="shared" si="1"/>
        <v>0</v>
      </c>
      <c r="T31" s="37"/>
      <c r="U31" s="37">
        <f t="shared" si="2"/>
        <v>0</v>
      </c>
      <c r="V31" s="37">
        <f t="shared" si="3"/>
        <v>0</v>
      </c>
      <c r="W31" s="35">
        <f t="shared" si="9"/>
        <v>0</v>
      </c>
      <c r="X31" s="34">
        <f t="shared" si="5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30833.147256915909</v>
      </c>
      <c r="AC31" s="58">
        <f t="shared" si="21"/>
        <v>3.368168126833202</v>
      </c>
      <c r="AE31" s="24">
        <f t="shared" ref="AE31:AE34" si="24">AE30+10</f>
        <v>20</v>
      </c>
      <c r="AF31" s="29">
        <f t="shared" si="18"/>
        <v>21756.692536928273</v>
      </c>
      <c r="AG31" s="30">
        <v>33959.281198313249</v>
      </c>
      <c r="AH31" s="58">
        <f t="shared" si="19"/>
        <v>13.848536418424931</v>
      </c>
      <c r="AJ31" s="126">
        <v>40</v>
      </c>
      <c r="AK31" s="127">
        <f t="shared" si="20"/>
        <v>27.697072836849891</v>
      </c>
      <c r="AL31" s="127">
        <f t="shared" si="12"/>
        <v>6.736336253666356</v>
      </c>
      <c r="AM31" s="128">
        <f t="shared" si="10"/>
        <v>6.4267410769173754</v>
      </c>
      <c r="AN31" s="128">
        <f t="shared" si="11"/>
        <v>22.5551581932041</v>
      </c>
      <c r="AO31" s="128">
        <f t="shared" si="13"/>
        <v>5.6654256703999231</v>
      </c>
      <c r="AP31" s="135">
        <f t="shared" si="14"/>
        <v>-6.7363362536663072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12691.403979874827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0"/>
        <v>0</v>
      </c>
      <c r="Q32" s="36">
        <f t="shared" si="6"/>
        <v>0</v>
      </c>
      <c r="R32" s="37">
        <f t="shared" si="7"/>
        <v>0</v>
      </c>
      <c r="S32" s="37">
        <f t="shared" si="1"/>
        <v>0</v>
      </c>
      <c r="T32" s="37"/>
      <c r="U32" s="37">
        <f t="shared" si="2"/>
        <v>0</v>
      </c>
      <c r="V32" s="37">
        <f t="shared" si="3"/>
        <v>0</v>
      </c>
      <c r="W32" s="35">
        <f t="shared" si="9"/>
        <v>0</v>
      </c>
      <c r="X32" s="34">
        <f t="shared" si="5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31335.483835587169</v>
      </c>
      <c r="AC32" s="58">
        <f t="shared" si="21"/>
        <v>5.0522521902497921</v>
      </c>
      <c r="AE32" s="24">
        <f t="shared" si="24"/>
        <v>30</v>
      </c>
      <c r="AF32" s="29">
        <f t="shared" si="18"/>
        <v>23569.750248338965</v>
      </c>
      <c r="AG32" s="30">
        <v>36024.68474768319</v>
      </c>
      <c r="AH32" s="58">
        <f t="shared" si="19"/>
        <v>20.772804627637424</v>
      </c>
      <c r="AJ32" s="126">
        <v>50</v>
      </c>
      <c r="AK32" s="127">
        <f t="shared" si="20"/>
        <v>34.621341046062327</v>
      </c>
      <c r="AL32" s="127">
        <f t="shared" si="12"/>
        <v>8.4204203170829199</v>
      </c>
      <c r="AM32" s="128">
        <f t="shared" si="10"/>
        <v>8.0334263461467046</v>
      </c>
      <c r="AN32" s="128">
        <f t="shared" si="11"/>
        <v>27.165135020716114</v>
      </c>
      <c r="AO32" s="128">
        <f t="shared" si="13"/>
        <v>7.0817820879999243</v>
      </c>
      <c r="AP32" s="135">
        <f t="shared" si="14"/>
        <v>-8.4204203170828844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1647.4974193548387</v>
      </c>
      <c r="C33" s="1" t="s">
        <v>3</v>
      </c>
      <c r="E33" s="22" t="s">
        <v>65</v>
      </c>
      <c r="F33" s="10">
        <f>F32*(F22/100)*J20</f>
        <v>4879.8448302618717</v>
      </c>
      <c r="G33" s="1" t="s">
        <v>3</v>
      </c>
      <c r="L33" s="9"/>
      <c r="N33" s="31">
        <f t="shared" si="8"/>
        <v>0</v>
      </c>
      <c r="O33" s="31"/>
      <c r="P33" s="35">
        <f t="shared" si="0"/>
        <v>0</v>
      </c>
      <c r="Q33" s="36">
        <f t="shared" si="6"/>
        <v>0</v>
      </c>
      <c r="R33" s="37">
        <f t="shared" si="7"/>
        <v>0</v>
      </c>
      <c r="S33" s="37">
        <f t="shared" si="1"/>
        <v>0</v>
      </c>
      <c r="T33" s="37"/>
      <c r="U33" s="37">
        <f t="shared" si="2"/>
        <v>0</v>
      </c>
      <c r="V33" s="37">
        <f t="shared" si="3"/>
        <v>0</v>
      </c>
      <c r="W33" s="35">
        <f t="shared" si="9"/>
        <v>0</v>
      </c>
      <c r="X33" s="34">
        <f t="shared" si="5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31837.820414258422</v>
      </c>
      <c r="AC33" s="58">
        <f t="shared" si="21"/>
        <v>6.736336253666356</v>
      </c>
      <c r="AE33" s="24">
        <f t="shared" si="24"/>
        <v>40</v>
      </c>
      <c r="AF33" s="29">
        <f t="shared" si="18"/>
        <v>25382.807959749651</v>
      </c>
      <c r="AG33" s="30">
        <v>38090.088297053124</v>
      </c>
      <c r="AH33" s="58">
        <f t="shared" si="19"/>
        <v>27.697072836849891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144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219730</v>
      </c>
      <c r="K34" s="39" t="s">
        <v>42</v>
      </c>
      <c r="L34" s="9"/>
      <c r="N34" s="31">
        <f t="shared" si="8"/>
        <v>0</v>
      </c>
      <c r="O34" s="31"/>
      <c r="P34" s="35">
        <f t="shared" si="0"/>
        <v>0</v>
      </c>
      <c r="Q34" s="36">
        <f t="shared" si="6"/>
        <v>0</v>
      </c>
      <c r="R34" s="37">
        <f t="shared" si="7"/>
        <v>0</v>
      </c>
      <c r="S34" s="37">
        <f t="shared" si="1"/>
        <v>0</v>
      </c>
      <c r="T34" s="37"/>
      <c r="U34" s="37">
        <f t="shared" si="2"/>
        <v>0</v>
      </c>
      <c r="V34" s="37">
        <f t="shared" si="3"/>
        <v>0</v>
      </c>
      <c r="W34" s="35">
        <f t="shared" si="9"/>
        <v>0</v>
      </c>
      <c r="X34" s="34">
        <f t="shared" si="5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32340.156992929675</v>
      </c>
      <c r="AC34" s="58">
        <f t="shared" si="21"/>
        <v>8.4204203170829199</v>
      </c>
      <c r="AE34" s="24">
        <f t="shared" si="24"/>
        <v>50</v>
      </c>
      <c r="AF34" s="29">
        <f t="shared" si="18"/>
        <v>27195.86567116034</v>
      </c>
      <c r="AG34" s="30">
        <v>40155.49184642305</v>
      </c>
      <c r="AH34" s="58">
        <f t="shared" si="19"/>
        <v>34.621341046062327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0"/>
        <v>0</v>
      </c>
      <c r="Q35" s="36">
        <f t="shared" si="6"/>
        <v>0</v>
      </c>
      <c r="R35" s="37">
        <f t="shared" si="7"/>
        <v>0</v>
      </c>
      <c r="S35" s="37">
        <f t="shared" si="1"/>
        <v>0</v>
      </c>
      <c r="T35" s="37"/>
      <c r="U35" s="37">
        <f t="shared" si="2"/>
        <v>0</v>
      </c>
      <c r="V35" s="37">
        <f t="shared" si="3"/>
        <v>0</v>
      </c>
      <c r="W35" s="35">
        <f t="shared" si="9"/>
        <v>0</v>
      </c>
      <c r="X35" s="34">
        <f t="shared" si="5"/>
        <v>0</v>
      </c>
      <c r="Y35" s="19"/>
    </row>
    <row r="36" spans="1:49" x14ac:dyDescent="0.25">
      <c r="A36" s="21" t="s">
        <v>182</v>
      </c>
      <c r="B36" s="18">
        <f>IF(B19=0,0,(B19/B8))</f>
        <v>8.1055012036669289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0"/>
        <v>0</v>
      </c>
      <c r="Q36" s="36">
        <f t="shared" si="6"/>
        <v>0</v>
      </c>
      <c r="R36" s="37">
        <f t="shared" si="7"/>
        <v>0</v>
      </c>
      <c r="S36" s="37">
        <f t="shared" si="1"/>
        <v>0</v>
      </c>
      <c r="T36" s="37"/>
      <c r="U36" s="37">
        <f t="shared" si="2"/>
        <v>0</v>
      </c>
      <c r="V36" s="37">
        <f t="shared" si="3"/>
        <v>0</v>
      </c>
      <c r="W36" s="35">
        <f t="shared" si="9"/>
        <v>0</v>
      </c>
      <c r="X36" s="34">
        <f t="shared" si="5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A37" s="91"/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688.97397106417134</v>
      </c>
      <c r="K37" s="12" t="s">
        <v>46</v>
      </c>
      <c r="L37" s="9"/>
      <c r="N37" s="31">
        <f t="shared" si="8"/>
        <v>0</v>
      </c>
      <c r="O37" s="31"/>
      <c r="P37" s="35">
        <f t="shared" si="0"/>
        <v>0</v>
      </c>
      <c r="Q37" s="36">
        <f t="shared" si="6"/>
        <v>0</v>
      </c>
      <c r="R37" s="37">
        <f t="shared" si="7"/>
        <v>0</v>
      </c>
      <c r="S37" s="37">
        <f t="shared" si="1"/>
        <v>0</v>
      </c>
      <c r="T37" s="37"/>
      <c r="U37" s="37">
        <f t="shared" si="2"/>
        <v>0</v>
      </c>
      <c r="V37" s="37">
        <f t="shared" si="3"/>
        <v>0</v>
      </c>
      <c r="W37" s="35">
        <f t="shared" si="9"/>
        <v>0</v>
      </c>
      <c r="X37" s="34">
        <f t="shared" si="5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B38" s="18"/>
      <c r="E38" s="22" t="s">
        <v>59</v>
      </c>
      <c r="F38" s="48">
        <f>F36*J17</f>
        <v>2.8411970204177572E-2</v>
      </c>
      <c r="G38" s="1" t="s">
        <v>58</v>
      </c>
      <c r="I38" s="22" t="s">
        <v>136</v>
      </c>
      <c r="J38" s="13">
        <f>F17/$B$8</f>
        <v>7.2949510833002362</v>
      </c>
      <c r="K38" s="1" t="s">
        <v>46</v>
      </c>
      <c r="L38" s="9"/>
      <c r="N38" s="31">
        <f t="shared" si="8"/>
        <v>0</v>
      </c>
      <c r="O38" s="31"/>
      <c r="P38" s="35">
        <f t="shared" si="0"/>
        <v>0</v>
      </c>
      <c r="Q38" s="36">
        <f t="shared" si="6"/>
        <v>0</v>
      </c>
      <c r="R38" s="37">
        <f t="shared" si="7"/>
        <v>0</v>
      </c>
      <c r="S38" s="37">
        <f t="shared" si="1"/>
        <v>0</v>
      </c>
      <c r="T38" s="37"/>
      <c r="U38" s="37">
        <f t="shared" si="2"/>
        <v>0</v>
      </c>
      <c r="V38" s="37">
        <f t="shared" si="3"/>
        <v>0</v>
      </c>
      <c r="W38" s="35">
        <f t="shared" si="9"/>
        <v>0</v>
      </c>
      <c r="X38" s="34">
        <f t="shared" si="5"/>
        <v>0</v>
      </c>
      <c r="Y38" s="19"/>
      <c r="Z38" s="24" t="s">
        <v>109</v>
      </c>
      <c r="AA38" s="25">
        <v>4410</v>
      </c>
      <c r="AB38" s="26">
        <f>X49</f>
        <v>29828.474099573381</v>
      </c>
      <c r="AC38" s="24"/>
      <c r="AE38" s="24" t="s">
        <v>109</v>
      </c>
      <c r="AF38" s="29">
        <v>21973</v>
      </c>
      <c r="AG38" s="30">
        <f>X49</f>
        <v>29828.474099573381</v>
      </c>
      <c r="AH38" s="24"/>
    </row>
    <row r="39" spans="1:49" x14ac:dyDescent="0.25">
      <c r="A39" s="21"/>
      <c r="B39" s="18"/>
      <c r="I39" s="22" t="s">
        <v>181</v>
      </c>
      <c r="J39" s="13">
        <f>F19/$B$8</f>
        <v>67.275659990435514</v>
      </c>
      <c r="K39" s="1" t="s">
        <v>46</v>
      </c>
      <c r="L39" s="9"/>
      <c r="N39" s="31">
        <f t="shared" si="8"/>
        <v>0</v>
      </c>
      <c r="O39" s="31"/>
      <c r="P39" s="35">
        <f t="shared" si="0"/>
        <v>0</v>
      </c>
      <c r="Q39" s="36">
        <f t="shared" si="6"/>
        <v>0</v>
      </c>
      <c r="R39" s="37">
        <f t="shared" si="7"/>
        <v>0</v>
      </c>
      <c r="S39" s="37">
        <f t="shared" si="1"/>
        <v>0</v>
      </c>
      <c r="T39" s="37"/>
      <c r="U39" s="37">
        <f t="shared" si="2"/>
        <v>0</v>
      </c>
      <c r="V39" s="37">
        <f t="shared" si="3"/>
        <v>0</v>
      </c>
      <c r="W39" s="35">
        <f t="shared" si="9"/>
        <v>0</v>
      </c>
      <c r="X39" s="34">
        <f t="shared" si="5"/>
        <v>0</v>
      </c>
      <c r="Y39" s="19"/>
      <c r="Z39" s="24">
        <f t="shared" ref="Z39:Z42" si="25">Z40-10</f>
        <v>-50</v>
      </c>
      <c r="AA39" s="25">
        <f t="shared" ref="AA39:AA49" si="26">$AA$38*(1+(Z39/100))</f>
        <v>2205</v>
      </c>
      <c r="AB39" s="30">
        <f t="dataTable" ref="AB39:AB49" dt2D="0" dtr="0" r1="B44" ca="1"/>
        <v>27432.225602604707</v>
      </c>
      <c r="AC39" s="58">
        <f>100*((AB39-$AB$44)/$AB$44)</f>
        <v>-8.0334263461467046</v>
      </c>
      <c r="AE39" s="24">
        <f t="shared" ref="AE39:AE42" si="27">AE40-10</f>
        <v>-50</v>
      </c>
      <c r="AF39" s="29">
        <f t="shared" ref="AF39:AF49" si="28">$AF$38*(1+(AE39/100))</f>
        <v>10986.5</v>
      </c>
      <c r="AG39" s="30">
        <f t="dataTable" ref="AG39:AG49" dt2D="0" dtr="0" r1="F12" ca="1"/>
        <v>22070.299004435979</v>
      </c>
      <c r="AH39" s="58">
        <f>100*((AG39-$AG$44)/$AG$44)</f>
        <v>-26.009292561326031</v>
      </c>
    </row>
    <row r="40" spans="1:49" ht="30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0"/>
        <v>0</v>
      </c>
      <c r="Q40" s="36">
        <f t="shared" si="6"/>
        <v>0</v>
      </c>
      <c r="R40" s="37">
        <f t="shared" si="7"/>
        <v>0</v>
      </c>
      <c r="S40" s="37">
        <f t="shared" si="1"/>
        <v>0</v>
      </c>
      <c r="T40" s="37"/>
      <c r="U40" s="37">
        <f t="shared" si="2"/>
        <v>0</v>
      </c>
      <c r="V40" s="37">
        <f t="shared" si="3"/>
        <v>0</v>
      </c>
      <c r="W40" s="35">
        <f t="shared" si="9"/>
        <v>0</v>
      </c>
      <c r="X40" s="34">
        <f t="shared" si="5"/>
        <v>0</v>
      </c>
      <c r="Y40" s="19"/>
      <c r="Z40" s="24">
        <f t="shared" si="25"/>
        <v>-40</v>
      </c>
      <c r="AA40" s="25">
        <f t="shared" si="26"/>
        <v>2646</v>
      </c>
      <c r="AB40" s="30">
        <v>27911.475301998442</v>
      </c>
      <c r="AC40" s="58">
        <f t="shared" ref="AC40:AC49" si="29">100*((AB40-$AB$29)/$AB$29)</f>
        <v>-6.4267410769173638</v>
      </c>
      <c r="AE40" s="24">
        <f t="shared" si="27"/>
        <v>-40</v>
      </c>
      <c r="AF40" s="29">
        <f t="shared" si="28"/>
        <v>13183.8</v>
      </c>
      <c r="AG40" s="30">
        <v>22995.113090288702</v>
      </c>
      <c r="AH40" s="58">
        <f t="shared" ref="AH40:AH43" si="30">100*((AG40-$AG$44)/$AG$44)</f>
        <v>-22.90885208030944</v>
      </c>
    </row>
    <row r="41" spans="1:49" x14ac:dyDescent="0.25">
      <c r="A41" s="22" t="s">
        <v>194</v>
      </c>
      <c r="B41" s="8">
        <f>J8/B8</f>
        <v>11741.935483870966</v>
      </c>
      <c r="C41" s="1" t="s">
        <v>3</v>
      </c>
      <c r="E41" s="22" t="s">
        <v>94</v>
      </c>
      <c r="F41" s="46">
        <f>F38*F12</f>
        <v>624.29622129639381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0"/>
        <v>0</v>
      </c>
      <c r="Q41" s="36">
        <f t="shared" si="6"/>
        <v>0</v>
      </c>
      <c r="R41" s="37">
        <f t="shared" si="7"/>
        <v>0</v>
      </c>
      <c r="S41" s="37">
        <f t="shared" si="1"/>
        <v>0</v>
      </c>
      <c r="T41" s="37"/>
      <c r="U41" s="37">
        <f t="shared" si="2"/>
        <v>0</v>
      </c>
      <c r="V41" s="37">
        <f t="shared" si="3"/>
        <v>0</v>
      </c>
      <c r="W41" s="35">
        <f t="shared" si="9"/>
        <v>0</v>
      </c>
      <c r="X41" s="34">
        <f t="shared" si="5"/>
        <v>0</v>
      </c>
      <c r="Y41" s="19"/>
      <c r="Z41" s="24">
        <f t="shared" si="25"/>
        <v>-30</v>
      </c>
      <c r="AA41" s="25">
        <f t="shared" si="26"/>
        <v>3087</v>
      </c>
      <c r="AB41" s="30">
        <v>28390.725001392177</v>
      </c>
      <c r="AC41" s="58">
        <f t="shared" si="29"/>
        <v>-4.8200558076880222</v>
      </c>
      <c r="AE41" s="24">
        <f t="shared" si="27"/>
        <v>-30</v>
      </c>
      <c r="AF41" s="29">
        <f t="shared" si="28"/>
        <v>15381.099999999999</v>
      </c>
      <c r="AG41" s="30">
        <v>26627.284624256161</v>
      </c>
      <c r="AH41" s="58">
        <f t="shared" si="30"/>
        <v>-10.731992071170025</v>
      </c>
    </row>
    <row r="42" spans="1:49" x14ac:dyDescent="0.25">
      <c r="A42" s="38" t="s">
        <v>115</v>
      </c>
      <c r="B42" s="42">
        <f>IF(J24="No",J9*J10,0)</f>
        <v>4410</v>
      </c>
      <c r="C42" s="39" t="s">
        <v>3</v>
      </c>
      <c r="I42" s="22" t="s">
        <v>67</v>
      </c>
      <c r="J42" s="20">
        <f>F21*F12/$B$8</f>
        <v>547.1277</v>
      </c>
      <c r="K42" s="1" t="s">
        <v>46</v>
      </c>
      <c r="L42" s="9"/>
      <c r="N42" s="31">
        <f t="shared" si="8"/>
        <v>0</v>
      </c>
      <c r="O42" s="31"/>
      <c r="P42" s="35">
        <f t="shared" si="0"/>
        <v>0</v>
      </c>
      <c r="Q42" s="36">
        <f t="shared" si="6"/>
        <v>0</v>
      </c>
      <c r="R42" s="37">
        <f t="shared" si="7"/>
        <v>0</v>
      </c>
      <c r="S42" s="37">
        <f t="shared" si="1"/>
        <v>0</v>
      </c>
      <c r="T42" s="37"/>
      <c r="U42" s="37">
        <f t="shared" si="2"/>
        <v>0</v>
      </c>
      <c r="V42" s="37">
        <f t="shared" si="3"/>
        <v>0</v>
      </c>
      <c r="W42" s="35">
        <f t="shared" si="9"/>
        <v>0</v>
      </c>
      <c r="X42" s="34">
        <f t="shared" si="5"/>
        <v>0</v>
      </c>
      <c r="Y42" s="19"/>
      <c r="Z42" s="24">
        <f t="shared" si="25"/>
        <v>-20</v>
      </c>
      <c r="AA42" s="25">
        <f t="shared" si="26"/>
        <v>3528</v>
      </c>
      <c r="AB42" s="30">
        <v>28869.974700785915</v>
      </c>
      <c r="AC42" s="58">
        <f t="shared" si="29"/>
        <v>-3.2133705384586695</v>
      </c>
      <c r="AE42" s="24">
        <f t="shared" si="27"/>
        <v>-20</v>
      </c>
      <c r="AF42" s="29">
        <f t="shared" si="28"/>
        <v>17578.400000000001</v>
      </c>
      <c r="AG42" s="30">
        <v>27687.466582514608</v>
      </c>
      <c r="AH42" s="58">
        <f t="shared" si="30"/>
        <v>-7.1777306137473351</v>
      </c>
    </row>
    <row r="43" spans="1:49" x14ac:dyDescent="0.25">
      <c r="A43" s="21" t="s">
        <v>117</v>
      </c>
      <c r="B43" s="10">
        <f>(1+(B17/100))*B41</f>
        <v>11741.935483870966</v>
      </c>
      <c r="C43" s="1" t="s">
        <v>3</v>
      </c>
      <c r="L43" s="9"/>
      <c r="N43" s="31">
        <f t="shared" si="8"/>
        <v>0</v>
      </c>
      <c r="O43" s="31"/>
      <c r="P43" s="35">
        <f t="shared" si="0"/>
        <v>0</v>
      </c>
      <c r="Q43" s="36">
        <f t="shared" si="6"/>
        <v>0</v>
      </c>
      <c r="R43" s="37">
        <f t="shared" si="7"/>
        <v>0</v>
      </c>
      <c r="S43" s="37">
        <f t="shared" si="1"/>
        <v>0</v>
      </c>
      <c r="T43" s="37"/>
      <c r="U43" s="37">
        <f t="shared" si="2"/>
        <v>0</v>
      </c>
      <c r="V43" s="37">
        <f t="shared" si="3"/>
        <v>0</v>
      </c>
      <c r="W43" s="35">
        <f t="shared" si="9"/>
        <v>0</v>
      </c>
      <c r="X43" s="34">
        <f t="shared" si="5"/>
        <v>0</v>
      </c>
      <c r="Y43" s="19"/>
      <c r="Z43" s="24">
        <f>Z44-10</f>
        <v>-10</v>
      </c>
      <c r="AA43" s="25">
        <f t="shared" si="26"/>
        <v>3969</v>
      </c>
      <c r="AB43" s="30">
        <v>29349.22440017965</v>
      </c>
      <c r="AC43" s="58">
        <f t="shared" si="29"/>
        <v>-1.6066852692293285</v>
      </c>
      <c r="AE43" s="24">
        <f>AE44-10</f>
        <v>-10</v>
      </c>
      <c r="AF43" s="29">
        <f t="shared" si="28"/>
        <v>19775.7</v>
      </c>
      <c r="AG43" s="30">
        <v>28754.416934393343</v>
      </c>
      <c r="AH43" s="58">
        <f t="shared" si="30"/>
        <v>-3.6007781075043321</v>
      </c>
    </row>
    <row r="44" spans="1:49" x14ac:dyDescent="0.25">
      <c r="A44" s="21" t="s">
        <v>118</v>
      </c>
      <c r="B44" s="59">
        <f>(1+(B17/100))*B42</f>
        <v>4410</v>
      </c>
      <c r="C44" s="1" t="s">
        <v>3</v>
      </c>
      <c r="E44" s="97" t="s">
        <v>162</v>
      </c>
      <c r="F44" s="98"/>
      <c r="G44" s="98"/>
      <c r="L44" s="9"/>
      <c r="N44" s="31">
        <f t="shared" si="8"/>
        <v>0</v>
      </c>
      <c r="O44" s="31"/>
      <c r="P44" s="35">
        <f t="shared" si="0"/>
        <v>0</v>
      </c>
      <c r="Q44" s="36">
        <f t="shared" si="6"/>
        <v>0</v>
      </c>
      <c r="R44" s="37">
        <f t="shared" si="7"/>
        <v>0</v>
      </c>
      <c r="S44" s="37">
        <f t="shared" si="1"/>
        <v>0</v>
      </c>
      <c r="T44" s="37"/>
      <c r="U44" s="37">
        <f t="shared" si="2"/>
        <v>0</v>
      </c>
      <c r="V44" s="37">
        <f t="shared" si="3"/>
        <v>0</v>
      </c>
      <c r="W44" s="35">
        <f t="shared" si="9"/>
        <v>0</v>
      </c>
      <c r="X44" s="34">
        <f t="shared" si="5"/>
        <v>0</v>
      </c>
      <c r="Y44" s="19"/>
      <c r="Z44" s="60">
        <v>0</v>
      </c>
      <c r="AA44" s="65">
        <f>$AA$38*(1+(Z44/100))</f>
        <v>4410</v>
      </c>
      <c r="AB44" s="62">
        <v>29828.474099573381</v>
      </c>
      <c r="AC44" s="63">
        <f t="shared" si="29"/>
        <v>0</v>
      </c>
      <c r="AE44" s="60">
        <v>0</v>
      </c>
      <c r="AF44" s="61">
        <f t="shared" si="28"/>
        <v>21973</v>
      </c>
      <c r="AG44" s="62">
        <v>29828.474099573381</v>
      </c>
      <c r="AH44" s="63">
        <f>100*((AG44-$AG$44)/$AG$44)</f>
        <v>0</v>
      </c>
    </row>
    <row r="45" spans="1:49" x14ac:dyDescent="0.25">
      <c r="A45" s="1" t="s">
        <v>150</v>
      </c>
      <c r="B45" s="10">
        <f>B43+B44</f>
        <v>16151.935483870966</v>
      </c>
      <c r="C45" s="1" t="s">
        <v>3</v>
      </c>
      <c r="E45" s="104" t="s">
        <v>167</v>
      </c>
      <c r="F45" s="99">
        <f>((1+(B16/100))*J9*J10)*(1+(B13%+B14%+B15%))</f>
        <v>4939.2000000000007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0"/>
        <v>0</v>
      </c>
      <c r="Q45" s="36">
        <f t="shared" si="6"/>
        <v>0</v>
      </c>
      <c r="R45" s="37">
        <f t="shared" si="7"/>
        <v>0</v>
      </c>
      <c r="S45" s="37">
        <f t="shared" si="1"/>
        <v>0</v>
      </c>
      <c r="T45" s="37"/>
      <c r="U45" s="37">
        <f t="shared" si="2"/>
        <v>0</v>
      </c>
      <c r="V45" s="37">
        <f t="shared" si="3"/>
        <v>0</v>
      </c>
      <c r="W45" s="35">
        <f t="shared" si="9"/>
        <v>0</v>
      </c>
      <c r="X45" s="34">
        <f t="shared" si="5"/>
        <v>0</v>
      </c>
      <c r="Y45" s="19"/>
      <c r="Z45" s="24">
        <f>Z44+10</f>
        <v>10</v>
      </c>
      <c r="AA45" s="25">
        <f t="shared" si="26"/>
        <v>4851</v>
      </c>
      <c r="AB45" s="30">
        <v>30307.723798967116</v>
      </c>
      <c r="AC45" s="58">
        <f t="shared" si="29"/>
        <v>1.606685269229341</v>
      </c>
      <c r="AE45" s="24">
        <f>AE44+10</f>
        <v>10</v>
      </c>
      <c r="AF45" s="29">
        <f t="shared" si="28"/>
        <v>24170.300000000003</v>
      </c>
      <c r="AG45" s="30">
        <v>30909.99341871979</v>
      </c>
      <c r="AH45" s="58">
        <f t="shared" ref="AH45:AH49" si="31">100*((AG45-$AG$44)/$AG$44)</f>
        <v>3.625794988828738</v>
      </c>
    </row>
    <row r="46" spans="1:49" x14ac:dyDescent="0.25">
      <c r="A46" s="1" t="s">
        <v>151</v>
      </c>
      <c r="B46" s="78">
        <f>(1+B15/100)*B45</f>
        <v>16474.974193548387</v>
      </c>
      <c r="C46" s="1" t="s">
        <v>3</v>
      </c>
      <c r="E46" s="98" t="s">
        <v>168</v>
      </c>
      <c r="F46" s="99">
        <f>((J21%)*F45)+(((1-J21%)*F45)*(1+(F22%*J20)))</f>
        <v>6268.585680000001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0"/>
        <v>0</v>
      </c>
      <c r="Q46" s="36">
        <f t="shared" si="6"/>
        <v>0</v>
      </c>
      <c r="R46" s="37">
        <f t="shared" si="7"/>
        <v>0</v>
      </c>
      <c r="S46" s="37">
        <f t="shared" si="1"/>
        <v>0</v>
      </c>
      <c r="T46" s="37"/>
      <c r="U46" s="37">
        <f t="shared" si="2"/>
        <v>0</v>
      </c>
      <c r="V46" s="37">
        <f t="shared" si="3"/>
        <v>0</v>
      </c>
      <c r="W46" s="35">
        <f t="shared" si="9"/>
        <v>0</v>
      </c>
      <c r="X46" s="34">
        <f t="shared" si="5"/>
        <v>0</v>
      </c>
      <c r="Y46" s="19"/>
      <c r="Z46" s="24">
        <f t="shared" ref="Z46:Z49" si="32">Z45+10</f>
        <v>20</v>
      </c>
      <c r="AA46" s="25">
        <f t="shared" si="26"/>
        <v>5292</v>
      </c>
      <c r="AB46" s="30">
        <v>30786.973498360861</v>
      </c>
      <c r="AC46" s="58">
        <f t="shared" si="29"/>
        <v>3.2133705384587179</v>
      </c>
      <c r="AE46" s="24">
        <f t="shared" ref="AE46:AE49" si="33">AE45+10</f>
        <v>20</v>
      </c>
      <c r="AF46" s="29">
        <f t="shared" si="28"/>
        <v>26367.599999999999</v>
      </c>
      <c r="AG46" s="30">
        <v>31834.807504572495</v>
      </c>
      <c r="AH46" s="58">
        <f t="shared" si="31"/>
        <v>6.7262354698452684</v>
      </c>
    </row>
    <row r="47" spans="1:49" x14ac:dyDescent="0.25">
      <c r="A47" s="21" t="s">
        <v>116</v>
      </c>
      <c r="B47" s="18">
        <f>B46+SUM(B33:B36)</f>
        <v>18130.577114106894</v>
      </c>
      <c r="C47" s="1" t="s">
        <v>3</v>
      </c>
      <c r="E47" s="98" t="s">
        <v>98</v>
      </c>
      <c r="F47" s="99">
        <f>J12*J11</f>
        <v>160800</v>
      </c>
      <c r="G47" s="98" t="s">
        <v>42</v>
      </c>
      <c r="L47" s="9"/>
      <c r="N47" s="31">
        <f t="shared" si="8"/>
        <v>0</v>
      </c>
      <c r="O47" s="31"/>
      <c r="P47" s="35">
        <f t="shared" si="0"/>
        <v>0</v>
      </c>
      <c r="Q47" s="36">
        <f t="shared" si="6"/>
        <v>0</v>
      </c>
      <c r="R47" s="37">
        <f t="shared" si="7"/>
        <v>0</v>
      </c>
      <c r="S47" s="37">
        <f t="shared" si="1"/>
        <v>0</v>
      </c>
      <c r="T47" s="37"/>
      <c r="U47" s="37">
        <f t="shared" si="2"/>
        <v>0</v>
      </c>
      <c r="V47" s="37">
        <f t="shared" si="3"/>
        <v>0</v>
      </c>
      <c r="W47" s="35">
        <f t="shared" si="9"/>
        <v>0</v>
      </c>
      <c r="X47" s="34">
        <f t="shared" si="5"/>
        <v>0</v>
      </c>
      <c r="Y47" s="19"/>
      <c r="Z47" s="24">
        <f t="shared" si="32"/>
        <v>30</v>
      </c>
      <c r="AA47" s="25">
        <f t="shared" si="26"/>
        <v>5733</v>
      </c>
      <c r="AB47" s="30">
        <v>31266.223197754589</v>
      </c>
      <c r="AC47" s="58">
        <f t="shared" si="29"/>
        <v>4.8200558076880347</v>
      </c>
      <c r="AE47" s="24">
        <f t="shared" si="33"/>
        <v>30</v>
      </c>
      <c r="AF47" s="29">
        <f t="shared" si="28"/>
        <v>28564.9</v>
      </c>
      <c r="AG47" s="30">
        <v>35631.519533498336</v>
      </c>
      <c r="AH47" s="58">
        <f t="shared" si="31"/>
        <v>19.45471771218747</v>
      </c>
    </row>
    <row r="48" spans="1:49" x14ac:dyDescent="0.25">
      <c r="A48" s="21" t="s">
        <v>172</v>
      </c>
      <c r="B48" s="18">
        <f>SUM(B31:B32)</f>
        <v>0</v>
      </c>
      <c r="C48" s="1" t="s">
        <v>3</v>
      </c>
      <c r="E48" s="98" t="s">
        <v>163</v>
      </c>
      <c r="F48" s="100">
        <f>(F46/F47)*J25</f>
        <v>5.067886432835822E-2</v>
      </c>
      <c r="G48" s="98" t="s">
        <v>58</v>
      </c>
      <c r="L48" s="9"/>
      <c r="N48" s="31">
        <f t="shared" si="8"/>
        <v>0</v>
      </c>
      <c r="O48" s="31"/>
      <c r="P48" s="35">
        <f t="shared" si="0"/>
        <v>0</v>
      </c>
      <c r="Q48" s="36">
        <f t="shared" si="6"/>
        <v>0</v>
      </c>
      <c r="R48" s="37">
        <f t="shared" si="7"/>
        <v>0</v>
      </c>
      <c r="S48" s="37">
        <f t="shared" si="1"/>
        <v>0</v>
      </c>
      <c r="T48" s="37"/>
      <c r="U48" s="37">
        <f t="shared" si="2"/>
        <v>0</v>
      </c>
      <c r="V48" s="37">
        <f t="shared" si="3"/>
        <v>0</v>
      </c>
      <c r="W48" s="35">
        <f t="shared" si="9"/>
        <v>0</v>
      </c>
      <c r="X48" s="34">
        <f t="shared" si="5"/>
        <v>0</v>
      </c>
      <c r="Y48" s="19"/>
      <c r="Z48" s="24">
        <f t="shared" si="32"/>
        <v>40</v>
      </c>
      <c r="AA48" s="25">
        <f t="shared" si="26"/>
        <v>6174</v>
      </c>
      <c r="AB48" s="30">
        <v>31745.472897148324</v>
      </c>
      <c r="AC48" s="58">
        <f t="shared" si="29"/>
        <v>6.4267410769173754</v>
      </c>
      <c r="AE48" s="24">
        <f t="shared" si="33"/>
        <v>40</v>
      </c>
      <c r="AF48" s="29">
        <f t="shared" si="28"/>
        <v>30762.199999999997</v>
      </c>
      <c r="AG48" s="30">
        <v>36556.33361935107</v>
      </c>
      <c r="AH48" s="58">
        <f t="shared" si="31"/>
        <v>22.5551581932041</v>
      </c>
    </row>
    <row r="49" spans="1:34" x14ac:dyDescent="0.25">
      <c r="A49" s="21" t="s">
        <v>173</v>
      </c>
      <c r="B49" s="18">
        <f>B47-B48</f>
        <v>18130.577114106894</v>
      </c>
      <c r="C49" s="1" t="s">
        <v>3</v>
      </c>
      <c r="E49" s="98" t="s">
        <v>164</v>
      </c>
      <c r="F49" s="101">
        <f>J26*365</f>
        <v>54750</v>
      </c>
      <c r="G49" s="98" t="s">
        <v>37</v>
      </c>
      <c r="L49" s="9"/>
      <c r="N49" s="32" t="s">
        <v>74</v>
      </c>
      <c r="O49" s="34">
        <f>SUM(O8:O48)</f>
        <v>5439.1731342320682</v>
      </c>
      <c r="P49" s="34">
        <f t="shared" ref="P49:V49" si="34">SUM(P8:P48)</f>
        <v>15214.862359467274</v>
      </c>
      <c r="Q49" s="34">
        <f t="shared" si="34"/>
        <v>5023.3657867125776</v>
      </c>
      <c r="R49" s="34">
        <f t="shared" si="34"/>
        <v>0</v>
      </c>
      <c r="S49" s="34">
        <f t="shared" si="34"/>
        <v>5320.0743776653781</v>
      </c>
      <c r="T49" s="34"/>
      <c r="U49" s="34">
        <f t="shared" si="34"/>
        <v>3134.1046658738355</v>
      </c>
      <c r="V49" s="34">
        <f t="shared" si="34"/>
        <v>0</v>
      </c>
      <c r="W49" s="34">
        <f>SUM(W8:W48)</f>
        <v>-4303.1062243777487</v>
      </c>
      <c r="X49" s="34">
        <f>SUM(X8:X48)</f>
        <v>29828.474099573381</v>
      </c>
      <c r="Y49" s="19"/>
      <c r="Z49" s="24">
        <f t="shared" si="32"/>
        <v>50</v>
      </c>
      <c r="AA49" s="25">
        <f t="shared" si="26"/>
        <v>6615</v>
      </c>
      <c r="AB49" s="30">
        <v>32224.722596542055</v>
      </c>
      <c r="AC49" s="58">
        <f t="shared" si="29"/>
        <v>8.0334263461467046</v>
      </c>
      <c r="AE49" s="24">
        <f t="shared" si="33"/>
        <v>50</v>
      </c>
      <c r="AF49" s="29">
        <f t="shared" si="28"/>
        <v>32959.5</v>
      </c>
      <c r="AG49" s="30">
        <v>37931.419363341825</v>
      </c>
      <c r="AH49" s="58">
        <f t="shared" si="31"/>
        <v>27.165135020716114</v>
      </c>
    </row>
    <row r="50" spans="1:34" x14ac:dyDescent="0.25">
      <c r="E50" s="98" t="s">
        <v>165</v>
      </c>
      <c r="F50" s="102">
        <f>F48*F49</f>
        <v>2774.6678219776127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166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160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170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547.1277</v>
      </c>
      <c r="AB53" s="30">
        <f>X49</f>
        <v>29828.474099573381</v>
      </c>
      <c r="AC53" s="24"/>
      <c r="AE53" s="108" t="s">
        <v>109</v>
      </c>
      <c r="AF53" s="109">
        <v>150</v>
      </c>
      <c r="AG53" s="110">
        <f>X49</f>
        <v>29828.474099573381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5">Z55-10</f>
        <v>-50</v>
      </c>
      <c r="AA54" s="29">
        <f>$AA$53*(1+(Z54/100))</f>
        <v>273.56385</v>
      </c>
      <c r="AB54" s="30">
        <f t="dataTable" ref="AB54:AB64" dt2D="0" dtr="0" r1="J42" ca="1"/>
        <v>27716.086563666111</v>
      </c>
      <c r="AC54" s="58">
        <f t="shared" ref="AC54:AC64" si="36">100*((AB54-$AG$29)/$AG$29)</f>
        <v>-7.0817820879998754</v>
      </c>
      <c r="AE54" s="108">
        <f t="shared" ref="AE54:AE56" si="37">AE55-20</f>
        <v>-100</v>
      </c>
      <c r="AF54" s="109">
        <f>$AF$53*(1+(AE54/100))</f>
        <v>0</v>
      </c>
      <c r="AG54" s="110">
        <f t="dataTable" ref="AG54:AG64" dt2D="0" dtr="0" r1="J26" ca="1"/>
        <v>29828.474099573381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20654.035493699343</v>
      </c>
      <c r="Q55" s="1" t="s">
        <v>3</v>
      </c>
      <c r="R55" s="56">
        <f>P55/$J$34</f>
        <v>9.3997339888496526E-2</v>
      </c>
      <c r="S55" s="1" t="s">
        <v>58</v>
      </c>
      <c r="V55" s="70"/>
      <c r="X55" s="68"/>
      <c r="Y55" s="68"/>
      <c r="Z55" s="24">
        <f t="shared" si="35"/>
        <v>-40</v>
      </c>
      <c r="AA55" s="29">
        <f t="shared" ref="AA55:AA64" si="38">$AA$53*(1+(Z55/100))</f>
        <v>328.27661999999998</v>
      </c>
      <c r="AB55" s="30">
        <v>28138.564070847569</v>
      </c>
      <c r="AC55" s="58">
        <f t="shared" si="36"/>
        <v>-5.6654256703998858</v>
      </c>
      <c r="AE55" s="108">
        <f t="shared" si="37"/>
        <v>-80</v>
      </c>
      <c r="AF55" s="109">
        <f t="shared" ref="AF55:AF64" si="39">$AF$53*(1+(AE55/100))</f>
        <v>29.999999999999993</v>
      </c>
      <c r="AG55" s="110">
        <v>29828.474099573381</v>
      </c>
      <c r="AH55" s="58">
        <f t="shared" ref="AH55:AH64" si="40">100*((AG55-$AG$59)/$AG$59)</f>
        <v>0</v>
      </c>
    </row>
    <row r="56" spans="1:34" x14ac:dyDescent="0.25">
      <c r="O56" s="1" t="s">
        <v>97</v>
      </c>
      <c r="P56" s="52">
        <f>SUM(Q49:R49)</f>
        <v>5023.3657867125776</v>
      </c>
      <c r="Q56" s="1" t="s">
        <v>3</v>
      </c>
      <c r="R56" s="56">
        <f>P56/$J$34</f>
        <v>2.2861538191018875E-2</v>
      </c>
      <c r="S56" s="1" t="s">
        <v>58</v>
      </c>
      <c r="U56" s="51"/>
      <c r="V56" s="70"/>
      <c r="X56" s="68"/>
      <c r="Y56" s="68"/>
      <c r="Z56" s="24">
        <f t="shared" si="35"/>
        <v>-30</v>
      </c>
      <c r="AA56" s="29">
        <f t="shared" si="38"/>
        <v>382.98938999999996</v>
      </c>
      <c r="AB56" s="30">
        <v>28561.04157802902</v>
      </c>
      <c r="AC56" s="58">
        <f t="shared" si="36"/>
        <v>-4.2490692527999201</v>
      </c>
      <c r="AE56" s="108">
        <f t="shared" si="37"/>
        <v>-60</v>
      </c>
      <c r="AF56" s="109">
        <f t="shared" si="39"/>
        <v>60</v>
      </c>
      <c r="AG56" s="110">
        <v>29828.474099573381</v>
      </c>
      <c r="AH56" s="58">
        <f t="shared" si="40"/>
        <v>0</v>
      </c>
    </row>
    <row r="57" spans="1:34" x14ac:dyDescent="0.25">
      <c r="O57" s="1" t="s">
        <v>114</v>
      </c>
      <c r="P57" s="52">
        <f>SUM(S49:T49)</f>
        <v>5320.0743776653781</v>
      </c>
      <c r="Q57" s="1" t="s">
        <v>3</v>
      </c>
      <c r="R57" s="56">
        <f>P57/$J$34</f>
        <v>2.4211870830862323E-2</v>
      </c>
      <c r="S57" s="1" t="s">
        <v>58</v>
      </c>
      <c r="U57" s="51"/>
      <c r="V57" s="70"/>
      <c r="X57" s="68"/>
      <c r="Y57" s="68"/>
      <c r="Z57" s="24">
        <f t="shared" si="35"/>
        <v>-20</v>
      </c>
      <c r="AA57" s="29">
        <f t="shared" si="38"/>
        <v>437.70216000000005</v>
      </c>
      <c r="AB57" s="30">
        <v>28983.519085210482</v>
      </c>
      <c r="AC57" s="58">
        <f t="shared" si="36"/>
        <v>-2.8327128351999189</v>
      </c>
      <c r="AE57" s="108">
        <f>AE58-20</f>
        <v>-40</v>
      </c>
      <c r="AF57" s="109">
        <f t="shared" si="39"/>
        <v>90</v>
      </c>
      <c r="AG57" s="110">
        <v>29828.474099573381</v>
      </c>
      <c r="AH57" s="58">
        <f t="shared" si="40"/>
        <v>0</v>
      </c>
    </row>
    <row r="58" spans="1:34" x14ac:dyDescent="0.25">
      <c r="O58" s="1" t="s">
        <v>105</v>
      </c>
      <c r="P58" s="52">
        <f>SUM(U49:V49)</f>
        <v>3134.1046658738355</v>
      </c>
      <c r="Q58" s="1" t="s">
        <v>3</v>
      </c>
      <c r="R58" s="56">
        <f>P58/$J$34</f>
        <v>1.42634354247205E-2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8"/>
        <v>492.41493000000003</v>
      </c>
      <c r="AB58" s="30">
        <v>29405.99659239193</v>
      </c>
      <c r="AC58" s="58">
        <f t="shared" si="36"/>
        <v>-1.4163564175999654</v>
      </c>
      <c r="AE58" s="108">
        <f>AE59-20</f>
        <v>-20</v>
      </c>
      <c r="AF58" s="109">
        <f t="shared" si="39"/>
        <v>120</v>
      </c>
      <c r="AG58" s="110">
        <v>29828.474099573381</v>
      </c>
      <c r="AH58" s="58">
        <f t="shared" si="40"/>
        <v>0</v>
      </c>
    </row>
    <row r="59" spans="1:34" x14ac:dyDescent="0.25">
      <c r="O59" s="1" t="s">
        <v>106</v>
      </c>
      <c r="P59" s="52">
        <f>W49</f>
        <v>-4303.1062243777487</v>
      </c>
      <c r="Q59" s="1" t="s">
        <v>3</v>
      </c>
      <c r="R59" s="56">
        <f>P59/$J$34</f>
        <v>-1.9583608175386832E-2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8"/>
        <v>547.1277</v>
      </c>
      <c r="AB59" s="62">
        <v>29828.474099573381</v>
      </c>
      <c r="AC59" s="63">
        <f t="shared" si="36"/>
        <v>0</v>
      </c>
      <c r="AE59" s="111">
        <v>0</v>
      </c>
      <c r="AF59" s="112">
        <f t="shared" si="39"/>
        <v>150</v>
      </c>
      <c r="AG59" s="113">
        <v>29828.474099573381</v>
      </c>
      <c r="AH59" s="63">
        <f t="shared" si="40"/>
        <v>0</v>
      </c>
    </row>
    <row r="60" spans="1:34" x14ac:dyDescent="0.25">
      <c r="O60" s="12" t="s">
        <v>75</v>
      </c>
      <c r="P60" s="55">
        <f>SUM(P55:P59)</f>
        <v>29828.474099573381</v>
      </c>
      <c r="Q60" s="12" t="s">
        <v>3</v>
      </c>
      <c r="R60" s="57">
        <f>SUM(R55:R59)</f>
        <v>0.13575057615971137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8"/>
        <v>601.8404700000001</v>
      </c>
      <c r="AB60" s="30">
        <v>30250.951606754843</v>
      </c>
      <c r="AC60" s="58">
        <f t="shared" si="36"/>
        <v>1.4163564176000021</v>
      </c>
      <c r="AE60" s="108">
        <f>AE59+20</f>
        <v>20</v>
      </c>
      <c r="AF60" s="109">
        <f t="shared" si="39"/>
        <v>180</v>
      </c>
      <c r="AG60" s="110">
        <v>29828.474099573381</v>
      </c>
      <c r="AH60" s="58">
        <f t="shared" si="40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1">Z60+10</f>
        <v>20</v>
      </c>
      <c r="AA61" s="29">
        <f t="shared" si="38"/>
        <v>656.55323999999996</v>
      </c>
      <c r="AB61" s="30">
        <v>30673.429113936298</v>
      </c>
      <c r="AC61" s="58">
        <f t="shared" si="36"/>
        <v>2.8327128351999797</v>
      </c>
      <c r="AE61" s="108">
        <f t="shared" ref="AE61:AE64" si="42">AE60+20</f>
        <v>40</v>
      </c>
      <c r="AF61" s="109">
        <f t="shared" si="39"/>
        <v>210</v>
      </c>
      <c r="AG61" s="110">
        <v>29828.474099573381</v>
      </c>
      <c r="AH61" s="58">
        <f t="shared" si="40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1"/>
        <v>30</v>
      </c>
      <c r="AA62" s="29">
        <f t="shared" si="38"/>
        <v>711.26601000000005</v>
      </c>
      <c r="AB62" s="30">
        <v>31095.906621117749</v>
      </c>
      <c r="AC62" s="58">
        <f t="shared" si="36"/>
        <v>4.249069252799945</v>
      </c>
      <c r="AE62" s="108">
        <f t="shared" si="42"/>
        <v>60</v>
      </c>
      <c r="AF62" s="109">
        <f t="shared" si="39"/>
        <v>240</v>
      </c>
      <c r="AG62" s="110">
        <v>29828.474099573381</v>
      </c>
      <c r="AH62" s="58">
        <f t="shared" si="40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1"/>
        <v>40</v>
      </c>
      <c r="AA63" s="29">
        <f t="shared" si="38"/>
        <v>765.97877999999992</v>
      </c>
      <c r="AB63" s="30">
        <v>31518.384128299203</v>
      </c>
      <c r="AC63" s="58">
        <f t="shared" si="36"/>
        <v>5.6654256703999231</v>
      </c>
      <c r="AE63" s="108">
        <f t="shared" si="42"/>
        <v>80</v>
      </c>
      <c r="AF63" s="109">
        <f t="shared" si="39"/>
        <v>270</v>
      </c>
      <c r="AG63" s="110">
        <v>29828.474099573381</v>
      </c>
      <c r="AH63" s="58">
        <f t="shared" si="40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1"/>
        <v>50</v>
      </c>
      <c r="AA64" s="29">
        <f t="shared" si="38"/>
        <v>820.69155000000001</v>
      </c>
      <c r="AB64" s="30">
        <v>31940.861635480665</v>
      </c>
      <c r="AC64" s="58">
        <f t="shared" si="36"/>
        <v>7.0817820879999243</v>
      </c>
      <c r="AE64" s="108">
        <f t="shared" si="42"/>
        <v>100</v>
      </c>
      <c r="AF64" s="109">
        <f t="shared" si="39"/>
        <v>300</v>
      </c>
      <c r="AG64" s="110">
        <v>29828.474099573381</v>
      </c>
      <c r="AH64" s="58">
        <f t="shared" si="40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193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193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0.14199999999999999</v>
      </c>
      <c r="AB68" s="110">
        <f>X49</f>
        <v>29828.474099573381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3">Z70-10</f>
        <v>-50</v>
      </c>
      <c r="AA69" s="130">
        <f>$AA$68*(1+(-Z69/100))</f>
        <v>0.21299999999999997</v>
      </c>
      <c r="AB69" s="110">
        <f t="dataTable" ref="AB69:AB79" dt2D="0" dtr="0" r1="J17" ca="1"/>
        <v>32340.156992929671</v>
      </c>
      <c r="AC69" s="131">
        <f>100*((AB69-$AB$74)/$AB$74)</f>
        <v>8.4204203170829093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3"/>
        <v>-40</v>
      </c>
      <c r="AA70" s="130">
        <f t="shared" ref="AA70:AA79" si="44">$AA$68*(1+(-Z70/100))</f>
        <v>0.19879999999999998</v>
      </c>
      <c r="AB70" s="110">
        <v>31837.820414258422</v>
      </c>
      <c r="AC70" s="131">
        <f t="shared" ref="AC70:AC79" si="45">100*((AB70-$AB$74)/$AB$74)</f>
        <v>6.736336253666356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3"/>
        <v>-30</v>
      </c>
      <c r="AA71" s="130">
        <f t="shared" si="44"/>
        <v>0.18459999999999999</v>
      </c>
      <c r="AB71" s="110">
        <v>31335.483835587169</v>
      </c>
      <c r="AC71" s="131">
        <f t="shared" si="45"/>
        <v>5.0522521902497921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3"/>
        <v>-20</v>
      </c>
      <c r="AA72" s="130">
        <f t="shared" si="44"/>
        <v>0.17039999999999997</v>
      </c>
      <c r="AB72" s="110">
        <v>30833.147256915909</v>
      </c>
      <c r="AC72" s="131">
        <f t="shared" si="45"/>
        <v>3.368168126833202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3"/>
        <v>-10</v>
      </c>
      <c r="AA73" s="130">
        <f t="shared" si="44"/>
        <v>0.15620000000000001</v>
      </c>
      <c r="AB73" s="110">
        <v>30330.810678244648</v>
      </c>
      <c r="AC73" s="131">
        <f t="shared" si="45"/>
        <v>1.6840840634166137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4"/>
        <v>0.14199999999999999</v>
      </c>
      <c r="AB74" s="113">
        <v>29828.474099573381</v>
      </c>
      <c r="AC74" s="133">
        <f t="shared" si="45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6">Z74+10</f>
        <v>10</v>
      </c>
      <c r="AA75" s="130">
        <f t="shared" si="44"/>
        <v>0.1278</v>
      </c>
      <c r="AB75" s="110">
        <v>29326.137520902128</v>
      </c>
      <c r="AC75" s="131">
        <f t="shared" si="45"/>
        <v>-1.6840840634165646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6"/>
        <v>20</v>
      </c>
      <c r="AA76" s="130">
        <f t="shared" si="44"/>
        <v>0.11359999999999999</v>
      </c>
      <c r="AB76" s="110">
        <v>28823.800942230871</v>
      </c>
      <c r="AC76" s="131">
        <f t="shared" si="45"/>
        <v>-3.3681681268331416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6"/>
        <v>30</v>
      </c>
      <c r="AA77" s="130">
        <f t="shared" si="44"/>
        <v>9.9399999999999988E-2</v>
      </c>
      <c r="AB77" s="110">
        <v>28321.464363559611</v>
      </c>
      <c r="AC77" s="131">
        <f t="shared" si="45"/>
        <v>-5.0522521902497308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6"/>
        <v>40</v>
      </c>
      <c r="AA78" s="130">
        <f t="shared" si="44"/>
        <v>8.5199999999999984E-2</v>
      </c>
      <c r="AB78" s="110">
        <v>27819.127784888355</v>
      </c>
      <c r="AC78" s="131">
        <f t="shared" si="45"/>
        <v>-6.7363362536663072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6"/>
        <v>50</v>
      </c>
      <c r="AA79" s="130">
        <f t="shared" si="44"/>
        <v>7.0999999999999994E-2</v>
      </c>
      <c r="AB79" s="110">
        <v>27316.791206217098</v>
      </c>
      <c r="AC79" s="131">
        <f t="shared" si="45"/>
        <v>-8.4204203170828844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85BE60-2941-442D-9CA7-80A09E1711C9}">
          <x14:formula1>
            <xm:f>Description!$A$18:$A$19</xm:f>
          </x14:formula1>
          <xm:sqref>J24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CB8B-B93A-4CE4-BB4D-E1B07722D041}">
  <sheetPr>
    <tabColor theme="4"/>
  </sheetPr>
  <dimension ref="A1:AL95"/>
  <sheetViews>
    <sheetView topLeftCell="A7" zoomScale="87" zoomScaleNormal="70" workbookViewId="0">
      <selection activeCell="E15" sqref="E15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4.28515625" style="1" customWidth="1"/>
    <col min="7" max="7" width="8.85546875" style="1" customWidth="1"/>
    <col min="8" max="8" width="19.28515625" style="1" customWidth="1"/>
    <col min="9" max="9" width="49.14062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4.4257812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24891.824809856971</v>
      </c>
      <c r="C2" s="12" t="s">
        <v>3</v>
      </c>
    </row>
    <row r="3" spans="1:27" x14ac:dyDescent="0.25">
      <c r="B3" s="44">
        <f>B2/F41</f>
        <v>0.11328368820760466</v>
      </c>
      <c r="C3" s="12" t="s">
        <v>58</v>
      </c>
    </row>
    <row r="4" spans="1:27" x14ac:dyDescent="0.25">
      <c r="A4" s="12" t="s">
        <v>60</v>
      </c>
      <c r="J4" s="77">
        <v>4645.1612903225805</v>
      </c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J5" s="77">
        <f>J4*B8</f>
        <v>114617496.77419354</v>
      </c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146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194</v>
      </c>
      <c r="J8" s="8">
        <v>114617496.77419354</v>
      </c>
      <c r="K8" s="1" t="s">
        <v>134</v>
      </c>
      <c r="L8" s="9"/>
      <c r="N8" s="31">
        <v>0</v>
      </c>
      <c r="O8" s="33">
        <f>F31</f>
        <v>1663.5413277804548</v>
      </c>
      <c r="P8" s="31"/>
      <c r="Q8" s="31"/>
      <c r="R8" s="31"/>
      <c r="S8" s="92">
        <v>0</v>
      </c>
      <c r="T8" s="31"/>
      <c r="U8" s="34">
        <f>SUM(O8:T8)</f>
        <v>1663.5413277804548</v>
      </c>
      <c r="V8" s="19"/>
      <c r="W8" s="39" t="s">
        <v>179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7.2499999999999995E-2</v>
      </c>
      <c r="K9" s="1" t="s">
        <v>57</v>
      </c>
      <c r="L9" s="9"/>
      <c r="N9" s="31">
        <v>1</v>
      </c>
      <c r="O9" s="31"/>
      <c r="P9" s="35">
        <f t="shared" ref="P9:P48" si="0">IF(N9&gt;0,IF(N9&lt;=$J$15,(($F$32+$F$33)/$J$15)/((1+($F$11/100))^N9),0),0)</f>
        <v>1023.6324303609065</v>
      </c>
      <c r="Q9" s="36">
        <f t="shared" ref="Q9:Q48" si="1">IF(N9&gt;0,($F$38*((1+($F$14/100))^(N9-1)))/((1+($F$11/100))^N9),0)</f>
        <v>1313.3763465263874</v>
      </c>
      <c r="R9" s="37">
        <f t="shared" ref="R9:R48" si="2">IF(N9&gt;0,$J$31/((1+($F$11/100))^N9),0)</f>
        <v>796.37435339444892</v>
      </c>
      <c r="S9" s="37">
        <v>0</v>
      </c>
      <c r="T9" s="35">
        <f t="shared" ref="T9:T48" si="3">IF(N9=$B$5,((((1-$J$11/100)^N9)*$B$40)/((1+($F$11/100))^N9))*-1,0)</f>
        <v>0</v>
      </c>
      <c r="U9" s="34">
        <f t="shared" ref="U9:U48" si="4">SUM(O9:T9)</f>
        <v>3133.3831302817425</v>
      </c>
      <c r="V9" s="19"/>
      <c r="W9" s="39" t="s">
        <v>173</v>
      </c>
      <c r="X9" s="73">
        <f>B44</f>
        <v>5545.1377592681829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0"/>
        <v>974.88802891514911</v>
      </c>
      <c r="Q10" s="36">
        <f t="shared" si="1"/>
        <v>1263.3429618968105</v>
      </c>
      <c r="R10" s="37">
        <f t="shared" si="2"/>
        <v>758.45176513757042</v>
      </c>
      <c r="S10" s="37">
        <v>0</v>
      </c>
      <c r="T10" s="35">
        <f t="shared" si="3"/>
        <v>0</v>
      </c>
      <c r="U10" s="34">
        <f t="shared" si="4"/>
        <v>2996.68275594953</v>
      </c>
      <c r="V10" s="19"/>
      <c r="W10" s="39" t="s">
        <v>110</v>
      </c>
      <c r="X10" s="74">
        <f>F12</f>
        <v>21973</v>
      </c>
      <c r="Y10" s="39" t="s">
        <v>37</v>
      </c>
      <c r="AA10" s="2"/>
    </row>
    <row r="11" spans="1:27" x14ac:dyDescent="0.25">
      <c r="A11" s="21" t="s">
        <v>171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0"/>
        <v>928.46478944299906</v>
      </c>
      <c r="Q11" s="36">
        <f t="shared" si="1"/>
        <v>1215.2156109674083</v>
      </c>
      <c r="R11" s="37">
        <f t="shared" si="2"/>
        <v>722.33501441673366</v>
      </c>
      <c r="S11" s="37">
        <v>0</v>
      </c>
      <c r="T11" s="35">
        <f t="shared" si="3"/>
        <v>0</v>
      </c>
      <c r="U11" s="34">
        <f t="shared" si="4"/>
        <v>2866.0154148271413</v>
      </c>
      <c r="V11" s="19"/>
      <c r="W11" s="79" t="s">
        <v>67</v>
      </c>
      <c r="X11" s="43">
        <f>J33</f>
        <v>694.34680000000003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21973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0"/>
        <v>884.25218042190397</v>
      </c>
      <c r="Q12" s="36">
        <f t="shared" si="1"/>
        <v>1168.9216829305547</v>
      </c>
      <c r="R12" s="37">
        <f t="shared" si="2"/>
        <v>687.93810896831781</v>
      </c>
      <c r="S12" s="37">
        <v>0</v>
      </c>
      <c r="T12" s="35">
        <f t="shared" si="3"/>
        <v>0</v>
      </c>
      <c r="U12" s="34">
        <f t="shared" si="4"/>
        <v>2741.1119723207767</v>
      </c>
      <c r="V12" s="19"/>
      <c r="W12" s="98" t="s">
        <v>193</v>
      </c>
      <c r="X12" s="105">
        <f>J9</f>
        <v>7.2499999999999995E-2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142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0"/>
        <v>842.14493373514654</v>
      </c>
      <c r="Q13" s="36">
        <f t="shared" si="1"/>
        <v>1124.3913331046288</v>
      </c>
      <c r="R13" s="37">
        <f t="shared" si="2"/>
        <v>655.17915139839783</v>
      </c>
      <c r="S13" s="37">
        <f>IF(N13&gt;0,($F$15/$B$8)/((1+($F$11/100))^N13),0)</f>
        <v>1340.0340522224867</v>
      </c>
      <c r="T13" s="35">
        <f t="shared" si="3"/>
        <v>0</v>
      </c>
      <c r="U13" s="34">
        <f t="shared" si="4"/>
        <v>3961.7494704606597</v>
      </c>
      <c r="V13" s="19"/>
      <c r="AA13" s="2"/>
    </row>
    <row r="14" spans="1:27" x14ac:dyDescent="0.25">
      <c r="A14" s="21" t="s">
        <v>144</v>
      </c>
      <c r="B14" s="1">
        <v>0</v>
      </c>
      <c r="C14" s="1" t="s">
        <v>128</v>
      </c>
      <c r="E14" s="22" t="s">
        <v>143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0"/>
        <v>0</v>
      </c>
      <c r="Q14" s="36">
        <f t="shared" si="1"/>
        <v>1081.5573775577857</v>
      </c>
      <c r="R14" s="37">
        <f t="shared" si="2"/>
        <v>623.98014418895036</v>
      </c>
      <c r="S14" s="37">
        <v>0</v>
      </c>
      <c r="T14" s="35">
        <f t="shared" si="3"/>
        <v>0</v>
      </c>
      <c r="U14" s="34">
        <f t="shared" si="4"/>
        <v>1705.537521746736</v>
      </c>
      <c r="V14" s="19"/>
      <c r="AA14" s="2"/>
    </row>
    <row r="15" spans="1:27" x14ac:dyDescent="0.25">
      <c r="A15" s="1" t="s">
        <v>148</v>
      </c>
      <c r="B15" s="1">
        <v>20</v>
      </c>
      <c r="C15" s="1" t="s">
        <v>4</v>
      </c>
      <c r="E15" s="38" t="s">
        <v>201</v>
      </c>
      <c r="F15" s="89">
        <v>42200000</v>
      </c>
      <c r="G15" s="39" t="s">
        <v>141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0"/>
        <v>0</v>
      </c>
      <c r="Q15" s="36">
        <f t="shared" si="1"/>
        <v>1040.3551917460607</v>
      </c>
      <c r="R15" s="37">
        <f t="shared" si="2"/>
        <v>594.26680398947644</v>
      </c>
      <c r="S15" s="37">
        <v>0</v>
      </c>
      <c r="T15" s="35">
        <f t="shared" si="3"/>
        <v>0</v>
      </c>
      <c r="U15" s="34">
        <f t="shared" si="4"/>
        <v>1634.621995735537</v>
      </c>
      <c r="V15" s="19"/>
      <c r="AA15" s="2"/>
    </row>
    <row r="16" spans="1:27" ht="30" x14ac:dyDescent="0.25">
      <c r="A16" s="21" t="s">
        <v>145</v>
      </c>
      <c r="B16" s="1">
        <v>0</v>
      </c>
      <c r="C16" s="1" t="s">
        <v>128</v>
      </c>
      <c r="E16" s="139" t="s">
        <v>199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0"/>
        <v>0</v>
      </c>
      <c r="Q16" s="36">
        <f t="shared" si="1"/>
        <v>1000.7226130128772</v>
      </c>
      <c r="R16" s="37">
        <f t="shared" si="2"/>
        <v>565.96838475188247</v>
      </c>
      <c r="S16" s="37">
        <v>0</v>
      </c>
      <c r="T16" s="35">
        <f t="shared" si="3"/>
        <v>0</v>
      </c>
      <c r="U16" s="34">
        <f t="shared" si="4"/>
        <v>1566.6909977647597</v>
      </c>
      <c r="V16" s="19"/>
      <c r="AA16" s="2"/>
    </row>
    <row r="17" spans="1:38" x14ac:dyDescent="0.25">
      <c r="A17" s="1" t="s">
        <v>149</v>
      </c>
      <c r="B17" s="1">
        <v>0</v>
      </c>
      <c r="C17" s="1" t="s">
        <v>4</v>
      </c>
      <c r="E17" s="22" t="s">
        <v>200</v>
      </c>
      <c r="F17" s="2">
        <v>180000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0"/>
        <v>0</v>
      </c>
      <c r="Q17" s="36">
        <f t="shared" si="1"/>
        <v>962.59984680286311</v>
      </c>
      <c r="R17" s="37">
        <f t="shared" si="2"/>
        <v>539.0175092875071</v>
      </c>
      <c r="S17" s="37">
        <v>0</v>
      </c>
      <c r="T17" s="35">
        <f t="shared" si="3"/>
        <v>0</v>
      </c>
      <c r="U17" s="34">
        <f t="shared" si="4"/>
        <v>1501.6173560903703</v>
      </c>
      <c r="V17" s="19"/>
      <c r="AA17" s="2"/>
    </row>
    <row r="18" spans="1:38" x14ac:dyDescent="0.25">
      <c r="A18" s="21" t="s">
        <v>14</v>
      </c>
      <c r="B18" s="1">
        <v>6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0"/>
        <v>0</v>
      </c>
      <c r="Q18" s="36">
        <f t="shared" si="1"/>
        <v>925.92937644846836</v>
      </c>
      <c r="R18" s="37">
        <f t="shared" si="2"/>
        <v>513.35000884524482</v>
      </c>
      <c r="S18" s="37">
        <f>IF(N18&gt;0,($F$15/$B$8)/((1+($F$11/100))^N18),0)</f>
        <v>1049.95174387508</v>
      </c>
      <c r="T18" s="35">
        <f t="shared" si="3"/>
        <v>-1368.358262269528</v>
      </c>
      <c r="U18" s="34">
        <f t="shared" si="4"/>
        <v>1120.8728668992649</v>
      </c>
      <c r="V18" s="19"/>
      <c r="AA18" s="2"/>
    </row>
    <row r="19" spans="1:38" x14ac:dyDescent="0.25">
      <c r="A19" s="91" t="s">
        <v>182</v>
      </c>
      <c r="B19" s="77">
        <v>200000</v>
      </c>
      <c r="C19" s="1" t="s">
        <v>134</v>
      </c>
      <c r="E19" s="22" t="s">
        <v>181</v>
      </c>
      <c r="F19" s="77">
        <v>1660000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0"/>
        <v>0</v>
      </c>
      <c r="Q19" s="36">
        <f t="shared" si="1"/>
        <v>0</v>
      </c>
      <c r="R19" s="37">
        <f t="shared" si="2"/>
        <v>0</v>
      </c>
      <c r="S19" s="37">
        <v>0</v>
      </c>
      <c r="T19" s="35">
        <f t="shared" si="3"/>
        <v>0</v>
      </c>
      <c r="U19" s="34">
        <f t="shared" si="4"/>
        <v>0</v>
      </c>
      <c r="V19" s="19"/>
      <c r="AA19" s="2"/>
    </row>
    <row r="20" spans="1:38" x14ac:dyDescent="0.25">
      <c r="E20" s="22" t="s">
        <v>67</v>
      </c>
      <c r="F20" s="43">
        <v>779.71735999999999</v>
      </c>
      <c r="G20" s="1" t="s">
        <v>152</v>
      </c>
      <c r="H20" s="9"/>
      <c r="L20" s="9"/>
      <c r="N20" s="31">
        <f>IF((N19+1)&gt;$B$5,,IF(N19=0,,N19+1))</f>
        <v>0</v>
      </c>
      <c r="O20" s="31"/>
      <c r="P20" s="35">
        <f t="shared" si="0"/>
        <v>0</v>
      </c>
      <c r="Q20" s="36">
        <f t="shared" si="1"/>
        <v>0</v>
      </c>
      <c r="R20" s="37">
        <f t="shared" si="2"/>
        <v>0</v>
      </c>
      <c r="S20" s="37">
        <v>0</v>
      </c>
      <c r="T20" s="35">
        <f t="shared" si="3"/>
        <v>0</v>
      </c>
      <c r="U20" s="34">
        <f t="shared" si="4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0"/>
        <v>0</v>
      </c>
      <c r="Q21" s="36">
        <f t="shared" si="1"/>
        <v>0</v>
      </c>
      <c r="R21" s="37">
        <f t="shared" si="2"/>
        <v>0</v>
      </c>
      <c r="S21" s="37">
        <v>0</v>
      </c>
      <c r="T21" s="35">
        <f t="shared" si="3"/>
        <v>0</v>
      </c>
      <c r="U21" s="34">
        <f t="shared" si="4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185</v>
      </c>
      <c r="AH21" s="125" t="s">
        <v>186</v>
      </c>
      <c r="AI21" s="125" t="s">
        <v>142</v>
      </c>
      <c r="AJ21" s="125" t="s">
        <v>189</v>
      </c>
      <c r="AK21" s="125" t="s">
        <v>188</v>
      </c>
      <c r="AL21" s="27" t="s">
        <v>193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0"/>
        <v>0</v>
      </c>
      <c r="Q22" s="36">
        <f t="shared" si="1"/>
        <v>0</v>
      </c>
      <c r="R22" s="37">
        <f t="shared" si="2"/>
        <v>0</v>
      </c>
      <c r="S22" s="37">
        <v>0</v>
      </c>
      <c r="T22" s="35">
        <f t="shared" si="3"/>
        <v>0</v>
      </c>
      <c r="U22" s="34">
        <f t="shared" si="4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-12.688751706454045</v>
      </c>
      <c r="AI22" s="127">
        <f>Z24</f>
        <v>-22.289270525075644</v>
      </c>
      <c r="AJ22" s="128">
        <f t="shared" ref="AJ22:AJ32" si="6">Z39</f>
        <v>-10.76972455712561</v>
      </c>
      <c r="AK22" s="128">
        <f t="shared" ref="AK22:AK32" si="7">AE39</f>
        <v>-33.058995082201278</v>
      </c>
      <c r="AL22" s="71">
        <f>Z54</f>
        <v>22.289270525075676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0"/>
        <v>0</v>
      </c>
      <c r="Q23" s="36">
        <f t="shared" si="1"/>
        <v>0</v>
      </c>
      <c r="R23" s="37">
        <f t="shared" si="2"/>
        <v>0</v>
      </c>
      <c r="S23" s="37">
        <f>IF(N23&gt;0,($F$15/$B$8)/((1+($F$11/100))^N23),0)</f>
        <v>0</v>
      </c>
      <c r="T23" s="35">
        <f t="shared" si="3"/>
        <v>0</v>
      </c>
      <c r="U23" s="34">
        <f t="shared" si="4"/>
        <v>0</v>
      </c>
      <c r="V23" s="19"/>
      <c r="W23" s="24" t="s">
        <v>79</v>
      </c>
      <c r="X23" s="28">
        <v>0.8656675285516281</v>
      </c>
      <c r="Y23" s="26">
        <f>U49</f>
        <v>24891.824809856971</v>
      </c>
      <c r="Z23" s="24"/>
      <c r="AB23" s="24" t="s">
        <v>79</v>
      </c>
      <c r="AC23" s="29">
        <v>5545.1377592681829</v>
      </c>
      <c r="AD23" s="30">
        <f>U49</f>
        <v>24891.824809856971</v>
      </c>
      <c r="AE23" s="24"/>
      <c r="AG23" s="126">
        <v>-40</v>
      </c>
      <c r="AH23" s="127">
        <f>AE25</f>
        <v>-10.151001365163225</v>
      </c>
      <c r="AI23" s="127">
        <f t="shared" ref="AI23:AI32" si="8">Z25</f>
        <v>-17.831416420060524</v>
      </c>
      <c r="AJ23" s="128">
        <f t="shared" si="6"/>
        <v>-8.6157796457004867</v>
      </c>
      <c r="AK23" s="128">
        <f t="shared" si="7"/>
        <v>-26.447196065761013</v>
      </c>
      <c r="AL23" s="71">
        <f t="shared" ref="AL23:AL32" si="9">Z55</f>
        <v>17.831416420060552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0"/>
        <v>0</v>
      </c>
      <c r="Q24" s="36">
        <f t="shared" si="1"/>
        <v>0</v>
      </c>
      <c r="R24" s="37">
        <f t="shared" si="2"/>
        <v>0</v>
      </c>
      <c r="S24" s="37">
        <v>0</v>
      </c>
      <c r="T24" s="35">
        <f t="shared" si="3"/>
        <v>0</v>
      </c>
      <c r="U24" s="34">
        <f t="shared" si="4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19343.618639360055</v>
      </c>
      <c r="Z24" s="58">
        <f>100*((Y24-$Y$29)/$Y$29)</f>
        <v>-22.289270525075644</v>
      </c>
      <c r="AB24" s="24">
        <f t="shared" ref="AB24:AB27" si="12">AB25-10</f>
        <v>-50</v>
      </c>
      <c r="AC24" s="25">
        <f>$AC$23*(1+(AB24/100))</f>
        <v>2772.5688796340914</v>
      </c>
      <c r="AD24" s="30">
        <f t="dataTable" ref="AD24:AD34" dt2D="0" dtr="0" r1="B44" ca="1"/>
        <v>21733.362964528693</v>
      </c>
      <c r="AE24" s="58">
        <f t="shared" ref="AE24:AE34" si="13">100*((AD24-$AD$29)/$AD$29)</f>
        <v>-12.688751706454045</v>
      </c>
      <c r="AG24" s="126">
        <v>-30</v>
      </c>
      <c r="AH24" s="127">
        <f t="shared" ref="AH24:AH32" si="14">AE26</f>
        <v>-7.6132510238724196</v>
      </c>
      <c r="AI24" s="127">
        <f t="shared" si="8"/>
        <v>-13.373562315045403</v>
      </c>
      <c r="AJ24" s="128">
        <f t="shared" si="6"/>
        <v>-6.4618347342753513</v>
      </c>
      <c r="AK24" s="128">
        <f t="shared" si="7"/>
        <v>-19.835397049320754</v>
      </c>
      <c r="AL24" s="71">
        <f t="shared" si="9"/>
        <v>13.373562315045417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0"/>
        <v>0</v>
      </c>
      <c r="Q25" s="36">
        <f t="shared" si="1"/>
        <v>0</v>
      </c>
      <c r="R25" s="37">
        <f t="shared" si="2"/>
        <v>0</v>
      </c>
      <c r="S25" s="37">
        <v>0</v>
      </c>
      <c r="T25" s="35">
        <f t="shared" si="3"/>
        <v>0</v>
      </c>
      <c r="U25" s="34">
        <f t="shared" si="4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20453.259873459436</v>
      </c>
      <c r="Z25" s="58">
        <f t="shared" ref="Z25:Z34" si="15">100*((Y25-$Y$29)/$Y$29)</f>
        <v>-17.831416420060524</v>
      </c>
      <c r="AB25" s="24">
        <f t="shared" si="12"/>
        <v>-40</v>
      </c>
      <c r="AC25" s="25">
        <f t="shared" ref="AC25:AC28" si="16">$AC$23*(1+(AB25/100))</f>
        <v>3327.0826555609096</v>
      </c>
      <c r="AD25" s="30">
        <v>22365.055333594351</v>
      </c>
      <c r="AE25" s="58">
        <f t="shared" si="13"/>
        <v>-10.151001365163225</v>
      </c>
      <c r="AG25" s="126">
        <v>-20</v>
      </c>
      <c r="AH25" s="127">
        <f t="shared" si="14"/>
        <v>-5.0755006825816125</v>
      </c>
      <c r="AI25" s="127">
        <f t="shared" si="8"/>
        <v>-8.9157082100302549</v>
      </c>
      <c r="AJ25" s="128">
        <f t="shared" si="6"/>
        <v>-4.3078898228502434</v>
      </c>
      <c r="AK25" s="128">
        <f t="shared" si="7"/>
        <v>-13.223598032880499</v>
      </c>
      <c r="AL25" s="71">
        <f t="shared" si="9"/>
        <v>8.9157082100302691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0"/>
        <v>0</v>
      </c>
      <c r="Q26" s="36">
        <f t="shared" si="1"/>
        <v>0</v>
      </c>
      <c r="R26" s="37">
        <f t="shared" si="2"/>
        <v>0</v>
      </c>
      <c r="S26" s="37">
        <v>0</v>
      </c>
      <c r="T26" s="35">
        <f t="shared" si="3"/>
        <v>0</v>
      </c>
      <c r="U26" s="34">
        <f t="shared" si="4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21562.901107558817</v>
      </c>
      <c r="Z26" s="58">
        <f t="shared" si="15"/>
        <v>-13.373562315045403</v>
      </c>
      <c r="AB26" s="24">
        <f t="shared" si="12"/>
        <v>-30</v>
      </c>
      <c r="AC26" s="25">
        <f t="shared" si="16"/>
        <v>3881.5964314877278</v>
      </c>
      <c r="AD26" s="30">
        <v>22996.747702660006</v>
      </c>
      <c r="AE26" s="58">
        <f t="shared" si="13"/>
        <v>-7.6132510238724196</v>
      </c>
      <c r="AG26" s="126">
        <v>-10</v>
      </c>
      <c r="AH26" s="127">
        <f t="shared" si="14"/>
        <v>-2.5377503412908062</v>
      </c>
      <c r="AI26" s="127">
        <f t="shared" si="8"/>
        <v>-4.4578541050151346</v>
      </c>
      <c r="AJ26" s="128">
        <f t="shared" si="6"/>
        <v>-2.1539449114251217</v>
      </c>
      <c r="AK26" s="128">
        <f t="shared" si="7"/>
        <v>-6.6117990164402274</v>
      </c>
      <c r="AL26" s="71">
        <f t="shared" si="9"/>
        <v>4.4578541050151497</v>
      </c>
    </row>
    <row r="27" spans="1:38" x14ac:dyDescent="0.25">
      <c r="J27" s="2"/>
      <c r="N27" s="31">
        <f t="shared" si="5"/>
        <v>0</v>
      </c>
      <c r="O27" s="31"/>
      <c r="P27" s="35">
        <f t="shared" si="0"/>
        <v>0</v>
      </c>
      <c r="Q27" s="36">
        <f t="shared" si="1"/>
        <v>0</v>
      </c>
      <c r="R27" s="37">
        <f t="shared" si="2"/>
        <v>0</v>
      </c>
      <c r="S27" s="37">
        <v>0</v>
      </c>
      <c r="T27" s="35">
        <f t="shared" si="3"/>
        <v>0</v>
      </c>
      <c r="U27" s="34">
        <f t="shared" si="4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22672.542341658205</v>
      </c>
      <c r="Z27" s="58">
        <f t="shared" si="15"/>
        <v>-8.9157082100302549</v>
      </c>
      <c r="AB27" s="24">
        <f t="shared" si="12"/>
        <v>-20</v>
      </c>
      <c r="AC27" s="25">
        <f t="shared" si="16"/>
        <v>4436.1102074145465</v>
      </c>
      <c r="AD27" s="30">
        <v>23628.440071725661</v>
      </c>
      <c r="AE27" s="58">
        <f t="shared" si="13"/>
        <v>-5.0755006825816125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0"/>
        <v>0</v>
      </c>
      <c r="Q28" s="36">
        <f t="shared" si="1"/>
        <v>0</v>
      </c>
      <c r="R28" s="37">
        <f t="shared" si="2"/>
        <v>0</v>
      </c>
      <c r="S28" s="37">
        <f>IF(N28&gt;0,($F$15/$B$8)/((1+($F$11/100))^N28),0)</f>
        <v>0</v>
      </c>
      <c r="T28" s="35">
        <f t="shared" si="3"/>
        <v>0</v>
      </c>
      <c r="U28" s="34">
        <f t="shared" si="4"/>
        <v>0</v>
      </c>
      <c r="V28" s="19"/>
      <c r="W28" s="24">
        <f>W29-10</f>
        <v>-10</v>
      </c>
      <c r="X28" s="28">
        <f t="shared" si="11"/>
        <v>0.7791007756964653</v>
      </c>
      <c r="Y28" s="30">
        <v>23782.183575757586</v>
      </c>
      <c r="Z28" s="58">
        <f t="shared" si="15"/>
        <v>-4.4578541050151346</v>
      </c>
      <c r="AB28" s="24">
        <f>AB29-10</f>
        <v>-10</v>
      </c>
      <c r="AC28" s="25">
        <f t="shared" si="16"/>
        <v>4990.6239833413647</v>
      </c>
      <c r="AD28" s="30">
        <v>24260.132440791316</v>
      </c>
      <c r="AE28" s="58">
        <f t="shared" si="13"/>
        <v>-2.5377503412908062</v>
      </c>
      <c r="AG28" s="126">
        <v>10</v>
      </c>
      <c r="AH28" s="127">
        <f t="shared" si="14"/>
        <v>2.5377503412908355</v>
      </c>
      <c r="AI28" s="127">
        <f t="shared" si="8"/>
        <v>4.4578541050151497</v>
      </c>
      <c r="AJ28" s="128">
        <f t="shared" si="6"/>
        <v>2.1539449114251363</v>
      </c>
      <c r="AK28" s="128">
        <f t="shared" si="7"/>
        <v>6.6117990164402718</v>
      </c>
      <c r="AL28" s="71">
        <f t="shared" si="9"/>
        <v>-4.4578541050151346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0"/>
        <v>0</v>
      </c>
      <c r="Q29" s="36">
        <f t="shared" si="1"/>
        <v>0</v>
      </c>
      <c r="R29" s="37">
        <f t="shared" si="2"/>
        <v>0</v>
      </c>
      <c r="S29" s="37">
        <v>0</v>
      </c>
      <c r="T29" s="35">
        <f t="shared" si="3"/>
        <v>0</v>
      </c>
      <c r="U29" s="34">
        <f t="shared" si="4"/>
        <v>0</v>
      </c>
      <c r="V29" s="19"/>
      <c r="W29" s="60">
        <v>0</v>
      </c>
      <c r="X29" s="64">
        <f>$X$23*(1+(W29/100))</f>
        <v>0.8656675285516281</v>
      </c>
      <c r="Y29" s="62">
        <v>24891.824809856971</v>
      </c>
      <c r="Z29" s="63">
        <f t="shared" si="15"/>
        <v>0</v>
      </c>
      <c r="AB29" s="60">
        <v>0</v>
      </c>
      <c r="AC29" s="65">
        <f>$AC$23*(1+(AB29/100))</f>
        <v>5545.1377592681829</v>
      </c>
      <c r="AD29" s="62">
        <v>24891.824809856971</v>
      </c>
      <c r="AE29" s="63">
        <f t="shared" si="13"/>
        <v>0</v>
      </c>
      <c r="AG29" s="126">
        <v>20</v>
      </c>
      <c r="AH29" s="127">
        <f t="shared" si="14"/>
        <v>5.0755006825816418</v>
      </c>
      <c r="AI29" s="127">
        <f t="shared" si="8"/>
        <v>8.9157082100302691</v>
      </c>
      <c r="AJ29" s="128">
        <f t="shared" si="6"/>
        <v>4.3078898228502291</v>
      </c>
      <c r="AK29" s="128">
        <f t="shared" si="7"/>
        <v>13.223598032880513</v>
      </c>
      <c r="AL29" s="71">
        <f t="shared" si="9"/>
        <v>-8.9157082100302549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0"/>
        <v>0</v>
      </c>
      <c r="Q30" s="36">
        <f t="shared" si="1"/>
        <v>0</v>
      </c>
      <c r="R30" s="37">
        <f t="shared" si="2"/>
        <v>0</v>
      </c>
      <c r="S30" s="37">
        <v>0</v>
      </c>
      <c r="T30" s="35">
        <f t="shared" si="3"/>
        <v>0</v>
      </c>
      <c r="U30" s="34">
        <f t="shared" si="4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26001.466043956359</v>
      </c>
      <c r="Z30" s="58">
        <f t="shared" si="15"/>
        <v>4.4578541050151497</v>
      </c>
      <c r="AB30" s="24">
        <f>AB29+10</f>
        <v>10</v>
      </c>
      <c r="AC30" s="25">
        <f t="shared" ref="AC30:AC34" si="18">$AC$23*(1+(AB30/100))</f>
        <v>6099.651535195002</v>
      </c>
      <c r="AD30" s="30">
        <v>25523.517178922633</v>
      </c>
      <c r="AE30" s="58">
        <f t="shared" si="13"/>
        <v>2.5377503412908355</v>
      </c>
      <c r="AG30" s="126">
        <v>30</v>
      </c>
      <c r="AH30" s="127">
        <f t="shared" si="14"/>
        <v>7.6132510238724489</v>
      </c>
      <c r="AI30" s="127">
        <f t="shared" si="8"/>
        <v>13.373562315045417</v>
      </c>
      <c r="AJ30" s="128">
        <f t="shared" si="6"/>
        <v>6.4618347342753655</v>
      </c>
      <c r="AK30" s="128">
        <f t="shared" si="7"/>
        <v>19.8353970493208</v>
      </c>
      <c r="AL30" s="71">
        <f t="shared" si="9"/>
        <v>-13.373562315045403</v>
      </c>
    </row>
    <row r="31" spans="1:38" x14ac:dyDescent="0.25">
      <c r="A31" s="21" t="s">
        <v>171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1663.5413277804548</v>
      </c>
      <c r="G31" s="1" t="s">
        <v>3</v>
      </c>
      <c r="I31" s="12" t="s">
        <v>174</v>
      </c>
      <c r="J31" s="47">
        <f>SUM(J32:J36)</f>
        <v>836.19307106417136</v>
      </c>
      <c r="K31" s="12" t="s">
        <v>46</v>
      </c>
      <c r="L31" s="9"/>
      <c r="N31" s="31">
        <f t="shared" si="5"/>
        <v>0</v>
      </c>
      <c r="O31" s="31"/>
      <c r="P31" s="35">
        <f t="shared" si="0"/>
        <v>0</v>
      </c>
      <c r="Q31" s="36">
        <f t="shared" si="1"/>
        <v>0</v>
      </c>
      <c r="R31" s="37">
        <f t="shared" si="2"/>
        <v>0</v>
      </c>
      <c r="S31" s="37">
        <v>0</v>
      </c>
      <c r="T31" s="35">
        <f t="shared" si="3"/>
        <v>0</v>
      </c>
      <c r="U31" s="34">
        <f t="shared" si="4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27111.107278055741</v>
      </c>
      <c r="Z31" s="58">
        <f t="shared" si="15"/>
        <v>8.9157082100302691</v>
      </c>
      <c r="AB31" s="24">
        <f t="shared" ref="AB31:AB34" si="20">AB30+10</f>
        <v>20</v>
      </c>
      <c r="AC31" s="25">
        <f t="shared" si="18"/>
        <v>6654.1653111218193</v>
      </c>
      <c r="AD31" s="30">
        <v>26155.209547988288</v>
      </c>
      <c r="AE31" s="58">
        <f t="shared" si="13"/>
        <v>5.0755006825816418</v>
      </c>
      <c r="AG31" s="126">
        <v>40</v>
      </c>
      <c r="AH31" s="127">
        <f t="shared" si="14"/>
        <v>10.151001365163255</v>
      </c>
      <c r="AI31" s="127">
        <f t="shared" si="8"/>
        <v>17.831416420060524</v>
      </c>
      <c r="AJ31" s="128">
        <f t="shared" si="6"/>
        <v>8.6157796457004867</v>
      </c>
      <c r="AK31" s="128">
        <f t="shared" si="7"/>
        <v>26.447196065760998</v>
      </c>
      <c r="AL31" s="71">
        <f t="shared" si="9"/>
        <v>-17.831416420060524</v>
      </c>
    </row>
    <row r="32" spans="1:38" ht="42" customHeight="1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3881.5964314877283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0"/>
        <v>0</v>
      </c>
      <c r="Q32" s="36">
        <f t="shared" si="1"/>
        <v>0</v>
      </c>
      <c r="R32" s="37">
        <f t="shared" si="2"/>
        <v>0</v>
      </c>
      <c r="S32" s="37">
        <v>0</v>
      </c>
      <c r="T32" s="35">
        <f t="shared" si="3"/>
        <v>0</v>
      </c>
      <c r="U32" s="34">
        <f t="shared" si="4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28220.748512155129</v>
      </c>
      <c r="Z32" s="58">
        <f t="shared" si="15"/>
        <v>13.373562315045417</v>
      </c>
      <c r="AB32" s="24">
        <f t="shared" si="20"/>
        <v>30</v>
      </c>
      <c r="AC32" s="25">
        <f t="shared" si="18"/>
        <v>7208.6790870486384</v>
      </c>
      <c r="AD32" s="30">
        <v>26786.901917053943</v>
      </c>
      <c r="AE32" s="58">
        <f t="shared" si="13"/>
        <v>7.6132510238724489</v>
      </c>
      <c r="AG32" s="126">
        <v>50</v>
      </c>
      <c r="AH32" s="127">
        <f t="shared" si="14"/>
        <v>12.688751706454063</v>
      </c>
      <c r="AI32" s="127">
        <f t="shared" si="8"/>
        <v>22.28927052507569</v>
      </c>
      <c r="AJ32" s="128">
        <f t="shared" si="6"/>
        <v>10.76972455712561</v>
      </c>
      <c r="AK32" s="128">
        <f t="shared" si="7"/>
        <v>33.058995082201257</v>
      </c>
      <c r="AL32" s="71">
        <f t="shared" si="9"/>
        <v>-22.289270525075644</v>
      </c>
    </row>
    <row r="33" spans="1:31" x14ac:dyDescent="0.25">
      <c r="A33" s="21" t="s">
        <v>6</v>
      </c>
      <c r="B33" s="18">
        <f>IF(B13=0,0,(B13/100)*$B$41)</f>
        <v>557.41935483870964</v>
      </c>
      <c r="C33" s="1" t="s">
        <v>3</v>
      </c>
      <c r="E33" s="22" t="s">
        <v>65</v>
      </c>
      <c r="F33" s="10">
        <f>F32*(F21/100)*J15</f>
        <v>1492.4738279070316</v>
      </c>
      <c r="G33" s="1" t="s">
        <v>3</v>
      </c>
      <c r="I33" s="22" t="s">
        <v>67</v>
      </c>
      <c r="J33" s="46">
        <f>F20*F12/B8</f>
        <v>694.34680000000003</v>
      </c>
      <c r="K33" s="1" t="s">
        <v>46</v>
      </c>
      <c r="L33" s="9"/>
      <c r="N33" s="31">
        <f t="shared" si="5"/>
        <v>0</v>
      </c>
      <c r="O33" s="31"/>
      <c r="P33" s="35">
        <f t="shared" si="0"/>
        <v>0</v>
      </c>
      <c r="Q33" s="36">
        <f t="shared" si="1"/>
        <v>0</v>
      </c>
      <c r="R33" s="37">
        <f t="shared" si="2"/>
        <v>0</v>
      </c>
      <c r="S33" s="37">
        <f>IF(N33&gt;0,($F$15/$B$8)/((1+($F$11/100))^N33),0)</f>
        <v>0</v>
      </c>
      <c r="T33" s="35">
        <f t="shared" si="3"/>
        <v>0</v>
      </c>
      <c r="U33" s="34">
        <f t="shared" si="4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29330.389746254506</v>
      </c>
      <c r="Z33" s="58">
        <f t="shared" si="15"/>
        <v>17.831416420060524</v>
      </c>
      <c r="AB33" s="24">
        <f t="shared" si="20"/>
        <v>40</v>
      </c>
      <c r="AC33" s="25">
        <f t="shared" si="18"/>
        <v>7763.1928629754557</v>
      </c>
      <c r="AD33" s="30">
        <v>27418.594286119598</v>
      </c>
      <c r="AE33" s="58">
        <f t="shared" si="13"/>
        <v>10.151001365163255</v>
      </c>
    </row>
    <row r="34" spans="1:31" x14ac:dyDescent="0.25">
      <c r="A34" s="21" t="s">
        <v>144</v>
      </c>
      <c r="B34" s="18">
        <f>IF(B14=0,0,(B14/100)*$B$41)</f>
        <v>0</v>
      </c>
      <c r="C34" s="1" t="s">
        <v>3</v>
      </c>
      <c r="F34" s="46"/>
      <c r="I34" s="22" t="s">
        <v>181</v>
      </c>
      <c r="J34" s="20">
        <f>F19/$B$8</f>
        <v>67.275659990435514</v>
      </c>
      <c r="K34" s="1" t="s">
        <v>46</v>
      </c>
      <c r="L34" s="9"/>
      <c r="N34" s="31">
        <f t="shared" si="5"/>
        <v>0</v>
      </c>
      <c r="O34" s="31"/>
      <c r="P34" s="35">
        <f t="shared" si="0"/>
        <v>0</v>
      </c>
      <c r="Q34" s="36">
        <f t="shared" si="1"/>
        <v>0</v>
      </c>
      <c r="R34" s="37">
        <f t="shared" si="2"/>
        <v>0</v>
      </c>
      <c r="S34" s="37">
        <v>0</v>
      </c>
      <c r="T34" s="35">
        <f t="shared" si="3"/>
        <v>0</v>
      </c>
      <c r="U34" s="34">
        <f t="shared" si="4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30440.030980353898</v>
      </c>
      <c r="Z34" s="58">
        <f t="shared" si="15"/>
        <v>22.28927052507569</v>
      </c>
      <c r="AB34" s="24">
        <f t="shared" si="20"/>
        <v>50</v>
      </c>
      <c r="AC34" s="25">
        <f t="shared" si="18"/>
        <v>8317.7066389022748</v>
      </c>
      <c r="AD34" s="30">
        <v>28050.286655185253</v>
      </c>
      <c r="AE34" s="58">
        <f t="shared" si="13"/>
        <v>12.688751706454063</v>
      </c>
    </row>
    <row r="35" spans="1:31" x14ac:dyDescent="0.25">
      <c r="A35" s="21" t="s">
        <v>14</v>
      </c>
      <c r="B35" s="18">
        <f>IF(B18=0,0,(B18/100)*$B$41)</f>
        <v>334.45161290322579</v>
      </c>
      <c r="C35" s="1" t="s">
        <v>3</v>
      </c>
      <c r="E35" s="12" t="s">
        <v>97</v>
      </c>
      <c r="I35" s="22" t="s">
        <v>136</v>
      </c>
      <c r="J35" s="13">
        <f>F17/$B$8</f>
        <v>7.2949510833002362</v>
      </c>
      <c r="K35" s="1" t="s">
        <v>46</v>
      </c>
      <c r="L35" s="9"/>
      <c r="N35" s="31">
        <f t="shared" si="5"/>
        <v>0</v>
      </c>
      <c r="O35" s="31"/>
      <c r="P35" s="35">
        <f t="shared" si="0"/>
        <v>0</v>
      </c>
      <c r="Q35" s="36">
        <f t="shared" si="1"/>
        <v>0</v>
      </c>
      <c r="R35" s="37">
        <f t="shared" si="2"/>
        <v>0</v>
      </c>
      <c r="S35" s="37">
        <v>0</v>
      </c>
      <c r="T35" s="35">
        <f t="shared" si="3"/>
        <v>0</v>
      </c>
      <c r="U35" s="34">
        <f t="shared" si="4"/>
        <v>0</v>
      </c>
      <c r="V35" s="19"/>
    </row>
    <row r="36" spans="1:31" x14ac:dyDescent="0.25">
      <c r="A36" s="91" t="s">
        <v>182</v>
      </c>
      <c r="B36" s="18">
        <f>IF(B19=0,0,(B19/B8))</f>
        <v>8.1055012036669289</v>
      </c>
      <c r="C36" s="1" t="s">
        <v>3</v>
      </c>
      <c r="E36" s="22" t="s">
        <v>177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0"/>
        <v>0</v>
      </c>
      <c r="Q36" s="36">
        <f t="shared" si="1"/>
        <v>0</v>
      </c>
      <c r="R36" s="37">
        <f t="shared" si="2"/>
        <v>0</v>
      </c>
      <c r="S36" s="37">
        <v>0</v>
      </c>
      <c r="T36" s="35">
        <f t="shared" si="3"/>
        <v>0</v>
      </c>
      <c r="U36" s="34">
        <f t="shared" si="4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178</v>
      </c>
      <c r="F37" s="48">
        <f>F36*J9</f>
        <v>6.2760895819993029E-2</v>
      </c>
      <c r="G37" s="1" t="s">
        <v>58</v>
      </c>
      <c r="I37" s="22"/>
      <c r="J37" s="13"/>
      <c r="L37" s="9"/>
      <c r="N37" s="31">
        <f t="shared" si="5"/>
        <v>0</v>
      </c>
      <c r="O37" s="31"/>
      <c r="P37" s="35">
        <f t="shared" si="0"/>
        <v>0</v>
      </c>
      <c r="Q37" s="36">
        <f t="shared" si="1"/>
        <v>0</v>
      </c>
      <c r="R37" s="37">
        <f t="shared" si="2"/>
        <v>0</v>
      </c>
      <c r="S37" s="37">
        <v>0</v>
      </c>
      <c r="T37" s="35">
        <f t="shared" si="3"/>
        <v>0</v>
      </c>
      <c r="U37" s="34">
        <f t="shared" si="4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1379.0451638527068</v>
      </c>
      <c r="G38" t="s">
        <v>46</v>
      </c>
      <c r="I38" s="38"/>
      <c r="J38" s="13"/>
      <c r="L38" s="9"/>
      <c r="N38" s="31">
        <f t="shared" si="5"/>
        <v>0</v>
      </c>
      <c r="O38" s="31"/>
      <c r="P38" s="35">
        <f t="shared" si="0"/>
        <v>0</v>
      </c>
      <c r="Q38" s="36">
        <f t="shared" si="1"/>
        <v>0</v>
      </c>
      <c r="R38" s="37">
        <f t="shared" si="2"/>
        <v>0</v>
      </c>
      <c r="S38" s="37">
        <f>IF(N38&gt;0,($F$15/$B$8)/((1+($F$11/100))^N38),0)</f>
        <v>0</v>
      </c>
      <c r="T38" s="35">
        <f t="shared" si="3"/>
        <v>0</v>
      </c>
      <c r="U38" s="34">
        <f t="shared" si="4"/>
        <v>0</v>
      </c>
      <c r="V38" s="19"/>
      <c r="W38" s="24" t="s">
        <v>79</v>
      </c>
      <c r="X38" s="28">
        <v>694.34680000000003</v>
      </c>
      <c r="Y38" s="26">
        <f>U49</f>
        <v>24891.824809856971</v>
      </c>
      <c r="Z38" s="24"/>
      <c r="AB38" s="24" t="s">
        <v>79</v>
      </c>
      <c r="AC38" s="29">
        <v>21973</v>
      </c>
      <c r="AD38" s="30">
        <f>U49</f>
        <v>24891.824809856971</v>
      </c>
      <c r="AE38" s="24"/>
    </row>
    <row r="39" spans="1:31" x14ac:dyDescent="0.25">
      <c r="A39" s="22" t="s">
        <v>194</v>
      </c>
      <c r="B39" s="8">
        <f>J8/B8</f>
        <v>4645.1612903225805</v>
      </c>
      <c r="C39" s="1" t="s">
        <v>3</v>
      </c>
      <c r="L39" s="9"/>
      <c r="N39" s="31">
        <f t="shared" si="5"/>
        <v>0</v>
      </c>
      <c r="O39" s="31"/>
      <c r="P39" s="35">
        <f t="shared" si="0"/>
        <v>0</v>
      </c>
      <c r="Q39" s="36">
        <f t="shared" si="1"/>
        <v>0</v>
      </c>
      <c r="R39" s="37">
        <f t="shared" si="2"/>
        <v>0</v>
      </c>
      <c r="S39" s="37">
        <v>0</v>
      </c>
      <c r="T39" s="35">
        <f t="shared" si="3"/>
        <v>0</v>
      </c>
      <c r="U39" s="34">
        <f t="shared" si="4"/>
        <v>0</v>
      </c>
      <c r="V39" s="19"/>
      <c r="W39" s="24">
        <f t="shared" ref="W39:W42" si="21">W40-10</f>
        <v>-50</v>
      </c>
      <c r="X39" s="28">
        <f>$X$38*(1+(W39/100))</f>
        <v>347.17340000000002</v>
      </c>
      <c r="Y39" s="30">
        <f t="dataTable" ref="Y39:Y49" dt2D="0" dtr="0" r1="J33" ca="1"/>
        <v>22211.04384059312</v>
      </c>
      <c r="Z39" s="58">
        <f>100*((Y39-$Y$29)/$Y$29)</f>
        <v>-10.76972455712561</v>
      </c>
      <c r="AB39" s="24">
        <f t="shared" ref="AB39:AB42" si="22">AB40-10</f>
        <v>-50</v>
      </c>
      <c r="AC39" s="29">
        <f t="shared" ref="AC39:AC49" si="23">$AC$38*(1+(AB39/100))</f>
        <v>10986.5</v>
      </c>
      <c r="AD39" s="30">
        <f t="dataTable" ref="AD39:AD49" dt2D="0" dtr="0" r1="F12" ca="1"/>
        <v>16662.837670096196</v>
      </c>
      <c r="AE39" s="58">
        <f>100*((AD39-$AD$44)/$AD$44)</f>
        <v>-33.058995082201278</v>
      </c>
    </row>
    <row r="40" spans="1:31" x14ac:dyDescent="0.25">
      <c r="A40" s="1" t="s">
        <v>113</v>
      </c>
      <c r="B40" s="10">
        <f>(1+(B16/100))*B39</f>
        <v>4645.1612903225805</v>
      </c>
      <c r="C40" s="1" t="s">
        <v>3</v>
      </c>
      <c r="L40" s="9"/>
      <c r="N40" s="31">
        <f t="shared" si="5"/>
        <v>0</v>
      </c>
      <c r="O40" s="31"/>
      <c r="P40" s="35">
        <f t="shared" si="0"/>
        <v>0</v>
      </c>
      <c r="Q40" s="36">
        <f t="shared" si="1"/>
        <v>0</v>
      </c>
      <c r="R40" s="37">
        <f t="shared" si="2"/>
        <v>0</v>
      </c>
      <c r="S40" s="37">
        <v>0</v>
      </c>
      <c r="T40" s="35">
        <f t="shared" si="3"/>
        <v>0</v>
      </c>
      <c r="U40" s="34">
        <f t="shared" si="4"/>
        <v>0</v>
      </c>
      <c r="V40" s="19"/>
      <c r="W40" s="24">
        <f t="shared" si="21"/>
        <v>-40</v>
      </c>
      <c r="X40" s="28">
        <f t="shared" ref="X40:X49" si="24">$X$38*(1+(W40/100))</f>
        <v>416.60808000000003</v>
      </c>
      <c r="Y40" s="30">
        <v>22747.20003444589</v>
      </c>
      <c r="Z40" s="58">
        <f t="shared" ref="Z40:Z49" si="25">100*((Y40-$Y$29)/$Y$29)</f>
        <v>-8.6157796457004867</v>
      </c>
      <c r="AB40" s="24">
        <f t="shared" si="22"/>
        <v>-40</v>
      </c>
      <c r="AC40" s="29">
        <f t="shared" si="23"/>
        <v>13183.8</v>
      </c>
      <c r="AD40" s="30">
        <v>18308.635098048355</v>
      </c>
      <c r="AE40" s="58">
        <f t="shared" ref="AE40:AE49" si="26">100*((AD40-$AD$44)/$AD$44)</f>
        <v>-26.447196065761013</v>
      </c>
    </row>
    <row r="41" spans="1:31" x14ac:dyDescent="0.25">
      <c r="A41" s="1" t="s">
        <v>151</v>
      </c>
      <c r="B41" s="78">
        <f>(1+B15/100)*B40</f>
        <v>5574.1935483870966</v>
      </c>
      <c r="C41" s="1" t="s">
        <v>3</v>
      </c>
      <c r="E41" s="38" t="s">
        <v>86</v>
      </c>
      <c r="F41" s="42">
        <f>F12*B5</f>
        <v>219730</v>
      </c>
      <c r="G41" s="39" t="s">
        <v>42</v>
      </c>
      <c r="L41" s="9"/>
      <c r="N41" s="31">
        <f t="shared" si="5"/>
        <v>0</v>
      </c>
      <c r="O41" s="31"/>
      <c r="P41" s="35">
        <f t="shared" si="0"/>
        <v>0</v>
      </c>
      <c r="Q41" s="36">
        <f t="shared" si="1"/>
        <v>0</v>
      </c>
      <c r="R41" s="37">
        <f t="shared" si="2"/>
        <v>0</v>
      </c>
      <c r="S41" s="37">
        <v>0</v>
      </c>
      <c r="T41" s="35">
        <f t="shared" si="3"/>
        <v>0</v>
      </c>
      <c r="U41" s="34">
        <f t="shared" si="4"/>
        <v>0</v>
      </c>
      <c r="V41" s="19"/>
      <c r="W41" s="24">
        <f t="shared" si="21"/>
        <v>-30</v>
      </c>
      <c r="X41" s="28">
        <f t="shared" si="24"/>
        <v>486.04275999999999</v>
      </c>
      <c r="Y41" s="30">
        <v>23283.356228298664</v>
      </c>
      <c r="Z41" s="58">
        <f t="shared" si="25"/>
        <v>-6.4618347342753513</v>
      </c>
      <c r="AB41" s="24">
        <f t="shared" si="22"/>
        <v>-30</v>
      </c>
      <c r="AC41" s="29">
        <f t="shared" si="23"/>
        <v>15381.099999999999</v>
      </c>
      <c r="AD41" s="30">
        <v>19954.43252600051</v>
      </c>
      <c r="AE41" s="58">
        <f t="shared" si="26"/>
        <v>-19.835397049320754</v>
      </c>
    </row>
    <row r="42" spans="1:31" x14ac:dyDescent="0.25">
      <c r="A42" s="21" t="s">
        <v>95</v>
      </c>
      <c r="B42" s="18">
        <f>SUM(B33:B37)+B40</f>
        <v>5545.1377592681829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0"/>
        <v>0</v>
      </c>
      <c r="Q42" s="36">
        <f t="shared" si="1"/>
        <v>0</v>
      </c>
      <c r="R42" s="37">
        <f t="shared" si="2"/>
        <v>0</v>
      </c>
      <c r="S42" s="37">
        <v>0</v>
      </c>
      <c r="T42" s="35">
        <f t="shared" si="3"/>
        <v>0</v>
      </c>
      <c r="U42" s="34">
        <f t="shared" si="4"/>
        <v>0</v>
      </c>
      <c r="V42" s="19"/>
      <c r="W42" s="24">
        <f t="shared" si="21"/>
        <v>-20</v>
      </c>
      <c r="X42" s="28">
        <f t="shared" si="24"/>
        <v>555.47744</v>
      </c>
      <c r="Y42" s="30">
        <v>23819.512422151431</v>
      </c>
      <c r="Z42" s="58">
        <f t="shared" si="25"/>
        <v>-4.3078898228502434</v>
      </c>
      <c r="AB42" s="24">
        <f t="shared" si="22"/>
        <v>-20</v>
      </c>
      <c r="AC42" s="29">
        <f t="shared" si="23"/>
        <v>17578.400000000001</v>
      </c>
      <c r="AD42" s="30">
        <v>21600.229953952665</v>
      </c>
      <c r="AE42" s="58">
        <f t="shared" si="26"/>
        <v>-13.223598032880499</v>
      </c>
    </row>
    <row r="43" spans="1:31" x14ac:dyDescent="0.25">
      <c r="A43" s="21" t="s">
        <v>172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0"/>
        <v>0</v>
      </c>
      <c r="Q43" s="36">
        <f t="shared" si="1"/>
        <v>0</v>
      </c>
      <c r="R43" s="37">
        <f t="shared" si="2"/>
        <v>0</v>
      </c>
      <c r="S43" s="37">
        <f>IF(N43&gt;0,($F$15/$B$8)/((1+($F$11/100))^N43),0)</f>
        <v>0</v>
      </c>
      <c r="T43" s="35">
        <f t="shared" si="3"/>
        <v>0</v>
      </c>
      <c r="U43" s="34">
        <f t="shared" si="4"/>
        <v>0</v>
      </c>
      <c r="V43" s="19"/>
      <c r="W43" s="24">
        <f>W44-10</f>
        <v>-10</v>
      </c>
      <c r="X43" s="28">
        <f t="shared" si="24"/>
        <v>624.91212000000007</v>
      </c>
      <c r="Y43" s="30">
        <v>24355.668616004201</v>
      </c>
      <c r="Z43" s="58">
        <f t="shared" si="25"/>
        <v>-2.1539449114251217</v>
      </c>
      <c r="AB43" s="24">
        <f>AB44-10</f>
        <v>-10</v>
      </c>
      <c r="AC43" s="29">
        <f t="shared" si="23"/>
        <v>19775.7</v>
      </c>
      <c r="AD43" s="30">
        <v>23246.027381904823</v>
      </c>
      <c r="AE43" s="58">
        <f t="shared" si="26"/>
        <v>-6.6117990164402274</v>
      </c>
    </row>
    <row r="44" spans="1:31" x14ac:dyDescent="0.25">
      <c r="A44" s="21" t="s">
        <v>173</v>
      </c>
      <c r="B44" s="18">
        <f>SUM(B42:B43)</f>
        <v>5545.1377592681829</v>
      </c>
      <c r="C44" s="1" t="s">
        <v>3</v>
      </c>
      <c r="L44" s="9"/>
      <c r="N44" s="31">
        <f t="shared" si="5"/>
        <v>0</v>
      </c>
      <c r="O44" s="31"/>
      <c r="P44" s="35">
        <f t="shared" si="0"/>
        <v>0</v>
      </c>
      <c r="Q44" s="36">
        <f t="shared" si="1"/>
        <v>0</v>
      </c>
      <c r="R44" s="37">
        <f t="shared" si="2"/>
        <v>0</v>
      </c>
      <c r="S44" s="37">
        <v>0</v>
      </c>
      <c r="T44" s="35">
        <f t="shared" si="3"/>
        <v>0</v>
      </c>
      <c r="U44" s="34">
        <f t="shared" si="4"/>
        <v>0</v>
      </c>
      <c r="V44" s="19"/>
      <c r="W44" s="60">
        <v>0</v>
      </c>
      <c r="X44" s="64">
        <f t="shared" si="24"/>
        <v>694.34680000000003</v>
      </c>
      <c r="Y44" s="62">
        <v>24891.824809856971</v>
      </c>
      <c r="Z44" s="63">
        <f t="shared" si="25"/>
        <v>0</v>
      </c>
      <c r="AB44" s="60">
        <v>0</v>
      </c>
      <c r="AC44" s="61">
        <f t="shared" si="23"/>
        <v>21973</v>
      </c>
      <c r="AD44" s="62">
        <v>24891.824809856971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0"/>
        <v>0</v>
      </c>
      <c r="Q45" s="36">
        <f t="shared" si="1"/>
        <v>0</v>
      </c>
      <c r="R45" s="37">
        <f t="shared" si="2"/>
        <v>0</v>
      </c>
      <c r="S45" s="37">
        <v>0</v>
      </c>
      <c r="T45" s="35">
        <f t="shared" si="3"/>
        <v>0</v>
      </c>
      <c r="U45" s="34">
        <f t="shared" si="4"/>
        <v>0</v>
      </c>
      <c r="V45" s="19"/>
      <c r="W45" s="24">
        <f>W44+10</f>
        <v>10</v>
      </c>
      <c r="X45" s="28">
        <f t="shared" si="24"/>
        <v>763.7814800000001</v>
      </c>
      <c r="Y45" s="30">
        <v>25427.981003709745</v>
      </c>
      <c r="Z45" s="58">
        <f t="shared" si="25"/>
        <v>2.1539449114251363</v>
      </c>
      <c r="AB45" s="24">
        <f>AB44+10</f>
        <v>10</v>
      </c>
      <c r="AC45" s="29">
        <f t="shared" si="23"/>
        <v>24170.300000000003</v>
      </c>
      <c r="AD45" s="30">
        <v>26537.62223780913</v>
      </c>
      <c r="AE45" s="58">
        <f t="shared" si="26"/>
        <v>6.6117990164402718</v>
      </c>
    </row>
    <row r="46" spans="1:31" x14ac:dyDescent="0.25">
      <c r="L46" s="9"/>
      <c r="N46" s="31">
        <f t="shared" si="5"/>
        <v>0</v>
      </c>
      <c r="O46" s="31"/>
      <c r="P46" s="35">
        <f t="shared" si="0"/>
        <v>0</v>
      </c>
      <c r="Q46" s="36">
        <f t="shared" si="1"/>
        <v>0</v>
      </c>
      <c r="R46" s="37">
        <f t="shared" si="2"/>
        <v>0</v>
      </c>
      <c r="S46" s="37">
        <v>0</v>
      </c>
      <c r="T46" s="35">
        <f t="shared" si="3"/>
        <v>0</v>
      </c>
      <c r="U46" s="34">
        <f t="shared" si="4"/>
        <v>0</v>
      </c>
      <c r="V46" s="19"/>
      <c r="W46" s="24">
        <f t="shared" ref="W46:W49" si="27">W45+10</f>
        <v>20</v>
      </c>
      <c r="X46" s="28">
        <f t="shared" si="24"/>
        <v>833.21616000000006</v>
      </c>
      <c r="Y46" s="30">
        <v>25964.137197562508</v>
      </c>
      <c r="Z46" s="58">
        <f t="shared" si="25"/>
        <v>4.3078898228502291</v>
      </c>
      <c r="AB46" s="24">
        <f t="shared" ref="AB46:AB49" si="28">AB45+10</f>
        <v>20</v>
      </c>
      <c r="AC46" s="29">
        <f t="shared" si="23"/>
        <v>26367.599999999999</v>
      </c>
      <c r="AD46" s="30">
        <v>28183.419665761281</v>
      </c>
      <c r="AE46" s="58">
        <f t="shared" si="26"/>
        <v>13.223598032880513</v>
      </c>
    </row>
    <row r="47" spans="1:31" x14ac:dyDescent="0.25">
      <c r="L47" s="9"/>
      <c r="N47" s="31">
        <f t="shared" si="5"/>
        <v>0</v>
      </c>
      <c r="O47" s="31"/>
      <c r="P47" s="35">
        <f t="shared" si="0"/>
        <v>0</v>
      </c>
      <c r="Q47" s="36">
        <f t="shared" si="1"/>
        <v>0</v>
      </c>
      <c r="R47" s="37">
        <f t="shared" si="2"/>
        <v>0</v>
      </c>
      <c r="S47" s="37">
        <v>0</v>
      </c>
      <c r="T47" s="35">
        <f t="shared" si="3"/>
        <v>0</v>
      </c>
      <c r="U47" s="34">
        <f t="shared" si="4"/>
        <v>0</v>
      </c>
      <c r="V47" s="19"/>
      <c r="W47" s="24">
        <f t="shared" si="27"/>
        <v>30</v>
      </c>
      <c r="X47" s="28">
        <f t="shared" si="24"/>
        <v>902.65084000000002</v>
      </c>
      <c r="Y47" s="30">
        <v>26500.293391415282</v>
      </c>
      <c r="Z47" s="58">
        <f t="shared" si="25"/>
        <v>6.4618347342753655</v>
      </c>
      <c r="AB47" s="24">
        <f t="shared" si="28"/>
        <v>30</v>
      </c>
      <c r="AC47" s="29">
        <f t="shared" si="23"/>
        <v>28564.9</v>
      </c>
      <c r="AD47" s="30">
        <v>29829.217093713443</v>
      </c>
      <c r="AE47" s="58">
        <f t="shared" si="26"/>
        <v>19.8353970493208</v>
      </c>
    </row>
    <row r="48" spans="1:31" x14ac:dyDescent="0.25">
      <c r="L48" s="9"/>
      <c r="N48" s="31">
        <f t="shared" si="5"/>
        <v>0</v>
      </c>
      <c r="O48" s="31"/>
      <c r="P48" s="35">
        <f t="shared" si="0"/>
        <v>0</v>
      </c>
      <c r="Q48" s="36">
        <f t="shared" si="1"/>
        <v>0</v>
      </c>
      <c r="R48" s="37">
        <f t="shared" si="2"/>
        <v>0</v>
      </c>
      <c r="S48" s="37">
        <f>IF(N48&gt;0,($F$15/$B$8)/((1+($F$11/100))^N48),0)</f>
        <v>0</v>
      </c>
      <c r="T48" s="35">
        <f t="shared" si="3"/>
        <v>0</v>
      </c>
      <c r="U48" s="34">
        <f t="shared" si="4"/>
        <v>0</v>
      </c>
      <c r="V48" s="19"/>
      <c r="W48" s="24">
        <f t="shared" si="27"/>
        <v>40</v>
      </c>
      <c r="X48" s="28">
        <f t="shared" si="24"/>
        <v>972.08551999999997</v>
      </c>
      <c r="Y48" s="30">
        <v>27036.449585268052</v>
      </c>
      <c r="Z48" s="58">
        <f t="shared" si="25"/>
        <v>8.6157796457004867</v>
      </c>
      <c r="AB48" s="24">
        <f t="shared" si="28"/>
        <v>40</v>
      </c>
      <c r="AC48" s="29">
        <f t="shared" si="23"/>
        <v>30762.199999999997</v>
      </c>
      <c r="AD48" s="30">
        <v>31475.014521665584</v>
      </c>
      <c r="AE48" s="58">
        <f t="shared" si="26"/>
        <v>26.447196065760998</v>
      </c>
    </row>
    <row r="49" spans="1:31" x14ac:dyDescent="0.25">
      <c r="A49" s="7"/>
      <c r="B49" s="77"/>
      <c r="L49" s="9"/>
      <c r="N49" s="32" t="s">
        <v>74</v>
      </c>
      <c r="O49" s="34">
        <f>SUM(O8:O48)</f>
        <v>1663.5413277804548</v>
      </c>
      <c r="P49" s="34">
        <f t="shared" ref="P49:S49" si="29">SUM(P8:P48)</f>
        <v>4653.3823628761056</v>
      </c>
      <c r="Q49" s="34">
        <f t="shared" si="29"/>
        <v>11096.412340993844</v>
      </c>
      <c r="R49" s="34">
        <f t="shared" si="29"/>
        <v>6456.8612443785296</v>
      </c>
      <c r="S49" s="34">
        <f t="shared" si="29"/>
        <v>2389.9857960975669</v>
      </c>
      <c r="T49" s="34">
        <f>SUM(T8:T48)</f>
        <v>-1368.358262269528</v>
      </c>
      <c r="U49" s="34">
        <f>SUM(U8:U48)</f>
        <v>24891.824809856971</v>
      </c>
      <c r="V49" s="19"/>
      <c r="W49" s="24">
        <f t="shared" si="27"/>
        <v>50</v>
      </c>
      <c r="X49" s="28">
        <f t="shared" si="24"/>
        <v>1041.5201999999999</v>
      </c>
      <c r="Y49" s="30">
        <v>27572.605779120822</v>
      </c>
      <c r="Z49" s="58">
        <f t="shared" si="25"/>
        <v>10.76972455712561</v>
      </c>
      <c r="AB49" s="24">
        <f t="shared" si="28"/>
        <v>50</v>
      </c>
      <c r="AC49" s="29">
        <f t="shared" si="23"/>
        <v>32959.5</v>
      </c>
      <c r="AD49" s="30">
        <v>33120.811949617739</v>
      </c>
      <c r="AE49" s="58">
        <f t="shared" si="26"/>
        <v>33.058995082201257</v>
      </c>
    </row>
    <row r="50" spans="1:31" x14ac:dyDescent="0.25">
      <c r="B50" s="46"/>
      <c r="L50" s="9"/>
      <c r="R50" s="10">
        <f>SUM(R49:S49)</f>
        <v>8846.8470404760956</v>
      </c>
    </row>
    <row r="51" spans="1:31" x14ac:dyDescent="0.25">
      <c r="L51" s="9"/>
      <c r="W51" s="107" t="s">
        <v>193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193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7.2499999999999995E-2</v>
      </c>
      <c r="Y53" s="26">
        <f>U49</f>
        <v>24891.824809856971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0.10874999999999999</v>
      </c>
      <c r="Y54" s="30">
        <f t="dataTable" ref="Y54:Y64" dt2D="0" dtr="0" r1="J9" ca="1"/>
        <v>30440.030980353895</v>
      </c>
      <c r="Z54" s="58">
        <f>100*((Y54-$Y$59)/$Y$59)</f>
        <v>22.289270525075676</v>
      </c>
    </row>
    <row r="55" spans="1:31" x14ac:dyDescent="0.25">
      <c r="O55" s="1" t="s">
        <v>104</v>
      </c>
      <c r="P55" s="10">
        <f>SUM(O49:P49)</f>
        <v>6316.9236906565602</v>
      </c>
      <c r="Q55" s="1" t="s">
        <v>3</v>
      </c>
      <c r="R55" s="56">
        <f>P55/$F$41</f>
        <v>2.8748571841153054E-2</v>
      </c>
      <c r="S55" s="1" t="s">
        <v>58</v>
      </c>
      <c r="W55" s="24">
        <f t="shared" si="30"/>
        <v>-40</v>
      </c>
      <c r="X55" s="28">
        <f t="shared" ref="X55:X64" si="31">$X$53*(1+(-W55/100))</f>
        <v>0.10149999999999999</v>
      </c>
      <c r="Y55" s="30">
        <v>29330.389746254514</v>
      </c>
      <c r="Z55" s="58">
        <f t="shared" ref="Z55:Z64" si="32">100*((Y55-$Y$59)/$Y$59)</f>
        <v>17.831416420060552</v>
      </c>
    </row>
    <row r="56" spans="1:31" x14ac:dyDescent="0.25">
      <c r="O56" s="1" t="s">
        <v>97</v>
      </c>
      <c r="P56" s="52">
        <f>SUM(Q49:Q49)</f>
        <v>11096.412340993844</v>
      </c>
      <c r="Q56" s="1" t="s">
        <v>3</v>
      </c>
      <c r="R56" s="56">
        <f>P56/$F$41</f>
        <v>5.0500215450752485E-2</v>
      </c>
      <c r="S56" s="1" t="s">
        <v>58</v>
      </c>
      <c r="T56" s="51"/>
      <c r="W56" s="24">
        <f t="shared" si="30"/>
        <v>-30</v>
      </c>
      <c r="X56" s="28">
        <f t="shared" si="31"/>
        <v>9.425E-2</v>
      </c>
      <c r="Y56" s="30">
        <v>28220.748512155129</v>
      </c>
      <c r="Z56" s="58">
        <f t="shared" si="32"/>
        <v>13.373562315045417</v>
      </c>
    </row>
    <row r="57" spans="1:31" x14ac:dyDescent="0.25">
      <c r="O57" s="1" t="s">
        <v>114</v>
      </c>
      <c r="P57" s="52">
        <f>SUM(R49:S49)</f>
        <v>8846.8470404760956</v>
      </c>
      <c r="Q57" s="1" t="s">
        <v>3</v>
      </c>
      <c r="R57" s="56">
        <f>P57/$F$41</f>
        <v>4.0262353982051136E-2</v>
      </c>
      <c r="S57" s="1" t="s">
        <v>58</v>
      </c>
      <c r="T57" s="51"/>
      <c r="W57" s="24">
        <f t="shared" si="30"/>
        <v>-20</v>
      </c>
      <c r="X57" s="28">
        <f t="shared" si="31"/>
        <v>8.6999999999999994E-2</v>
      </c>
      <c r="Y57" s="30">
        <v>27111.107278055741</v>
      </c>
      <c r="Z57" s="58">
        <f t="shared" si="32"/>
        <v>8.9157082100302691</v>
      </c>
    </row>
    <row r="58" spans="1:31" x14ac:dyDescent="0.25">
      <c r="O58" s="1" t="s">
        <v>106</v>
      </c>
      <c r="P58" s="52">
        <f>T49</f>
        <v>-1368.358262269528</v>
      </c>
      <c r="Q58" s="1" t="s">
        <v>3</v>
      </c>
      <c r="R58" s="56">
        <f>P58/$F$41</f>
        <v>-6.2274530663520141E-3</v>
      </c>
      <c r="S58" s="1" t="s">
        <v>58</v>
      </c>
      <c r="T58" s="51"/>
      <c r="W58" s="24">
        <f>W59-10</f>
        <v>-10</v>
      </c>
      <c r="X58" s="28">
        <f t="shared" si="31"/>
        <v>7.9750000000000001E-2</v>
      </c>
      <c r="Y58" s="30">
        <v>26001.466043956359</v>
      </c>
      <c r="Z58" s="58">
        <f t="shared" si="32"/>
        <v>4.4578541050151497</v>
      </c>
    </row>
    <row r="59" spans="1:31" x14ac:dyDescent="0.25">
      <c r="T59" s="51"/>
      <c r="W59" s="60">
        <v>0</v>
      </c>
      <c r="X59" s="64">
        <f t="shared" si="31"/>
        <v>7.2499999999999995E-2</v>
      </c>
      <c r="Y59" s="62">
        <v>24891.824809856971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24891.824809856971</v>
      </c>
      <c r="Q60" s="12" t="s">
        <v>3</v>
      </c>
      <c r="R60" s="57">
        <f>SUM(R55:R58)</f>
        <v>0.11328368820760466</v>
      </c>
      <c r="S60" s="12" t="s">
        <v>58</v>
      </c>
      <c r="T60" s="51"/>
      <c r="W60" s="24">
        <f>W59+10</f>
        <v>10</v>
      </c>
      <c r="X60" s="28">
        <f t="shared" si="31"/>
        <v>6.5250000000000002E-2</v>
      </c>
      <c r="Y60" s="30">
        <v>23782.183575757586</v>
      </c>
      <c r="Z60" s="58">
        <f t="shared" si="32"/>
        <v>-4.4578541050151346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5.7999999999999996E-2</v>
      </c>
      <c r="Y61" s="30">
        <v>22672.542341658205</v>
      </c>
      <c r="Z61" s="58">
        <f t="shared" si="32"/>
        <v>-8.9157082100302549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5.0749999999999997E-2</v>
      </c>
      <c r="Y62" s="30">
        <v>21562.901107558817</v>
      </c>
      <c r="Z62" s="58">
        <f t="shared" si="32"/>
        <v>-13.373562315045403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4.3499999999999997E-2</v>
      </c>
      <c r="Y63" s="30">
        <v>20453.259873459436</v>
      </c>
      <c r="Z63" s="58">
        <f t="shared" si="32"/>
        <v>-17.831416420060524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3.6249999999999998E-2</v>
      </c>
      <c r="Y64" s="30">
        <v>19343.618639360055</v>
      </c>
      <c r="Z64" s="58">
        <f t="shared" si="32"/>
        <v>-22.289270525075644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7134-46C4-421E-A509-45F0FB6B94C1}">
  <dimension ref="A2:U45"/>
  <sheetViews>
    <sheetView topLeftCell="K10" zoomScale="85" zoomScaleNormal="73" workbookViewId="0">
      <selection activeCell="AB11" sqref="AB11"/>
    </sheetView>
  </sheetViews>
  <sheetFormatPr defaultRowHeight="15" x14ac:dyDescent="0.25"/>
  <cols>
    <col min="1" max="1" width="22" style="115" customWidth="1"/>
    <col min="2" max="2" width="21.7109375" style="115" customWidth="1"/>
    <col min="3" max="8" width="19.140625" style="116" customWidth="1"/>
    <col min="9" max="9" width="10.140625" style="115" customWidth="1"/>
    <col min="10" max="14" width="9.140625" style="115"/>
    <col min="15" max="15" width="21.140625" style="115" customWidth="1"/>
    <col min="16" max="20" width="18.42578125" style="115" customWidth="1"/>
    <col min="21" max="16384" width="9.140625" style="115"/>
  </cols>
  <sheetData>
    <row r="2" spans="1:21" ht="18.75" x14ac:dyDescent="0.3">
      <c r="A2" s="114" t="s">
        <v>192</v>
      </c>
      <c r="B2" s="115" t="s">
        <v>183</v>
      </c>
      <c r="O2" s="117" t="s">
        <v>184</v>
      </c>
    </row>
    <row r="3" spans="1:21" x14ac:dyDescent="0.25">
      <c r="B3" s="136" t="s">
        <v>196</v>
      </c>
      <c r="C3" s="137" t="s">
        <v>195</v>
      </c>
      <c r="D3" s="137"/>
      <c r="E3" s="137"/>
      <c r="F3" s="137"/>
      <c r="G3" s="137"/>
      <c r="H3" s="129"/>
      <c r="O3" s="136" t="s">
        <v>196</v>
      </c>
      <c r="P3" s="138" t="s">
        <v>195</v>
      </c>
      <c r="Q3" s="138"/>
      <c r="R3" s="138"/>
      <c r="S3" s="138"/>
      <c r="T3" s="119"/>
      <c r="U3" s="120"/>
    </row>
    <row r="4" spans="1:21" x14ac:dyDescent="0.25">
      <c r="B4" s="136"/>
      <c r="C4" s="119" t="s">
        <v>186</v>
      </c>
      <c r="D4" s="119" t="s">
        <v>187</v>
      </c>
      <c r="E4" s="119" t="s">
        <v>40</v>
      </c>
      <c r="F4" s="119" t="s">
        <v>188</v>
      </c>
      <c r="G4" s="119" t="s">
        <v>189</v>
      </c>
      <c r="H4" s="119" t="str">
        <f>'E-Bus VN'!AP21</f>
        <v>Energy Efficiency</v>
      </c>
      <c r="O4" s="136"/>
      <c r="P4" s="118" t="s">
        <v>186</v>
      </c>
      <c r="Q4" s="118" t="s">
        <v>55</v>
      </c>
      <c r="R4" s="118" t="s">
        <v>189</v>
      </c>
      <c r="S4" s="118" t="s">
        <v>188</v>
      </c>
      <c r="T4" s="118" t="str">
        <f>'ICE-Bus VN'!AL21</f>
        <v>Energy Efficiency</v>
      </c>
    </row>
    <row r="5" spans="1:21" x14ac:dyDescent="0.25">
      <c r="B5" s="121">
        <f>'E-Bus VN'!AJ22</f>
        <v>-50</v>
      </c>
      <c r="C5" s="122">
        <f>'E-Bus VN'!AK22</f>
        <v>-41.317219373008648</v>
      </c>
      <c r="D5" s="122">
        <f>'E-Bus VN'!AL22</f>
        <v>-6.4774955115433617</v>
      </c>
      <c r="E5" s="122">
        <f>'E-Bus VN'!AM22</f>
        <v>-4.6900500238037353</v>
      </c>
      <c r="F5" s="122">
        <f>'E-Bus VN'!AN22</f>
        <v>-17.473472175419065</v>
      </c>
      <c r="G5" s="122">
        <f>'E-Bus VN'!AO22</f>
        <v>-10.995976663875675</v>
      </c>
      <c r="H5" s="122">
        <f>'E-Bus VN'!AP22</f>
        <v>6.4774955115434061</v>
      </c>
      <c r="O5" s="121">
        <f>'ICE-Bus VN'!AG22</f>
        <v>-50</v>
      </c>
      <c r="P5" s="123">
        <f>'ICE-Bus VN'!AH22</f>
        <v>-25.139178309761277</v>
      </c>
      <c r="Q5" s="123">
        <f>'ICE-Bus VN'!AI22</f>
        <v>-18.553540899633468</v>
      </c>
      <c r="R5" s="123">
        <f>'ICE-Bus VN'!AJ22</f>
        <v>-8.7307936843104592</v>
      </c>
      <c r="S5" s="123">
        <f>'ICE-Bus VN'!AK22</f>
        <v>-27.284334583943938</v>
      </c>
      <c r="T5" s="123">
        <f>'ICE-Bus VN'!AL22</f>
        <v>18.553540899633475</v>
      </c>
    </row>
    <row r="6" spans="1:21" x14ac:dyDescent="0.25">
      <c r="B6" s="121">
        <f>'E-Bus VN'!AJ23</f>
        <v>-40</v>
      </c>
      <c r="C6" s="122">
        <f>'E-Bus VN'!AK23</f>
        <v>-33.053775498406921</v>
      </c>
      <c r="D6" s="122">
        <f>'E-Bus VN'!AL23</f>
        <v>-5.1819964092346948</v>
      </c>
      <c r="E6" s="122">
        <f>'E-Bus VN'!AM23</f>
        <v>-3.7520400190429881</v>
      </c>
      <c r="F6" s="122">
        <f>'E-Bus VN'!AN23</f>
        <v>-13.97877774033525</v>
      </c>
      <c r="G6" s="122">
        <f>'E-Bus VN'!AO23</f>
        <v>-8.7967813311005258</v>
      </c>
      <c r="H6" s="122">
        <f>'E-Bus VN'!AP23</f>
        <v>5.1819964092347393</v>
      </c>
      <c r="O6" s="121">
        <f>'ICE-Bus VN'!AG23</f>
        <v>-40</v>
      </c>
      <c r="P6" s="123">
        <f>'ICE-Bus VN'!AH23</f>
        <v>-20.111342647809028</v>
      </c>
      <c r="Q6" s="123">
        <f>'ICE-Bus VN'!AI23</f>
        <v>-14.842832719706795</v>
      </c>
      <c r="R6" s="123">
        <f>'ICE-Bus VN'!AJ23</f>
        <v>-6.9846349474483596</v>
      </c>
      <c r="S6" s="123">
        <f>'ICE-Bus VN'!AK23</f>
        <v>-21.827467667155155</v>
      </c>
      <c r="T6" s="123">
        <f>'ICE-Bus VN'!AL23</f>
        <v>14.842832719706745</v>
      </c>
    </row>
    <row r="7" spans="1:21" x14ac:dyDescent="0.25">
      <c r="B7" s="121">
        <f>'E-Bus VN'!AJ24</f>
        <v>-30</v>
      </c>
      <c r="C7" s="122">
        <f>'E-Bus VN'!AK24</f>
        <v>-24.790331623805191</v>
      </c>
      <c r="D7" s="122">
        <f>'E-Bus VN'!AL24</f>
        <v>-3.8864973069260138</v>
      </c>
      <c r="E7" s="122">
        <f>'E-Bus VN'!AM24</f>
        <v>-2.8140300142822561</v>
      </c>
      <c r="F7" s="122">
        <f>'E-Bus VN'!AN24</f>
        <v>-10.484083305251449</v>
      </c>
      <c r="G7" s="122">
        <f>'E-Bus VN'!AO24</f>
        <v>-6.5975859983253908</v>
      </c>
      <c r="H7" s="122">
        <f>'E-Bus VN'!AP24</f>
        <v>3.8864973069260289</v>
      </c>
      <c r="O7" s="121">
        <f>'ICE-Bus VN'!AG24</f>
        <v>-30</v>
      </c>
      <c r="P7" s="123">
        <f>'ICE-Bus VN'!AH24</f>
        <v>-15.083506985856779</v>
      </c>
      <c r="Q7" s="123">
        <f>'ICE-Bus VN'!AI24</f>
        <v>-11.132124539780113</v>
      </c>
      <c r="R7" s="123">
        <f>'ICE-Bus VN'!AJ24</f>
        <v>-5.238476210586299</v>
      </c>
      <c r="S7" s="123">
        <f>'ICE-Bus VN'!AK24</f>
        <v>-16.370600750366343</v>
      </c>
      <c r="T7" s="123">
        <f>'ICE-Bus VN'!AL24</f>
        <v>11.132124539780055</v>
      </c>
    </row>
    <row r="8" spans="1:21" x14ac:dyDescent="0.25">
      <c r="B8" s="121">
        <f>'E-Bus VN'!AJ25</f>
        <v>-20</v>
      </c>
      <c r="C8" s="122">
        <f>'E-Bus VN'!AK25</f>
        <v>-16.526887749203453</v>
      </c>
      <c r="D8" s="122">
        <f>'E-Bus VN'!AL25</f>
        <v>-2.5909982046173328</v>
      </c>
      <c r="E8" s="122">
        <f>'E-Bus VN'!AM25</f>
        <v>-1.8760200095214792</v>
      </c>
      <c r="F8" s="122">
        <f>'E-Bus VN'!AN25</f>
        <v>-6.9893888701676179</v>
      </c>
      <c r="G8" s="122">
        <f>'E-Bus VN'!AO25</f>
        <v>-4.39839066555027</v>
      </c>
      <c r="H8" s="122">
        <f>'E-Bus VN'!AP25</f>
        <v>2.5909982046173621</v>
      </c>
      <c r="O8" s="121">
        <f>'ICE-Bus VN'!AG25</f>
        <v>-20</v>
      </c>
      <c r="P8" s="123">
        <f>'ICE-Bus VN'!AH25</f>
        <v>-10.055671323904539</v>
      </c>
      <c r="Q8" s="123">
        <f>'ICE-Bus VN'!AI25</f>
        <v>-7.4214163598534029</v>
      </c>
      <c r="R8" s="123">
        <f>'ICE-Bus VN'!AJ25</f>
        <v>-3.4923174737241998</v>
      </c>
      <c r="S8" s="123">
        <f>'ICE-Bus VN'!AK25</f>
        <v>-10.913733833577561</v>
      </c>
      <c r="T8" s="123">
        <f>'ICE-Bus VN'!AL25</f>
        <v>7.4214163598533816</v>
      </c>
    </row>
    <row r="9" spans="1:21" x14ac:dyDescent="0.25">
      <c r="B9" s="121">
        <f>'E-Bus VN'!AJ26</f>
        <v>-10</v>
      </c>
      <c r="C9" s="122">
        <f>'E-Bus VN'!AK26</f>
        <v>-8.2634438746017036</v>
      </c>
      <c r="D9" s="122">
        <f>'E-Bus VN'!AL26</f>
        <v>-1.2954991023086515</v>
      </c>
      <c r="E9" s="122">
        <f>'E-Bus VN'!AM26</f>
        <v>-0.93801000476074703</v>
      </c>
      <c r="F9" s="122">
        <f>'E-Bus VN'!AN26</f>
        <v>-3.4946944350837867</v>
      </c>
      <c r="G9" s="122">
        <f>'E-Bus VN'!AO26</f>
        <v>-2.1991953327751204</v>
      </c>
      <c r="H9" s="122">
        <f>'E-Bus VN'!AP26</f>
        <v>1.2954991023086959</v>
      </c>
      <c r="O9" s="121">
        <f>'ICE-Bus VN'!AG26</f>
        <v>-10</v>
      </c>
      <c r="P9" s="123">
        <f>'ICE-Bus VN'!AH26</f>
        <v>-5.02783566195225</v>
      </c>
      <c r="Q9" s="123">
        <f>'ICE-Bus VN'!AI26</f>
        <v>-3.7107081799267112</v>
      </c>
      <c r="R9" s="123">
        <f>'ICE-Bus VN'!AJ26</f>
        <v>-1.7461587368620999</v>
      </c>
      <c r="S9" s="123">
        <f>'ICE-Bus VN'!AK26</f>
        <v>-5.4568669167888109</v>
      </c>
      <c r="T9" s="123">
        <f>'ICE-Bus VN'!AL26</f>
        <v>3.7107081799266717</v>
      </c>
    </row>
    <row r="10" spans="1:21" x14ac:dyDescent="0.25">
      <c r="B10" s="121">
        <f>'E-Bus VN'!AJ27</f>
        <v>0</v>
      </c>
      <c r="C10" s="122">
        <f>'E-Bus VN'!AK27</f>
        <v>0</v>
      </c>
      <c r="D10" s="122">
        <f>'E-Bus VN'!AL27</f>
        <v>0</v>
      </c>
      <c r="E10" s="122">
        <f>'E-Bus VN'!AM27</f>
        <v>0</v>
      </c>
      <c r="F10" s="122">
        <f>'E-Bus VN'!AN27</f>
        <v>0</v>
      </c>
      <c r="G10" s="122">
        <f>'E-Bus VN'!AO27</f>
        <v>1.4860012938056297E-14</v>
      </c>
      <c r="H10" s="122">
        <f>'E-Bus VN'!AP27</f>
        <v>0</v>
      </c>
      <c r="O10" s="121">
        <f>'ICE-Bus VN'!AG27</f>
        <v>0</v>
      </c>
      <c r="P10" s="123">
        <f>'ICE-Bus VN'!AH27</f>
        <v>0</v>
      </c>
      <c r="Q10" s="123">
        <f>'ICE-Bus VN'!AI27</f>
        <v>0</v>
      </c>
      <c r="R10" s="123">
        <f>'ICE-Bus VN'!AJ27</f>
        <v>0</v>
      </c>
      <c r="S10" s="123">
        <f>'ICE-Bus VN'!AK27</f>
        <v>0</v>
      </c>
      <c r="T10" s="123">
        <f>'ICE-Bus VN'!AL27</f>
        <v>0</v>
      </c>
    </row>
    <row r="11" spans="1:21" x14ac:dyDescent="0.25">
      <c r="B11" s="121">
        <f>'E-Bus VN'!AJ28</f>
        <v>10</v>
      </c>
      <c r="C11" s="122">
        <f>'E-Bus VN'!AK28</f>
        <v>8.263443874601748</v>
      </c>
      <c r="D11" s="122">
        <f>'E-Bus VN'!AL28</f>
        <v>1.2954991023086959</v>
      </c>
      <c r="E11" s="122">
        <f>'E-Bus VN'!AM28</f>
        <v>0.9380100047607618</v>
      </c>
      <c r="F11" s="122">
        <f>'E-Bus VN'!AN28</f>
        <v>3.4946944350838458</v>
      </c>
      <c r="G11" s="122">
        <f>'E-Bus VN'!AO28</f>
        <v>2.1991953327751794</v>
      </c>
      <c r="H11" s="122">
        <f>'E-Bus VN'!AP28</f>
        <v>-1.2954991023086515</v>
      </c>
      <c r="O11" s="121">
        <f>'ICE-Bus VN'!AG28</f>
        <v>10</v>
      </c>
      <c r="P11" s="123">
        <f>'ICE-Bus VN'!AH28</f>
        <v>5.02783566195225</v>
      </c>
      <c r="Q11" s="123">
        <f>'ICE-Bus VN'!AI28</f>
        <v>3.7107081799266717</v>
      </c>
      <c r="R11" s="123">
        <f>'ICE-Bus VN'!AJ28</f>
        <v>1.7461587368620599</v>
      </c>
      <c r="S11" s="123">
        <f>'ICE-Bus VN'!AK28</f>
        <v>5.4568669167887913</v>
      </c>
      <c r="T11" s="123">
        <f>'ICE-Bus VN'!AL28</f>
        <v>-3.7107081799267112</v>
      </c>
    </row>
    <row r="12" spans="1:21" x14ac:dyDescent="0.25">
      <c r="B12" s="121">
        <f>'E-Bus VN'!AJ29</f>
        <v>20</v>
      </c>
      <c r="C12" s="122">
        <f>'E-Bus VN'!AK29</f>
        <v>16.526887749203453</v>
      </c>
      <c r="D12" s="122">
        <f>'E-Bus VN'!AL29</f>
        <v>2.5909982046173621</v>
      </c>
      <c r="E12" s="122">
        <f>'E-Bus VN'!AM29</f>
        <v>1.8760200095214941</v>
      </c>
      <c r="F12" s="122">
        <f>'E-Bus VN'!AN29</f>
        <v>6.9893888701676179</v>
      </c>
      <c r="G12" s="122">
        <f>'E-Bus VN'!AO29</f>
        <v>4.3983906655503002</v>
      </c>
      <c r="H12" s="122">
        <f>'E-Bus VN'!AP29</f>
        <v>-2.5909982046173328</v>
      </c>
      <c r="O12" s="121">
        <f>'ICE-Bus VN'!AG29</f>
        <v>20</v>
      </c>
      <c r="P12" s="123">
        <f>'ICE-Bus VN'!AH29</f>
        <v>10.055671323904479</v>
      </c>
      <c r="Q12" s="123">
        <f>'ICE-Bus VN'!AI29</f>
        <v>7.4214163598533816</v>
      </c>
      <c r="R12" s="123">
        <f>'ICE-Bus VN'!AJ29</f>
        <v>3.4923174737241593</v>
      </c>
      <c r="S12" s="123">
        <f>'ICE-Bus VN'!AK29</f>
        <v>10.913733833577561</v>
      </c>
      <c r="T12" s="123">
        <f>'ICE-Bus VN'!AL29</f>
        <v>-7.4214163598534029</v>
      </c>
    </row>
    <row r="13" spans="1:21" x14ac:dyDescent="0.25">
      <c r="B13" s="121">
        <f>'E-Bus VN'!AJ30</f>
        <v>30</v>
      </c>
      <c r="C13" s="122">
        <f>'E-Bus VN'!AK30</f>
        <v>24.790331623805233</v>
      </c>
      <c r="D13" s="122">
        <f>'E-Bus VN'!AL30</f>
        <v>3.8864973069260289</v>
      </c>
      <c r="E13" s="122">
        <f>'E-Bus VN'!AM30</f>
        <v>2.8140300142822561</v>
      </c>
      <c r="F13" s="122">
        <f>'E-Bus VN'!AN30</f>
        <v>10.484083305251449</v>
      </c>
      <c r="G13" s="122">
        <f>'E-Bus VN'!AO30</f>
        <v>6.5975859983254352</v>
      </c>
      <c r="H13" s="122">
        <f>'E-Bus VN'!AP30</f>
        <v>-3.8864973069260138</v>
      </c>
      <c r="O13" s="121">
        <f>'ICE-Bus VN'!AG30</f>
        <v>30</v>
      </c>
      <c r="P13" s="123">
        <f>'ICE-Bus VN'!AH30</f>
        <v>15.083506985856749</v>
      </c>
      <c r="Q13" s="123">
        <f>'ICE-Bus VN'!AI30</f>
        <v>11.132124539780055</v>
      </c>
      <c r="R13" s="123">
        <f>'ICE-Bus VN'!AJ30</f>
        <v>5.2384762105862599</v>
      </c>
      <c r="S13" s="123">
        <f>'ICE-Bus VN'!AK30</f>
        <v>16.370600750366311</v>
      </c>
      <c r="T13" s="123">
        <f>'ICE-Bus VN'!AL30</f>
        <v>-11.132124539780113</v>
      </c>
    </row>
    <row r="14" spans="1:21" x14ac:dyDescent="0.25">
      <c r="B14" s="121">
        <f>'E-Bus VN'!AJ31</f>
        <v>40</v>
      </c>
      <c r="C14" s="122">
        <f>'E-Bus VN'!AK31</f>
        <v>33.053775498406985</v>
      </c>
      <c r="D14" s="122">
        <f>'E-Bus VN'!AL31</f>
        <v>5.1819964092347393</v>
      </c>
      <c r="E14" s="122">
        <f>'E-Bus VN'!AM31</f>
        <v>3.7520400190429881</v>
      </c>
      <c r="F14" s="122">
        <f>'E-Bus VN'!AN31</f>
        <v>13.97877774033528</v>
      </c>
      <c r="G14" s="122">
        <f>'E-Bus VN'!AO31</f>
        <v>8.7967813311005845</v>
      </c>
      <c r="H14" s="122">
        <f>'E-Bus VN'!AP31</f>
        <v>-5.1819964092346948</v>
      </c>
      <c r="O14" s="121">
        <f>'ICE-Bus VN'!AG31</f>
        <v>40</v>
      </c>
      <c r="P14" s="123">
        <f>'ICE-Bus VN'!AH31</f>
        <v>20.111342647809</v>
      </c>
      <c r="Q14" s="123">
        <f>'ICE-Bus VN'!AI31</f>
        <v>14.842832719706745</v>
      </c>
      <c r="R14" s="123">
        <f>'ICE-Bus VN'!AJ31</f>
        <v>6.98463494744834</v>
      </c>
      <c r="S14" s="123">
        <f>'ICE-Bus VN'!AK31</f>
        <v>21.827467667155144</v>
      </c>
      <c r="T14" s="123">
        <f>'ICE-Bus VN'!AL31</f>
        <v>-14.842832719706795</v>
      </c>
    </row>
    <row r="15" spans="1:21" x14ac:dyDescent="0.25">
      <c r="B15" s="121">
        <f>'E-Bus VN'!AJ32</f>
        <v>50</v>
      </c>
      <c r="C15" s="122">
        <f>'E-Bus VN'!AK32</f>
        <v>41.317219373008747</v>
      </c>
      <c r="D15" s="122">
        <f>'E-Bus VN'!AL32</f>
        <v>6.4774955115434061</v>
      </c>
      <c r="E15" s="122">
        <f>'E-Bus VN'!AM32</f>
        <v>4.6900500238037797</v>
      </c>
      <c r="F15" s="122">
        <f>'E-Bus VN'!AN32</f>
        <v>17.473472175419094</v>
      </c>
      <c r="G15" s="122">
        <f>'E-Bus VN'!AO32</f>
        <v>10.995976663875705</v>
      </c>
      <c r="H15" s="122">
        <f>'E-Bus VN'!AP32</f>
        <v>-6.4774955115433617</v>
      </c>
      <c r="O15" s="121">
        <f>'ICE-Bus VN'!AG32</f>
        <v>50</v>
      </c>
      <c r="P15" s="123">
        <f>'ICE-Bus VN'!AH32</f>
        <v>25.139178309761267</v>
      </c>
      <c r="Q15" s="123">
        <f>'ICE-Bus VN'!AI32</f>
        <v>18.553540899633475</v>
      </c>
      <c r="R15" s="123">
        <f>'ICE-Bus VN'!AJ32</f>
        <v>8.7307936843104397</v>
      </c>
      <c r="S15" s="123">
        <f>'ICE-Bus VN'!AK32</f>
        <v>27.284334583943874</v>
      </c>
      <c r="T15" s="123">
        <f>'ICE-Bus VN'!AL32</f>
        <v>-18.553540899633468</v>
      </c>
    </row>
    <row r="17" spans="2:20" x14ac:dyDescent="0.25">
      <c r="B17" s="117" t="s">
        <v>190</v>
      </c>
      <c r="O17" s="117" t="s">
        <v>191</v>
      </c>
    </row>
    <row r="18" spans="2:20" x14ac:dyDescent="0.25">
      <c r="B18" s="136" t="s">
        <v>196</v>
      </c>
      <c r="C18" s="137" t="s">
        <v>195</v>
      </c>
      <c r="D18" s="137"/>
      <c r="E18" s="137"/>
      <c r="F18" s="137"/>
      <c r="G18" s="137"/>
      <c r="H18" s="129"/>
      <c r="O18" s="136" t="s">
        <v>196</v>
      </c>
      <c r="P18" s="138" t="s">
        <v>195</v>
      </c>
      <c r="Q18" s="138"/>
      <c r="R18" s="138"/>
      <c r="S18" s="138"/>
      <c r="T18" s="119"/>
    </row>
    <row r="19" spans="2:20" x14ac:dyDescent="0.25">
      <c r="B19" s="136"/>
      <c r="C19" s="119" t="s">
        <v>186</v>
      </c>
      <c r="D19" s="119" t="s">
        <v>187</v>
      </c>
      <c r="E19" s="119" t="s">
        <v>40</v>
      </c>
      <c r="F19" s="119" t="s">
        <v>188</v>
      </c>
      <c r="G19" s="119" t="s">
        <v>189</v>
      </c>
      <c r="H19" s="119" t="str">
        <f>'E-Truck VN'!AP21</f>
        <v>Energy Efficiency</v>
      </c>
      <c r="O19" s="136"/>
      <c r="P19" s="118" t="s">
        <v>186</v>
      </c>
      <c r="Q19" s="118" t="s">
        <v>55</v>
      </c>
      <c r="R19" s="118" t="s">
        <v>189</v>
      </c>
      <c r="S19" s="118" t="s">
        <v>188</v>
      </c>
      <c r="T19" s="118" t="str">
        <f>'ICE-Truck VN'!AL21</f>
        <v>Energy Efficiency</v>
      </c>
    </row>
    <row r="20" spans="2:20" x14ac:dyDescent="0.25">
      <c r="B20" s="121">
        <f>'E-Truck VN'!AJ22</f>
        <v>-50</v>
      </c>
      <c r="C20" s="122">
        <f>'E-Truck VN'!AK22</f>
        <v>-36.957477823010329</v>
      </c>
      <c r="D20" s="122">
        <f>'E-Truck VN'!AL22</f>
        <v>-5.3768514753835337</v>
      </c>
      <c r="E20" s="122">
        <f>'E-Truck VN'!AM22</f>
        <v>-5.2306235180329699</v>
      </c>
      <c r="F20" s="122">
        <f>'E-Truck VN'!AN22</f>
        <v>-26.97277957215795</v>
      </c>
      <c r="G20" s="122">
        <f>'E-Truck VN'!AO22</f>
        <v>-8.1437320431647748</v>
      </c>
      <c r="H20" s="122">
        <f>'E-Truck VN'!AP22</f>
        <v>5.3768514753835337</v>
      </c>
      <c r="O20" s="121">
        <f>'ICE-Truck VN'!AG22</f>
        <v>-50</v>
      </c>
      <c r="P20" s="123">
        <f>'ICE-Truck VN'!AH22</f>
        <v>-8.1868050173171163</v>
      </c>
      <c r="Q20" s="123">
        <f>'ICE-Truck VN'!AI22</f>
        <v>-20.388210702551504</v>
      </c>
      <c r="R20" s="123">
        <f>'ICE-Truck VN'!AJ22</f>
        <v>-14.125986772679463</v>
      </c>
      <c r="S20" s="123">
        <f>'ICE-Truck VN'!AK22</f>
        <v>-34.514197475230965</v>
      </c>
      <c r="T20" s="123">
        <f>'ICE-Truck VN'!AL22</f>
        <v>20.388210702551504</v>
      </c>
    </row>
    <row r="21" spans="2:20" x14ac:dyDescent="0.25">
      <c r="B21" s="121">
        <f>'E-Truck VN'!AJ23</f>
        <v>-40</v>
      </c>
      <c r="C21" s="122">
        <f>'E-Truck VN'!AK23</f>
        <v>-29.565982258408262</v>
      </c>
      <c r="D21" s="122">
        <f>'E-Truck VN'!AL23</f>
        <v>-4.3014811803068298</v>
      </c>
      <c r="E21" s="122">
        <f>'E-Truck VN'!AM23</f>
        <v>-4.1844988144263597</v>
      </c>
      <c r="F21" s="122">
        <f>'E-Truck VN'!AN23</f>
        <v>-18.063452542544187</v>
      </c>
      <c r="G21" s="122">
        <f>'E-Truck VN'!AO23</f>
        <v>-6.5149856345317936</v>
      </c>
      <c r="H21" s="122">
        <f>'E-Truck VN'!AP23</f>
        <v>4.3014811803068467</v>
      </c>
      <c r="O21" s="121">
        <f>'ICE-Truck VN'!AG23</f>
        <v>-40</v>
      </c>
      <c r="P21" s="123">
        <f>'ICE-Truck VN'!AH23</f>
        <v>-6.5494440138536918</v>
      </c>
      <c r="Q21" s="123">
        <f>'ICE-Truck VN'!AI23</f>
        <v>-16.310568562041205</v>
      </c>
      <c r="R21" s="123">
        <f>'ICE-Truck VN'!AJ23</f>
        <v>-11.300789418143566</v>
      </c>
      <c r="S21" s="123">
        <f>'ICE-Truck VN'!AK23</f>
        <v>-27.611357980184771</v>
      </c>
      <c r="T21" s="123">
        <f>'ICE-Truck VN'!AL23</f>
        <v>16.31056856204119</v>
      </c>
    </row>
    <row r="22" spans="2:20" x14ac:dyDescent="0.25">
      <c r="B22" s="121">
        <f>'E-Truck VN'!AJ24</f>
        <v>-30</v>
      </c>
      <c r="C22" s="122">
        <f>'E-Truck VN'!AK24</f>
        <v>-22.174486693806195</v>
      </c>
      <c r="D22" s="122">
        <f>'E-Truck VN'!AL24</f>
        <v>-3.2261108852301099</v>
      </c>
      <c r="E22" s="122">
        <f>'E-Truck VN'!AM24</f>
        <v>-3.138374110819766</v>
      </c>
      <c r="F22" s="122">
        <f>'E-Truck VN'!AN24</f>
        <v>-15.049075322539304</v>
      </c>
      <c r="G22" s="122">
        <f>'E-Truck VN'!AO24</f>
        <v>-4.8862392258988621</v>
      </c>
      <c r="H22" s="122">
        <f>'E-Truck VN'!AP24</f>
        <v>3.2261108852301437</v>
      </c>
      <c r="O22" s="121">
        <f>'ICE-Truck VN'!AG24</f>
        <v>-30</v>
      </c>
      <c r="P22" s="123">
        <f>'ICE-Truck VN'!AH24</f>
        <v>-4.9120830103902691</v>
      </c>
      <c r="Q22" s="123">
        <f>'ICE-Truck VN'!AI24</f>
        <v>-12.232926421530891</v>
      </c>
      <c r="R22" s="123">
        <f>'ICE-Truck VN'!AJ24</f>
        <v>-8.4755920636076834</v>
      </c>
      <c r="S22" s="123">
        <f>'ICE-Truck VN'!AK24</f>
        <v>-20.70851848513859</v>
      </c>
      <c r="T22" s="123">
        <f>'ICE-Truck VN'!AL24</f>
        <v>12.232926421530909</v>
      </c>
    </row>
    <row r="23" spans="2:20" x14ac:dyDescent="0.25">
      <c r="B23" s="121">
        <f>'E-Truck VN'!AJ25</f>
        <v>-20</v>
      </c>
      <c r="C23" s="122">
        <f>'E-Truck VN'!AK25</f>
        <v>-14.782991129204119</v>
      </c>
      <c r="D23" s="122">
        <f>'E-Truck VN'!AL25</f>
        <v>-2.1507405901534069</v>
      </c>
      <c r="E23" s="122">
        <f>'E-Truck VN'!AM25</f>
        <v>-2.0922494072131879</v>
      </c>
      <c r="F23" s="122">
        <f>'E-Truck VN'!AN25</f>
        <v>-12.019185076719678</v>
      </c>
      <c r="G23" s="122">
        <f>'E-Truck VN'!AO25</f>
        <v>-3.2574928172658968</v>
      </c>
      <c r="H23" s="122">
        <f>'E-Truck VN'!AP25</f>
        <v>2.1507405901534562</v>
      </c>
      <c r="O23" s="121">
        <f>'ICE-Truck VN'!AG25</f>
        <v>-20</v>
      </c>
      <c r="P23" s="123">
        <f>'ICE-Truck VN'!AH25</f>
        <v>-3.2747220069268459</v>
      </c>
      <c r="Q23" s="123">
        <f>'ICE-Truck VN'!AI25</f>
        <v>-8.1552842810205952</v>
      </c>
      <c r="R23" s="123">
        <f>'ICE-Truck VN'!AJ25</f>
        <v>-5.650394709071783</v>
      </c>
      <c r="S23" s="123">
        <f>'ICE-Truck VN'!AK25</f>
        <v>-13.805678990092392</v>
      </c>
      <c r="T23" s="123">
        <f>'ICE-Truck VN'!AL25</f>
        <v>8.1552842810206112</v>
      </c>
    </row>
    <row r="24" spans="2:20" x14ac:dyDescent="0.25">
      <c r="B24" s="121">
        <f>'E-Truck VN'!AJ26</f>
        <v>-10</v>
      </c>
      <c r="C24" s="122">
        <f>'E-Truck VN'!AK26</f>
        <v>-7.3914955646020752</v>
      </c>
      <c r="D24" s="122">
        <f>'E-Truck VN'!AL26</f>
        <v>-1.075370295076687</v>
      </c>
      <c r="E24" s="122">
        <f>'E-Truck VN'!AM26</f>
        <v>-1.0461247036065939</v>
      </c>
      <c r="F24" s="122">
        <f>'E-Truck VN'!AN26</f>
        <v>-8.973006153794568</v>
      </c>
      <c r="G24" s="122">
        <f>'E-Truck VN'!AO26</f>
        <v>-1.6287464086329484</v>
      </c>
      <c r="H24" s="122">
        <f>'E-Truck VN'!AP26</f>
        <v>1.075370295076687</v>
      </c>
      <c r="O24" s="121">
        <f>'ICE-Truck VN'!AG26</f>
        <v>-10</v>
      </c>
      <c r="P24" s="123">
        <f>'ICE-Truck VN'!AH26</f>
        <v>-1.6373610034634229</v>
      </c>
      <c r="Q24" s="123">
        <f>'ICE-Truck VN'!AI26</f>
        <v>-4.0776421405102976</v>
      </c>
      <c r="R24" s="123">
        <f>'ICE-Truck VN'!AJ26</f>
        <v>-2.8251973545358826</v>
      </c>
      <c r="S24" s="123">
        <f>'ICE-Truck VN'!AK26</f>
        <v>-6.9028394950461962</v>
      </c>
      <c r="T24" s="123">
        <f>'ICE-Truck VN'!AL26</f>
        <v>4.0776421405103145</v>
      </c>
    </row>
    <row r="25" spans="2:20" x14ac:dyDescent="0.25">
      <c r="B25" s="121">
        <f>'E-Truck VN'!AJ27</f>
        <v>0</v>
      </c>
      <c r="C25" s="122">
        <f>'E-Truck VN'!AK27</f>
        <v>0</v>
      </c>
      <c r="D25" s="122">
        <f>'E-Truck VN'!AL27</f>
        <v>0</v>
      </c>
      <c r="E25" s="122">
        <f>'E-Truck VN'!AM27</f>
        <v>0</v>
      </c>
      <c r="F25" s="122">
        <f>'E-Truck VN'!AN27</f>
        <v>0</v>
      </c>
      <c r="G25" s="122">
        <f>'E-Truck VN'!AO27</f>
        <v>0</v>
      </c>
      <c r="H25" s="122">
        <f>'E-Truck VN'!AP27</f>
        <v>0</v>
      </c>
      <c r="O25" s="121">
        <f>'ICE-Truck VN'!AG27</f>
        <v>0</v>
      </c>
      <c r="P25" s="123">
        <f>'ICE-Truck VN'!AH27</f>
        <v>0</v>
      </c>
      <c r="Q25" s="123">
        <f>'ICE-Truck VN'!AI27</f>
        <v>0</v>
      </c>
      <c r="R25" s="123">
        <f>'ICE-Truck VN'!AJ27</f>
        <v>0</v>
      </c>
      <c r="S25" s="123">
        <f>'ICE-Truck VN'!AK27</f>
        <v>0</v>
      </c>
      <c r="T25" s="123">
        <f>'ICE-Truck VN'!AL27</f>
        <v>0</v>
      </c>
    </row>
    <row r="26" spans="2:20" x14ac:dyDescent="0.25">
      <c r="B26" s="121">
        <f>'E-Truck VN'!AJ28</f>
        <v>10</v>
      </c>
      <c r="C26" s="122">
        <f>'E-Truck VN'!AK28</f>
        <v>7.3914955646020752</v>
      </c>
      <c r="D26" s="122">
        <f>'E-Truck VN'!AL28</f>
        <v>1.075370295076687</v>
      </c>
      <c r="E26" s="122">
        <f>'E-Truck VN'!AM28</f>
        <v>1.0461247036065775</v>
      </c>
      <c r="F26" s="122">
        <f>'E-Truck VN'!AN28</f>
        <v>2.7041167037096683</v>
      </c>
      <c r="G26" s="122">
        <f>'E-Truck VN'!AO28</f>
        <v>1.628746408632965</v>
      </c>
      <c r="H26" s="122">
        <f>'E-Truck VN'!AP28</f>
        <v>-1.075370295076687</v>
      </c>
      <c r="O26" s="121">
        <f>'ICE-Truck VN'!AG28</f>
        <v>10</v>
      </c>
      <c r="P26" s="123">
        <f>'ICE-Truck VN'!AH28</f>
        <v>1.6373610034634229</v>
      </c>
      <c r="Q26" s="123">
        <f>'ICE-Truck VN'!AI28</f>
        <v>4.0776421405103145</v>
      </c>
      <c r="R26" s="123">
        <f>'ICE-Truck VN'!AJ28</f>
        <v>2.8251973545359172</v>
      </c>
      <c r="S26" s="123">
        <f>'ICE-Truck VN'!AK28</f>
        <v>6.9028394950462149</v>
      </c>
      <c r="T26" s="123">
        <f>'ICE-Truck VN'!AL28</f>
        <v>-4.0776421405102976</v>
      </c>
    </row>
    <row r="27" spans="2:20" x14ac:dyDescent="0.25">
      <c r="B27" s="121">
        <f>'E-Truck VN'!AJ29</f>
        <v>20</v>
      </c>
      <c r="C27" s="122">
        <f>'E-Truck VN'!AK29</f>
        <v>14.78299112920415</v>
      </c>
      <c r="D27" s="122">
        <f>'E-Truck VN'!AL29</f>
        <v>2.1507405901534562</v>
      </c>
      <c r="E27" s="122">
        <f>'E-Truck VN'!AM29</f>
        <v>2.0922494072131719</v>
      </c>
      <c r="F27" s="122">
        <f>'E-Truck VN'!AN29</f>
        <v>6.3911037263950199</v>
      </c>
      <c r="G27" s="122">
        <f>'E-Truck VN'!AO29</f>
        <v>3.2574928172658968</v>
      </c>
      <c r="H27" s="122">
        <f>'E-Truck VN'!AP29</f>
        <v>-2.1507405901534069</v>
      </c>
      <c r="O27" s="121">
        <f>'ICE-Truck VN'!AG29</f>
        <v>20</v>
      </c>
      <c r="P27" s="123">
        <f>'ICE-Truck VN'!AH29</f>
        <v>3.2747220069268459</v>
      </c>
      <c r="Q27" s="123">
        <f>'ICE-Truck VN'!AI29</f>
        <v>8.1552842810206112</v>
      </c>
      <c r="R27" s="123">
        <f>'ICE-Truck VN'!AJ29</f>
        <v>5.6503947090717999</v>
      </c>
      <c r="S27" s="123">
        <f>'ICE-Truck VN'!AK29</f>
        <v>13.805678990092412</v>
      </c>
      <c r="T27" s="123">
        <f>'ICE-Truck VN'!AL29</f>
        <v>-8.1552842810205952</v>
      </c>
    </row>
    <row r="28" spans="2:20" x14ac:dyDescent="0.25">
      <c r="B28" s="121">
        <f>'E-Truck VN'!AJ30</f>
        <v>30</v>
      </c>
      <c r="C28" s="122">
        <f>'E-Truck VN'!AK30</f>
        <v>22.174486693806227</v>
      </c>
      <c r="D28" s="122">
        <f>'E-Truck VN'!AL30</f>
        <v>3.2261108852301268</v>
      </c>
      <c r="E28" s="122">
        <f>'E-Truck VN'!AM30</f>
        <v>3.1383741108197492</v>
      </c>
      <c r="F28" s="122">
        <f>'E-Truck VN'!AN30</f>
        <v>9.0952204301046891</v>
      </c>
      <c r="G28" s="122">
        <f>'E-Truck VN'!AO30</f>
        <v>4.8862392258988789</v>
      </c>
      <c r="H28" s="122">
        <f>'E-Truck VN'!AP30</f>
        <v>-3.2261108852301099</v>
      </c>
      <c r="O28" s="121">
        <f>'ICE-Truck VN'!AG30</f>
        <v>30</v>
      </c>
      <c r="P28" s="123">
        <f>'ICE-Truck VN'!AH30</f>
        <v>4.9120830103902691</v>
      </c>
      <c r="Q28" s="123">
        <f>'ICE-Truck VN'!AI30</f>
        <v>12.232926421530909</v>
      </c>
      <c r="R28" s="123">
        <f>'ICE-Truck VN'!AJ30</f>
        <v>8.4755920636076656</v>
      </c>
      <c r="S28" s="123">
        <f>'ICE-Truck VN'!AK30</f>
        <v>20.708518485138576</v>
      </c>
      <c r="T28" s="123">
        <f>'ICE-Truck VN'!AL30</f>
        <v>-12.232926421530891</v>
      </c>
    </row>
    <row r="29" spans="2:20" x14ac:dyDescent="0.25">
      <c r="B29" s="121">
        <f>'E-Truck VN'!AJ31</f>
        <v>40</v>
      </c>
      <c r="C29" s="122">
        <f>'E-Truck VN'!AK31</f>
        <v>29.565982258408269</v>
      </c>
      <c r="D29" s="122">
        <f>'E-Truck VN'!AL31</f>
        <v>4.3014811803068467</v>
      </c>
      <c r="E29" s="122">
        <f>'E-Truck VN'!AM31</f>
        <v>4.1844988144263437</v>
      </c>
      <c r="F29" s="122">
        <f>'E-Truck VN'!AN31</f>
        <v>11.79933713381434</v>
      </c>
      <c r="G29" s="122">
        <f>'E-Truck VN'!AO31</f>
        <v>6.5149856345318096</v>
      </c>
      <c r="H29" s="122">
        <f>'E-Truck VN'!AP31</f>
        <v>-4.3014811803068298</v>
      </c>
      <c r="O29" s="121">
        <f>'ICE-Truck VN'!AG31</f>
        <v>40</v>
      </c>
      <c r="P29" s="123">
        <f>'ICE-Truck VN'!AH31</f>
        <v>6.5494440138536918</v>
      </c>
      <c r="Q29" s="123">
        <f>'ICE-Truck VN'!AI31</f>
        <v>16.31056856204119</v>
      </c>
      <c r="R29" s="123">
        <f>'ICE-Truck VN'!AJ31</f>
        <v>11.300789418143566</v>
      </c>
      <c r="S29" s="123">
        <f>'ICE-Truck VN'!AK31</f>
        <v>27.611357980184771</v>
      </c>
      <c r="T29" s="123">
        <f>'ICE-Truck VN'!AL31</f>
        <v>-16.310568562041205</v>
      </c>
    </row>
    <row r="30" spans="2:20" x14ac:dyDescent="0.25">
      <c r="B30" s="121">
        <f>'E-Truck VN'!AJ32</f>
        <v>50</v>
      </c>
      <c r="C30" s="122">
        <f>'E-Truck VN'!AK32</f>
        <v>36.95747782301035</v>
      </c>
      <c r="D30" s="122">
        <f>'E-Truck VN'!AL32</f>
        <v>5.3768514753835337</v>
      </c>
      <c r="E30" s="122">
        <f>'E-Truck VN'!AM32</f>
        <v>5.230623518032937</v>
      </c>
      <c r="F30" s="122">
        <f>'E-Truck VN'!AN32</f>
        <v>21.772479701272836</v>
      </c>
      <c r="G30" s="122">
        <f>'E-Truck VN'!AO32</f>
        <v>8.1437320431647926</v>
      </c>
      <c r="H30" s="122">
        <f>'E-Truck VN'!AP32</f>
        <v>-5.3768514753835337</v>
      </c>
      <c r="O30" s="121">
        <f>'ICE-Truck VN'!AG32</f>
        <v>50</v>
      </c>
      <c r="P30" s="123">
        <f>'ICE-Truck VN'!AH32</f>
        <v>8.1868050173171163</v>
      </c>
      <c r="Q30" s="123">
        <f>'ICE-Truck VN'!AI32</f>
        <v>20.388210702551504</v>
      </c>
      <c r="R30" s="123">
        <f>'ICE-Truck VN'!AJ32</f>
        <v>14.125986772679463</v>
      </c>
      <c r="S30" s="123">
        <f>'ICE-Truck VN'!AK32</f>
        <v>34.514197475230986</v>
      </c>
      <c r="T30" s="123">
        <f>'ICE-Truck VN'!AL32</f>
        <v>-20.388210702551504</v>
      </c>
    </row>
    <row r="32" spans="2:20" x14ac:dyDescent="0.25">
      <c r="B32" s="117" t="s">
        <v>198</v>
      </c>
      <c r="O32" s="117" t="s">
        <v>197</v>
      </c>
    </row>
    <row r="33" spans="2:20" x14ac:dyDescent="0.25">
      <c r="B33" s="136" t="s">
        <v>196</v>
      </c>
      <c r="C33" s="137" t="s">
        <v>195</v>
      </c>
      <c r="D33" s="137"/>
      <c r="E33" s="137"/>
      <c r="F33" s="137"/>
      <c r="G33" s="137"/>
      <c r="H33" s="129"/>
      <c r="O33" s="136" t="s">
        <v>196</v>
      </c>
      <c r="P33" s="138" t="s">
        <v>195</v>
      </c>
      <c r="Q33" s="138"/>
      <c r="R33" s="138"/>
      <c r="S33" s="138"/>
      <c r="T33" s="119"/>
    </row>
    <row r="34" spans="2:20" x14ac:dyDescent="0.25">
      <c r="B34" s="136"/>
      <c r="C34" s="119" t="s">
        <v>186</v>
      </c>
      <c r="D34" s="119" t="s">
        <v>187</v>
      </c>
      <c r="E34" s="119" t="s">
        <v>40</v>
      </c>
      <c r="F34" s="119" t="s">
        <v>188</v>
      </c>
      <c r="G34" s="119" t="s">
        <v>189</v>
      </c>
      <c r="H34" s="119" t="str">
        <f>'E-Kargo VN'!AP21</f>
        <v>Energy Efficiency</v>
      </c>
      <c r="O34" s="136"/>
      <c r="P34" s="118" t="s">
        <v>186</v>
      </c>
      <c r="Q34" s="118" t="s">
        <v>55</v>
      </c>
      <c r="R34" s="118" t="s">
        <v>189</v>
      </c>
      <c r="S34" s="118" t="s">
        <v>188</v>
      </c>
      <c r="T34" s="118" t="str">
        <f>'ICE-Kargo VN'!AL21</f>
        <v>Energy Efficiency</v>
      </c>
    </row>
    <row r="35" spans="2:20" x14ac:dyDescent="0.25">
      <c r="B35" s="124">
        <f>'E-Kargo VN'!AJ22</f>
        <v>-50</v>
      </c>
      <c r="C35" s="122">
        <f>'E-Kargo VN'!AK22</f>
        <v>-34.621341046062312</v>
      </c>
      <c r="D35" s="122">
        <f>'E-Kargo VN'!AL22</f>
        <v>-8.4204203170828844</v>
      </c>
      <c r="E35" s="122">
        <f>'E-Kargo VN'!AM22</f>
        <v>-8.0334263461467046</v>
      </c>
      <c r="F35" s="122">
        <f>'E-Kargo VN'!AN22</f>
        <v>-26.009292561326031</v>
      </c>
      <c r="G35" s="122">
        <f>'E-Kargo VN'!AO22</f>
        <v>-7.0817820879998754</v>
      </c>
      <c r="H35" s="122">
        <f>'E-Kargo VN'!AP22</f>
        <v>8.4204203170829093</v>
      </c>
      <c r="O35" s="121">
        <f>'ICE-Kargo VN'!AG22</f>
        <v>-50</v>
      </c>
      <c r="P35" s="123">
        <f>'ICE-Kargo VN'!AH22</f>
        <v>-12.688751706454045</v>
      </c>
      <c r="Q35" s="123">
        <f>'ICE-Kargo VN'!AI22</f>
        <v>-22.289270525075644</v>
      </c>
      <c r="R35" s="123">
        <f>'ICE-Kargo VN'!AJ22</f>
        <v>-10.76972455712561</v>
      </c>
      <c r="S35" s="123">
        <f>'ICE-Kargo VN'!AK22</f>
        <v>-33.058995082201278</v>
      </c>
      <c r="T35" s="123">
        <f>'ICE-Kargo VN'!AL22</f>
        <v>22.289270525075676</v>
      </c>
    </row>
    <row r="36" spans="2:20" x14ac:dyDescent="0.25">
      <c r="B36" s="124">
        <f>'E-Kargo VN'!AJ23</f>
        <v>-40</v>
      </c>
      <c r="C36" s="122">
        <f>'E-Kargo VN'!AK23</f>
        <v>-27.697072836849852</v>
      </c>
      <c r="D36" s="122">
        <f>'E-Kargo VN'!AL23</f>
        <v>-6.7363362536663072</v>
      </c>
      <c r="E36" s="122">
        <f>'E-Kargo VN'!AM23</f>
        <v>-6.4267410769173638</v>
      </c>
      <c r="F36" s="122">
        <f>'E-Kargo VN'!AN23</f>
        <v>-22.90885208030944</v>
      </c>
      <c r="G36" s="122">
        <f>'E-Kargo VN'!AO23</f>
        <v>-5.6654256703998858</v>
      </c>
      <c r="H36" s="122">
        <f>'E-Kargo VN'!AP23</f>
        <v>6.736336253666356</v>
      </c>
      <c r="O36" s="121">
        <f>'ICE-Kargo VN'!AG23</f>
        <v>-40</v>
      </c>
      <c r="P36" s="123">
        <f>'ICE-Kargo VN'!AH23</f>
        <v>-10.151001365163225</v>
      </c>
      <c r="Q36" s="123">
        <f>'ICE-Kargo VN'!AI23</f>
        <v>-17.831416420060524</v>
      </c>
      <c r="R36" s="123">
        <f>'ICE-Kargo VN'!AJ23</f>
        <v>-8.6157796457004867</v>
      </c>
      <c r="S36" s="123">
        <f>'ICE-Kargo VN'!AK23</f>
        <v>-26.447196065761013</v>
      </c>
      <c r="T36" s="123">
        <f>'ICE-Kargo VN'!AL23</f>
        <v>17.831416420060552</v>
      </c>
    </row>
    <row r="37" spans="2:20" x14ac:dyDescent="0.25">
      <c r="B37" s="124">
        <f>'E-Kargo VN'!AJ24</f>
        <v>-30</v>
      </c>
      <c r="C37" s="122">
        <f>'E-Kargo VN'!AK24</f>
        <v>-20.772804627637385</v>
      </c>
      <c r="D37" s="122">
        <f>'E-Kargo VN'!AL24</f>
        <v>-5.0522521902497308</v>
      </c>
      <c r="E37" s="122">
        <f>'E-Kargo VN'!AM24</f>
        <v>-4.8200558076880222</v>
      </c>
      <c r="F37" s="122">
        <f>'E-Kargo VN'!AN24</f>
        <v>-10.731992071170025</v>
      </c>
      <c r="G37" s="122">
        <f>'E-Kargo VN'!AO24</f>
        <v>-4.2490692527999201</v>
      </c>
      <c r="H37" s="122">
        <f>'E-Kargo VN'!AP24</f>
        <v>5.0522521902497921</v>
      </c>
      <c r="O37" s="121">
        <f>'ICE-Kargo VN'!AG24</f>
        <v>-30</v>
      </c>
      <c r="P37" s="123">
        <f>'ICE-Kargo VN'!AH24</f>
        <v>-7.6132510238724196</v>
      </c>
      <c r="Q37" s="123">
        <f>'ICE-Kargo VN'!AI24</f>
        <v>-13.373562315045403</v>
      </c>
      <c r="R37" s="123">
        <f>'ICE-Kargo VN'!AJ24</f>
        <v>-6.4618347342753513</v>
      </c>
      <c r="S37" s="123">
        <f>'ICE-Kargo VN'!AK24</f>
        <v>-19.835397049320754</v>
      </c>
      <c r="T37" s="123">
        <f>'ICE-Kargo VN'!AL24</f>
        <v>13.373562315045417</v>
      </c>
    </row>
    <row r="38" spans="2:20" x14ac:dyDescent="0.25">
      <c r="B38" s="124">
        <f>'E-Kargo VN'!AJ25</f>
        <v>-20</v>
      </c>
      <c r="C38" s="122">
        <f>'E-Kargo VN'!AK25</f>
        <v>-13.848536418424921</v>
      </c>
      <c r="D38" s="122">
        <f>'E-Kargo VN'!AL25</f>
        <v>-3.3681681268331416</v>
      </c>
      <c r="E38" s="122">
        <f>'E-Kargo VN'!AM25</f>
        <v>-3.2133705384586695</v>
      </c>
      <c r="F38" s="122">
        <f>'E-Kargo VN'!AN25</f>
        <v>-7.1777306137473351</v>
      </c>
      <c r="G38" s="122">
        <f>'E-Kargo VN'!AO25</f>
        <v>-2.8327128351999189</v>
      </c>
      <c r="H38" s="122">
        <f>'E-Kargo VN'!AP25</f>
        <v>3.368168126833202</v>
      </c>
      <c r="O38" s="121">
        <f>'ICE-Kargo VN'!AG25</f>
        <v>-20</v>
      </c>
      <c r="P38" s="123">
        <f>'ICE-Kargo VN'!AH25</f>
        <v>-5.0755006825816125</v>
      </c>
      <c r="Q38" s="123">
        <f>'ICE-Kargo VN'!AI25</f>
        <v>-8.9157082100302549</v>
      </c>
      <c r="R38" s="123">
        <f>'ICE-Kargo VN'!AJ25</f>
        <v>-4.3078898228502434</v>
      </c>
      <c r="S38" s="123">
        <f>'ICE-Kargo VN'!AK25</f>
        <v>-13.223598032880499</v>
      </c>
      <c r="T38" s="123">
        <f>'ICE-Kargo VN'!AL25</f>
        <v>8.9157082100302691</v>
      </c>
    </row>
    <row r="39" spans="2:20" x14ac:dyDescent="0.25">
      <c r="B39" s="124">
        <f>'E-Kargo VN'!AJ26</f>
        <v>-10</v>
      </c>
      <c r="C39" s="122">
        <f>'E-Kargo VN'!AK26</f>
        <v>-6.9242682092124532</v>
      </c>
      <c r="D39" s="122">
        <f>'E-Kargo VN'!AL26</f>
        <v>-1.6840840634165646</v>
      </c>
      <c r="E39" s="122">
        <f>'E-Kargo VN'!AM26</f>
        <v>-1.6066852692293285</v>
      </c>
      <c r="F39" s="122">
        <f>'E-Kargo VN'!AN26</f>
        <v>-3.6007781075043321</v>
      </c>
      <c r="G39" s="122">
        <f>'E-Kargo VN'!AO26</f>
        <v>-1.4163564175999654</v>
      </c>
      <c r="H39" s="122">
        <f>'E-Kargo VN'!AP26</f>
        <v>1.6840840634166137</v>
      </c>
      <c r="O39" s="121">
        <f>'ICE-Kargo VN'!AG26</f>
        <v>-10</v>
      </c>
      <c r="P39" s="123">
        <f>'ICE-Kargo VN'!AH26</f>
        <v>-2.5377503412908062</v>
      </c>
      <c r="Q39" s="123">
        <f>'ICE-Kargo VN'!AI26</f>
        <v>-4.4578541050151346</v>
      </c>
      <c r="R39" s="123">
        <f>'ICE-Kargo VN'!AJ26</f>
        <v>-2.1539449114251217</v>
      </c>
      <c r="S39" s="123">
        <f>'ICE-Kargo VN'!AK26</f>
        <v>-6.6117990164402274</v>
      </c>
      <c r="T39" s="123">
        <f>'ICE-Kargo VN'!AL26</f>
        <v>4.4578541050151497</v>
      </c>
    </row>
    <row r="40" spans="2:20" x14ac:dyDescent="0.25">
      <c r="B40" s="124">
        <f>'E-Kargo VN'!AJ27</f>
        <v>0</v>
      </c>
      <c r="C40" s="122">
        <f>'E-Kargo VN'!AK27</f>
        <v>0</v>
      </c>
      <c r="D40" s="122">
        <f>'E-Kargo VN'!AL27</f>
        <v>0</v>
      </c>
      <c r="E40" s="122">
        <f>'E-Kargo VN'!AM27</f>
        <v>0</v>
      </c>
      <c r="F40" s="122">
        <f>'E-Kargo VN'!AN27</f>
        <v>0</v>
      </c>
      <c r="G40" s="122">
        <f>'E-Kargo VN'!AO27</f>
        <v>0</v>
      </c>
      <c r="H40" s="122">
        <f>'E-Kargo VN'!AP27</f>
        <v>0</v>
      </c>
      <c r="O40" s="121">
        <f>'ICE-Kargo VN'!AG27</f>
        <v>0</v>
      </c>
      <c r="P40" s="123">
        <f>'ICE-Kargo VN'!AH27</f>
        <v>0</v>
      </c>
      <c r="Q40" s="123">
        <f>'ICE-Kargo VN'!AI27</f>
        <v>0</v>
      </c>
      <c r="R40" s="123">
        <f>'ICE-Kargo VN'!AJ27</f>
        <v>0</v>
      </c>
      <c r="S40" s="123">
        <f>'ICE-Kargo VN'!AK27</f>
        <v>0</v>
      </c>
      <c r="T40" s="123">
        <f>'ICE-Kargo VN'!AL27</f>
        <v>0</v>
      </c>
    </row>
    <row r="41" spans="2:20" x14ac:dyDescent="0.25">
      <c r="B41" s="124">
        <f>'E-Kargo VN'!AJ28</f>
        <v>10</v>
      </c>
      <c r="C41" s="122">
        <f>'E-Kargo VN'!AK28</f>
        <v>6.9242682092125136</v>
      </c>
      <c r="D41" s="122">
        <f>'E-Kargo VN'!AL28</f>
        <v>1.6840840634166137</v>
      </c>
      <c r="E41" s="122">
        <f>'E-Kargo VN'!AM28</f>
        <v>1.606685269229341</v>
      </c>
      <c r="F41" s="122">
        <f>'E-Kargo VN'!AN28</f>
        <v>3.625794988828738</v>
      </c>
      <c r="G41" s="122">
        <f>'E-Kargo VN'!AO28</f>
        <v>1.4163564176000021</v>
      </c>
      <c r="H41" s="122">
        <f>'E-Kargo VN'!AP28</f>
        <v>-1.6840840634165646</v>
      </c>
      <c r="O41" s="121">
        <f>'ICE-Kargo VN'!AG28</f>
        <v>10</v>
      </c>
      <c r="P41" s="123">
        <f>'ICE-Kargo VN'!AH28</f>
        <v>2.5377503412908355</v>
      </c>
      <c r="Q41" s="123">
        <f>'ICE-Kargo VN'!AI28</f>
        <v>4.4578541050151497</v>
      </c>
      <c r="R41" s="123">
        <f>'ICE-Kargo VN'!AJ28</f>
        <v>2.1539449114251363</v>
      </c>
      <c r="S41" s="123">
        <f>'ICE-Kargo VN'!AK28</f>
        <v>6.6117990164402718</v>
      </c>
      <c r="T41" s="123">
        <f>'ICE-Kargo VN'!AL28</f>
        <v>-4.4578541050151346</v>
      </c>
    </row>
    <row r="42" spans="2:20" x14ac:dyDescent="0.25">
      <c r="B42" s="124">
        <f>'E-Kargo VN'!AJ29</f>
        <v>20</v>
      </c>
      <c r="C42" s="122">
        <f>'E-Kargo VN'!AK29</f>
        <v>13.848536418424931</v>
      </c>
      <c r="D42" s="122">
        <f>'E-Kargo VN'!AL29</f>
        <v>3.368168126833202</v>
      </c>
      <c r="E42" s="122">
        <f>'E-Kargo VN'!AM29</f>
        <v>3.2133705384587179</v>
      </c>
      <c r="F42" s="122">
        <f>'E-Kargo VN'!AN29</f>
        <v>6.7262354698452684</v>
      </c>
      <c r="G42" s="122">
        <f>'E-Kargo VN'!AO29</f>
        <v>2.8327128351999797</v>
      </c>
      <c r="H42" s="122">
        <f>'E-Kargo VN'!AP29</f>
        <v>-3.3681681268331416</v>
      </c>
      <c r="O42" s="121">
        <f>'ICE-Kargo VN'!AG29</f>
        <v>20</v>
      </c>
      <c r="P42" s="123">
        <f>'ICE-Kargo VN'!AH29</f>
        <v>5.0755006825816418</v>
      </c>
      <c r="Q42" s="123">
        <f>'ICE-Kargo VN'!AI29</f>
        <v>8.9157082100302691</v>
      </c>
      <c r="R42" s="123">
        <f>'ICE-Kargo VN'!AJ29</f>
        <v>4.3078898228502291</v>
      </c>
      <c r="S42" s="123">
        <f>'ICE-Kargo VN'!AK29</f>
        <v>13.223598032880513</v>
      </c>
      <c r="T42" s="123">
        <f>'ICE-Kargo VN'!AL29</f>
        <v>-8.9157082100302549</v>
      </c>
    </row>
    <row r="43" spans="2:20" x14ac:dyDescent="0.25">
      <c r="B43" s="124">
        <f>'E-Kargo VN'!AJ30</f>
        <v>30</v>
      </c>
      <c r="C43" s="122">
        <f>'E-Kargo VN'!AK30</f>
        <v>20.772804627637424</v>
      </c>
      <c r="D43" s="122">
        <f>'E-Kargo VN'!AL30</f>
        <v>5.0522521902497921</v>
      </c>
      <c r="E43" s="122">
        <f>'E-Kargo VN'!AM30</f>
        <v>4.8200558076880347</v>
      </c>
      <c r="F43" s="122">
        <f>'E-Kargo VN'!AN30</f>
        <v>19.45471771218747</v>
      </c>
      <c r="G43" s="122">
        <f>'E-Kargo VN'!AO30</f>
        <v>4.249069252799945</v>
      </c>
      <c r="H43" s="122">
        <f>'E-Kargo VN'!AP30</f>
        <v>-5.0522521902497308</v>
      </c>
      <c r="O43" s="121">
        <f>'ICE-Kargo VN'!AG30</f>
        <v>30</v>
      </c>
      <c r="P43" s="123">
        <f>'ICE-Kargo VN'!AH30</f>
        <v>7.6132510238724489</v>
      </c>
      <c r="Q43" s="123">
        <f>'ICE-Kargo VN'!AI30</f>
        <v>13.373562315045417</v>
      </c>
      <c r="R43" s="123">
        <f>'ICE-Kargo VN'!AJ30</f>
        <v>6.4618347342753655</v>
      </c>
      <c r="S43" s="123">
        <f>'ICE-Kargo VN'!AK30</f>
        <v>19.8353970493208</v>
      </c>
      <c r="T43" s="123">
        <f>'ICE-Kargo VN'!AL30</f>
        <v>-13.373562315045403</v>
      </c>
    </row>
    <row r="44" spans="2:20" x14ac:dyDescent="0.25">
      <c r="B44" s="124">
        <f>'E-Kargo VN'!AJ31</f>
        <v>40</v>
      </c>
      <c r="C44" s="122">
        <f>'E-Kargo VN'!AK31</f>
        <v>27.697072836849891</v>
      </c>
      <c r="D44" s="122">
        <f>'E-Kargo VN'!AL31</f>
        <v>6.736336253666356</v>
      </c>
      <c r="E44" s="122">
        <f>'E-Kargo VN'!AM31</f>
        <v>6.4267410769173754</v>
      </c>
      <c r="F44" s="122">
        <f>'E-Kargo VN'!AN31</f>
        <v>22.5551581932041</v>
      </c>
      <c r="G44" s="122">
        <f>'E-Kargo VN'!AO31</f>
        <v>5.6654256703999231</v>
      </c>
      <c r="H44" s="122">
        <f>'E-Kargo VN'!AP31</f>
        <v>-6.7363362536663072</v>
      </c>
      <c r="O44" s="121">
        <f>'ICE-Kargo VN'!AG31</f>
        <v>40</v>
      </c>
      <c r="P44" s="123">
        <f>'ICE-Kargo VN'!AH31</f>
        <v>10.151001365163255</v>
      </c>
      <c r="Q44" s="123">
        <f>'ICE-Kargo VN'!AI31</f>
        <v>17.831416420060524</v>
      </c>
      <c r="R44" s="123">
        <f>'ICE-Kargo VN'!AJ31</f>
        <v>8.6157796457004867</v>
      </c>
      <c r="S44" s="123">
        <f>'ICE-Kargo VN'!AK31</f>
        <v>26.447196065760998</v>
      </c>
      <c r="T44" s="123">
        <f>'ICE-Kargo VN'!AL31</f>
        <v>-17.831416420060524</v>
      </c>
    </row>
    <row r="45" spans="2:20" x14ac:dyDescent="0.25">
      <c r="B45" s="124">
        <f>'E-Kargo VN'!AJ32</f>
        <v>50</v>
      </c>
      <c r="C45" s="122">
        <f>'E-Kargo VN'!AK32</f>
        <v>34.621341046062327</v>
      </c>
      <c r="D45" s="122">
        <f>'E-Kargo VN'!AL32</f>
        <v>8.4204203170829199</v>
      </c>
      <c r="E45" s="122">
        <f>'E-Kargo VN'!AM32</f>
        <v>8.0334263461467046</v>
      </c>
      <c r="F45" s="122">
        <f>'E-Kargo VN'!AN32</f>
        <v>27.165135020716114</v>
      </c>
      <c r="G45" s="122">
        <f>'E-Kargo VN'!AO32</f>
        <v>7.0817820879999243</v>
      </c>
      <c r="H45" s="122">
        <f>'E-Kargo VN'!AP32</f>
        <v>-8.4204203170828844</v>
      </c>
      <c r="O45" s="121">
        <f>'ICE-Kargo VN'!AG32</f>
        <v>50</v>
      </c>
      <c r="P45" s="123">
        <f>'ICE-Kargo VN'!AH32</f>
        <v>12.688751706454063</v>
      </c>
      <c r="Q45" s="123">
        <f>'ICE-Kargo VN'!AI32</f>
        <v>22.28927052507569</v>
      </c>
      <c r="R45" s="123">
        <f>'ICE-Kargo VN'!AJ32</f>
        <v>10.76972455712561</v>
      </c>
      <c r="S45" s="123">
        <f>'ICE-Kargo VN'!AK32</f>
        <v>33.058995082201257</v>
      </c>
      <c r="T45" s="123">
        <f>'ICE-Kargo VN'!AL32</f>
        <v>-22.289270525075644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3D3B-C480-4FB7-873C-489868115B19}">
  <sheetPr codeName="Sheet4"/>
  <dimension ref="A1:C19"/>
  <sheetViews>
    <sheetView zoomScaleNormal="100" workbookViewId="0">
      <selection activeCell="A17" sqref="A17:A19"/>
    </sheetView>
  </sheetViews>
  <sheetFormatPr defaultRowHeight="15" x14ac:dyDescent="0.25"/>
  <cols>
    <col min="1" max="1" width="47.42578125" customWidth="1"/>
    <col min="3" max="3" width="11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171</v>
      </c>
      <c r="B2" t="s">
        <v>51</v>
      </c>
    </row>
    <row r="3" spans="1:3" x14ac:dyDescent="0.25">
      <c r="A3" t="s">
        <v>5</v>
      </c>
      <c r="B3" t="s">
        <v>51</v>
      </c>
    </row>
    <row r="4" spans="1:3" x14ac:dyDescent="0.25">
      <c r="A4" t="s">
        <v>6</v>
      </c>
      <c r="B4" t="s">
        <v>51</v>
      </c>
    </row>
    <row r="5" spans="1:3" x14ac:dyDescent="0.25">
      <c r="A5" t="s">
        <v>7</v>
      </c>
      <c r="B5" t="s">
        <v>51</v>
      </c>
    </row>
    <row r="6" spans="1:3" x14ac:dyDescent="0.25">
      <c r="A6" t="s">
        <v>8</v>
      </c>
      <c r="B6" t="s">
        <v>51</v>
      </c>
    </row>
    <row r="7" spans="1:3" x14ac:dyDescent="0.25">
      <c r="A7" t="s">
        <v>54</v>
      </c>
      <c r="B7" t="s">
        <v>52</v>
      </c>
      <c r="C7" t="s">
        <v>13</v>
      </c>
    </row>
    <row r="8" spans="1:3" x14ac:dyDescent="0.25">
      <c r="A8" t="s">
        <v>14</v>
      </c>
      <c r="B8" t="s">
        <v>51</v>
      </c>
    </row>
    <row r="9" spans="1:3" x14ac:dyDescent="0.25">
      <c r="A9" t="s">
        <v>15</v>
      </c>
    </row>
    <row r="10" spans="1:3" x14ac:dyDescent="0.25">
      <c r="A10" t="s">
        <v>16</v>
      </c>
      <c r="B10" t="s">
        <v>53</v>
      </c>
    </row>
    <row r="11" spans="1:3" x14ac:dyDescent="0.25">
      <c r="A11" t="s">
        <v>17</v>
      </c>
      <c r="B11" t="s">
        <v>51</v>
      </c>
    </row>
    <row r="12" spans="1:3" x14ac:dyDescent="0.25">
      <c r="A12" t="s">
        <v>19</v>
      </c>
    </row>
    <row r="13" spans="1:3" x14ac:dyDescent="0.25">
      <c r="A13" t="s">
        <v>18</v>
      </c>
    </row>
    <row r="17" spans="1:1" x14ac:dyDescent="0.25">
      <c r="A17" s="93" t="s">
        <v>153</v>
      </c>
    </row>
    <row r="18" spans="1:1" x14ac:dyDescent="0.25">
      <c r="A18" s="93" t="s">
        <v>154</v>
      </c>
    </row>
    <row r="19" spans="1:1" x14ac:dyDescent="0.25">
      <c r="A19" s="9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E-Bus VN</vt:lpstr>
      <vt:lpstr>ICE-Bus VN</vt:lpstr>
      <vt:lpstr>E-Truck VN</vt:lpstr>
      <vt:lpstr>ICE-Truck VN</vt:lpstr>
      <vt:lpstr>E-Kargo VN</vt:lpstr>
      <vt:lpstr>ICE-Kargo VN</vt:lpstr>
      <vt:lpstr>Sensitivity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M Indra al Irsyad</cp:lastModifiedBy>
  <dcterms:created xsi:type="dcterms:W3CDTF">2015-06-05T18:17:20Z</dcterms:created>
  <dcterms:modified xsi:type="dcterms:W3CDTF">2024-10-17T02:38:53Z</dcterms:modified>
</cp:coreProperties>
</file>