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6908e728f1b34df/Paper ERIA/Xls baru 29092024/"/>
    </mc:Choice>
  </mc:AlternateContent>
  <xr:revisionPtr revIDLastSave="67" documentId="13_ncr:1_{94696A03-1A4B-48C1-B908-FE15C147FC08}" xr6:coauthVersionLast="47" xr6:coauthVersionMax="47" xr10:uidLastSave="{6FDE7EAF-EF14-47FD-8FB3-C501983F2753}"/>
  <bookViews>
    <workbookView xWindow="-105" yWindow="0" windowWidth="14610" windowHeight="16305" activeTab="6" xr2:uid="{00000000-000D-0000-FFFF-FFFF00000000}"/>
  </bookViews>
  <sheets>
    <sheet name="E-Bus BN" sheetId="1" r:id="rId1"/>
    <sheet name="ICE-Bus BN" sheetId="2" r:id="rId2"/>
    <sheet name="E-Truck BN" sheetId="3" r:id="rId3"/>
    <sheet name="ICE-Truck BN" sheetId="4" r:id="rId4"/>
    <sheet name="E-Cargo ID" sheetId="5" r:id="rId5"/>
    <sheet name="ICE-Cargo ID" sheetId="6" r:id="rId6"/>
    <sheet name="Sensitivity" sheetId="8" r:id="rId7"/>
  </sheets>
  <externalReferences>
    <externalReference r:id="rId8"/>
  </externalReferenc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khBSxuwlxX4xH7UXy1aKr4/BDYhyt4itqjRUQDGsyis="/>
    </ext>
  </extLst>
</workbook>
</file>

<file path=xl/calcChain.xml><?xml version="1.0" encoding="utf-8"?>
<calcChain xmlns="http://schemas.openxmlformats.org/spreadsheetml/2006/main">
  <c r="AC69" i="5" l="1"/>
  <c r="H19" i="8"/>
  <c r="AA12" i="6"/>
  <c r="AO21" i="6"/>
  <c r="T34" i="8" s="1"/>
  <c r="AC64" i="6"/>
  <c r="AO32" i="6" s="1"/>
  <c r="T45" i="8" s="1"/>
  <c r="AC63" i="6"/>
  <c r="AO31" i="6" s="1"/>
  <c r="T44" i="8" s="1"/>
  <c r="AC62" i="6"/>
  <c r="AO30" i="6" s="1"/>
  <c r="T43" i="8" s="1"/>
  <c r="AC61" i="6"/>
  <c r="AO29" i="6" s="1"/>
  <c r="T42" i="8" s="1"/>
  <c r="AC60" i="6"/>
  <c r="AO28" i="6" s="1"/>
  <c r="T41" i="8" s="1"/>
  <c r="Z60" i="6"/>
  <c r="Z61" i="6" s="1"/>
  <c r="AA61" i="6" s="1"/>
  <c r="AC59" i="6"/>
  <c r="AO27" i="6" s="1"/>
  <c r="T40" i="8" s="1"/>
  <c r="AA59" i="6"/>
  <c r="AC58" i="6"/>
  <c r="AO26" i="6" s="1"/>
  <c r="T39" i="8" s="1"/>
  <c r="Z58" i="6"/>
  <c r="Z57" i="6" s="1"/>
  <c r="AC57" i="6"/>
  <c r="AO25" i="6" s="1"/>
  <c r="T38" i="8" s="1"/>
  <c r="AC56" i="6"/>
  <c r="AO24" i="6" s="1"/>
  <c r="T37" i="8" s="1"/>
  <c r="AC55" i="6"/>
  <c r="AO23" i="6" s="1"/>
  <c r="T36" i="8" s="1"/>
  <c r="AC54" i="6"/>
  <c r="AO22" i="6" s="1"/>
  <c r="T35" i="8" s="1"/>
  <c r="AC14" i="5"/>
  <c r="AR21" i="5"/>
  <c r="H34" i="8" s="1"/>
  <c r="AE79" i="5"/>
  <c r="AR32" i="5" s="1"/>
  <c r="H45" i="8" s="1"/>
  <c r="AE78" i="5"/>
  <c r="AR31" i="5" s="1"/>
  <c r="H44" i="8" s="1"/>
  <c r="AE77" i="5"/>
  <c r="AR30" i="5" s="1"/>
  <c r="H43" i="8" s="1"/>
  <c r="AE76" i="5"/>
  <c r="AR29" i="5" s="1"/>
  <c r="H42" i="8" s="1"/>
  <c r="AE75" i="5"/>
  <c r="AR28" i="5" s="1"/>
  <c r="H41" i="8" s="1"/>
  <c r="AB75" i="5"/>
  <c r="AC75" i="5" s="1"/>
  <c r="AE74" i="5"/>
  <c r="AR27" i="5" s="1"/>
  <c r="H40" i="8" s="1"/>
  <c r="AC74" i="5"/>
  <c r="AE73" i="5"/>
  <c r="AR26" i="5" s="1"/>
  <c r="H39" i="8" s="1"/>
  <c r="AB73" i="5"/>
  <c r="AC73" i="5" s="1"/>
  <c r="AE72" i="5"/>
  <c r="AR25" i="5" s="1"/>
  <c r="H38" i="8" s="1"/>
  <c r="AE71" i="5"/>
  <c r="AR24" i="5" s="1"/>
  <c r="H37" i="8" s="1"/>
  <c r="AE70" i="5"/>
  <c r="AR23" i="5" s="1"/>
  <c r="H36" i="8" s="1"/>
  <c r="AE69" i="5"/>
  <c r="AR22" i="5" s="1"/>
  <c r="H35" i="8" s="1"/>
  <c r="AO21" i="4"/>
  <c r="T19" i="8" s="1"/>
  <c r="AA12" i="4"/>
  <c r="AC64" i="4"/>
  <c r="AO32" i="4" s="1"/>
  <c r="T30" i="8" s="1"/>
  <c r="AC63" i="4"/>
  <c r="AO31" i="4" s="1"/>
  <c r="T29" i="8" s="1"/>
  <c r="AC62" i="4"/>
  <c r="AO30" i="4" s="1"/>
  <c r="T28" i="8" s="1"/>
  <c r="AC61" i="4"/>
  <c r="AO29" i="4" s="1"/>
  <c r="T27" i="8" s="1"/>
  <c r="AC60" i="4"/>
  <c r="AO28" i="4" s="1"/>
  <c r="T26" i="8" s="1"/>
  <c r="Z60" i="4"/>
  <c r="Z61" i="4" s="1"/>
  <c r="AA61" i="4" s="1"/>
  <c r="AC59" i="4"/>
  <c r="AO27" i="4" s="1"/>
  <c r="T25" i="8" s="1"/>
  <c r="AA59" i="4"/>
  <c r="AC58" i="4"/>
  <c r="AO26" i="4" s="1"/>
  <c r="T24" i="8" s="1"/>
  <c r="Z58" i="4"/>
  <c r="AA58" i="4" s="1"/>
  <c r="AC57" i="4"/>
  <c r="AO25" i="4" s="1"/>
  <c r="T23" i="8" s="1"/>
  <c r="Z57" i="4"/>
  <c r="Z56" i="4" s="1"/>
  <c r="AC56" i="4"/>
  <c r="AO24" i="4" s="1"/>
  <c r="T22" i="8" s="1"/>
  <c r="AC55" i="4"/>
  <c r="AO23" i="4" s="1"/>
  <c r="T21" i="8" s="1"/>
  <c r="AC54" i="4"/>
  <c r="AO22" i="4" s="1"/>
  <c r="T20" i="8" s="1"/>
  <c r="AR21" i="3"/>
  <c r="AC14" i="3"/>
  <c r="AE79" i="3"/>
  <c r="AR32" i="3" s="1"/>
  <c r="H30" i="8" s="1"/>
  <c r="AE78" i="3"/>
  <c r="AR31" i="3" s="1"/>
  <c r="H29" i="8" s="1"/>
  <c r="AE77" i="3"/>
  <c r="AR30" i="3" s="1"/>
  <c r="H28" i="8" s="1"/>
  <c r="AE76" i="3"/>
  <c r="AR29" i="3" s="1"/>
  <c r="H27" i="8" s="1"/>
  <c r="AE75" i="3"/>
  <c r="AR28" i="3" s="1"/>
  <c r="H26" i="8" s="1"/>
  <c r="AB75" i="3"/>
  <c r="AB76" i="3" s="1"/>
  <c r="AC76" i="3" s="1"/>
  <c r="AE74" i="3"/>
  <c r="AR27" i="3" s="1"/>
  <c r="H25" i="8" s="1"/>
  <c r="AC74" i="3"/>
  <c r="AE73" i="3"/>
  <c r="AR26" i="3" s="1"/>
  <c r="H24" i="8" s="1"/>
  <c r="AB73" i="3"/>
  <c r="AB72" i="3" s="1"/>
  <c r="AE72" i="3"/>
  <c r="AR25" i="3" s="1"/>
  <c r="H23" i="8" s="1"/>
  <c r="AE71" i="3"/>
  <c r="AR24" i="3" s="1"/>
  <c r="H22" i="8" s="1"/>
  <c r="AE70" i="3"/>
  <c r="AR23" i="3" s="1"/>
  <c r="H21" i="8" s="1"/>
  <c r="AE69" i="3"/>
  <c r="AR22" i="3" s="1"/>
  <c r="H20" i="8" s="1"/>
  <c r="AO21" i="2"/>
  <c r="T4" i="8" s="1"/>
  <c r="AA12" i="2"/>
  <c r="AC64" i="2"/>
  <c r="AO32" i="2" s="1"/>
  <c r="T15" i="8" s="1"/>
  <c r="AC63" i="2"/>
  <c r="AO31" i="2" s="1"/>
  <c r="T14" i="8" s="1"/>
  <c r="AC62" i="2"/>
  <c r="AO30" i="2" s="1"/>
  <c r="T13" i="8" s="1"/>
  <c r="AC61" i="2"/>
  <c r="AO29" i="2" s="1"/>
  <c r="T12" i="8" s="1"/>
  <c r="AC60" i="2"/>
  <c r="AO28" i="2" s="1"/>
  <c r="T11" i="8" s="1"/>
  <c r="Z60" i="2"/>
  <c r="Z61" i="2" s="1"/>
  <c r="AA61" i="2" s="1"/>
  <c r="AC59" i="2"/>
  <c r="AO27" i="2" s="1"/>
  <c r="T10" i="8" s="1"/>
  <c r="AA59" i="2"/>
  <c r="AC58" i="2"/>
  <c r="AO26" i="2" s="1"/>
  <c r="T9" i="8" s="1"/>
  <c r="Z58" i="2"/>
  <c r="AA58" i="2" s="1"/>
  <c r="AC57" i="2"/>
  <c r="AO25" i="2" s="1"/>
  <c r="T8" i="8" s="1"/>
  <c r="Z57" i="2"/>
  <c r="Z56" i="2" s="1"/>
  <c r="AA56" i="2" s="1"/>
  <c r="AC56" i="2"/>
  <c r="AO24" i="2" s="1"/>
  <c r="T7" i="8" s="1"/>
  <c r="AC55" i="2"/>
  <c r="AO23" i="2" s="1"/>
  <c r="T6" i="8" s="1"/>
  <c r="AC54" i="2"/>
  <c r="AO22" i="2" s="1"/>
  <c r="T5" i="8" s="1"/>
  <c r="AR21" i="1"/>
  <c r="H4" i="8" s="1"/>
  <c r="AC14" i="1"/>
  <c r="AE79" i="1"/>
  <c r="AR32" i="1" s="1"/>
  <c r="H15" i="8" s="1"/>
  <c r="AE78" i="1"/>
  <c r="AR31" i="1" s="1"/>
  <c r="H14" i="8" s="1"/>
  <c r="AE77" i="1"/>
  <c r="AR30" i="1" s="1"/>
  <c r="H13" i="8" s="1"/>
  <c r="AE76" i="1"/>
  <c r="AR29" i="1" s="1"/>
  <c r="H12" i="8" s="1"/>
  <c r="AE75" i="1"/>
  <c r="AR28" i="1" s="1"/>
  <c r="H11" i="8" s="1"/>
  <c r="AB75" i="1"/>
  <c r="AB76" i="1" s="1"/>
  <c r="AC76" i="1" s="1"/>
  <c r="AE74" i="1"/>
  <c r="AR27" i="1" s="1"/>
  <c r="H10" i="8" s="1"/>
  <c r="AC74" i="1"/>
  <c r="AE73" i="1"/>
  <c r="AR26" i="1" s="1"/>
  <c r="H9" i="8" s="1"/>
  <c r="AB73" i="1"/>
  <c r="AB72" i="1" s="1"/>
  <c r="AC72" i="1" s="1"/>
  <c r="AE72" i="1"/>
  <c r="AR25" i="1" s="1"/>
  <c r="H8" i="8" s="1"/>
  <c r="AE71" i="1"/>
  <c r="AR24" i="1" s="1"/>
  <c r="H7" i="8" s="1"/>
  <c r="AE70" i="1"/>
  <c r="AR23" i="1" s="1"/>
  <c r="H6" i="8" s="1"/>
  <c r="AE69" i="1"/>
  <c r="AR22" i="1" s="1"/>
  <c r="H5" i="8" s="1"/>
  <c r="O35" i="8"/>
  <c r="O36" i="8"/>
  <c r="O37" i="8"/>
  <c r="O38" i="8"/>
  <c r="O39" i="8"/>
  <c r="O40" i="8"/>
  <c r="O41" i="8"/>
  <c r="O42" i="8"/>
  <c r="O43" i="8"/>
  <c r="O44" i="8"/>
  <c r="O45" i="8"/>
  <c r="O20" i="8"/>
  <c r="O21" i="8"/>
  <c r="O22" i="8"/>
  <c r="O23" i="8"/>
  <c r="O24" i="8"/>
  <c r="O25" i="8"/>
  <c r="O26" i="8"/>
  <c r="O27" i="8"/>
  <c r="O28" i="8"/>
  <c r="O29" i="8"/>
  <c r="O30" i="8"/>
  <c r="O5" i="8"/>
  <c r="O6" i="8"/>
  <c r="O7" i="8"/>
  <c r="O8" i="8"/>
  <c r="O9" i="8"/>
  <c r="O10" i="8"/>
  <c r="O11" i="8"/>
  <c r="O12" i="8"/>
  <c r="O13" i="8"/>
  <c r="O14" i="8"/>
  <c r="O15" i="8"/>
  <c r="B35" i="8"/>
  <c r="B36" i="8"/>
  <c r="B37" i="8"/>
  <c r="B38" i="8"/>
  <c r="B39" i="8"/>
  <c r="B40" i="8"/>
  <c r="B41" i="8"/>
  <c r="B42" i="8"/>
  <c r="B43" i="8"/>
  <c r="B44" i="8"/>
  <c r="B45" i="8"/>
  <c r="B20" i="8"/>
  <c r="B21" i="8"/>
  <c r="B22" i="8"/>
  <c r="B23" i="8"/>
  <c r="B24" i="8"/>
  <c r="B25" i="8"/>
  <c r="B26" i="8"/>
  <c r="B27" i="8"/>
  <c r="B28" i="8"/>
  <c r="B29" i="8"/>
  <c r="B30" i="8"/>
  <c r="B5" i="8"/>
  <c r="B6" i="8"/>
  <c r="B7" i="8"/>
  <c r="B8" i="8"/>
  <c r="B9" i="8"/>
  <c r="B10" i="8"/>
  <c r="B11" i="8"/>
  <c r="B12" i="8"/>
  <c r="B13" i="8"/>
  <c r="B14" i="8"/>
  <c r="B15" i="8"/>
  <c r="J26" i="1"/>
  <c r="AC13" i="1" s="1"/>
  <c r="J42" i="1"/>
  <c r="AC12" i="1" s="1"/>
  <c r="B45" i="1"/>
  <c r="AJ64" i="5"/>
  <c r="AJ63" i="5"/>
  <c r="AJ62" i="5"/>
  <c r="AJ61" i="5"/>
  <c r="AJ60" i="5"/>
  <c r="AG60" i="5"/>
  <c r="AG61" i="5" s="1"/>
  <c r="AJ59" i="5"/>
  <c r="AH59" i="5"/>
  <c r="AJ58" i="5"/>
  <c r="AG58" i="5"/>
  <c r="AH58" i="5" s="1"/>
  <c r="AJ57" i="5"/>
  <c r="AG57" i="5"/>
  <c r="AG56" i="5" s="1"/>
  <c r="AJ56" i="5"/>
  <c r="AJ55" i="5"/>
  <c r="AJ54" i="5"/>
  <c r="AJ64" i="3"/>
  <c r="AJ63" i="3"/>
  <c r="AJ62" i="3"/>
  <c r="AJ61" i="3"/>
  <c r="AG61" i="3"/>
  <c r="AG62" i="3" s="1"/>
  <c r="AJ60" i="3"/>
  <c r="AG60" i="3"/>
  <c r="AH60" i="3" s="1"/>
  <c r="AJ59" i="3"/>
  <c r="AH59" i="3"/>
  <c r="AJ58" i="3"/>
  <c r="AG58" i="3"/>
  <c r="AH58" i="3" s="1"/>
  <c r="AJ57" i="3"/>
  <c r="AJ56" i="3"/>
  <c r="AJ55" i="3"/>
  <c r="AJ54" i="3"/>
  <c r="AJ54" i="1"/>
  <c r="AJ64" i="1"/>
  <c r="AJ63" i="1"/>
  <c r="AJ62" i="1"/>
  <c r="AJ61" i="1"/>
  <c r="AJ60" i="1"/>
  <c r="AG60" i="1"/>
  <c r="AG61" i="1" s="1"/>
  <c r="AJ59" i="1"/>
  <c r="AH59" i="1"/>
  <c r="AJ58" i="1"/>
  <c r="AG58" i="1"/>
  <c r="AH58" i="1" s="1"/>
  <c r="AJ57" i="1"/>
  <c r="AJ56" i="1"/>
  <c r="AJ55" i="1"/>
  <c r="Z55" i="4" l="1"/>
  <c r="AA55" i="4" s="1"/>
  <c r="AA56" i="4"/>
  <c r="Z56" i="6"/>
  <c r="AA56" i="6" s="1"/>
  <c r="AA57" i="6"/>
  <c r="AB71" i="3"/>
  <c r="AC72" i="3"/>
  <c r="AG57" i="1"/>
  <c r="AA60" i="4"/>
  <c r="AC73" i="1"/>
  <c r="AB76" i="5"/>
  <c r="AC75" i="1"/>
  <c r="AA57" i="2"/>
  <c r="AA58" i="6"/>
  <c r="AA60" i="2"/>
  <c r="AA60" i="6"/>
  <c r="AC73" i="3"/>
  <c r="AC75" i="3"/>
  <c r="AA57" i="4"/>
  <c r="Z62" i="6"/>
  <c r="AA62" i="6" s="1"/>
  <c r="Z55" i="6"/>
  <c r="AA55" i="6" s="1"/>
  <c r="AB72" i="5"/>
  <c r="AC72" i="5" s="1"/>
  <c r="Z54" i="4"/>
  <c r="AA54" i="4" s="1"/>
  <c r="Z62" i="4"/>
  <c r="AA62" i="4" s="1"/>
  <c r="AB77" i="3"/>
  <c r="AC77" i="3" s="1"/>
  <c r="Z62" i="2"/>
  <c r="AA62" i="2" s="1"/>
  <c r="Z55" i="2"/>
  <c r="AA55" i="2" s="1"/>
  <c r="AB77" i="1"/>
  <c r="AC77" i="1" s="1"/>
  <c r="AB71" i="1"/>
  <c r="AC71" i="1" s="1"/>
  <c r="AG62" i="5"/>
  <c r="AH61" i="5"/>
  <c r="AG55" i="5"/>
  <c r="AH56" i="5"/>
  <c r="AH57" i="5"/>
  <c r="AH60" i="5"/>
  <c r="AG63" i="3"/>
  <c r="AH62" i="3"/>
  <c r="AH61" i="3"/>
  <c r="AG57" i="3"/>
  <c r="AG62" i="1"/>
  <c r="AH61" i="1"/>
  <c r="AH60" i="1"/>
  <c r="AB70" i="3" l="1"/>
  <c r="AC71" i="3"/>
  <c r="AH57" i="1"/>
  <c r="AG56" i="1"/>
  <c r="AB77" i="5"/>
  <c r="AC76" i="5"/>
  <c r="Z63" i="6"/>
  <c r="AA63" i="6" s="1"/>
  <c r="Z54" i="6"/>
  <c r="AA54" i="6" s="1"/>
  <c r="AB71" i="5"/>
  <c r="AC71" i="5" s="1"/>
  <c r="Z63" i="4"/>
  <c r="AA63" i="4" s="1"/>
  <c r="AB78" i="3"/>
  <c r="AC78" i="3" s="1"/>
  <c r="Z54" i="2"/>
  <c r="AA54" i="2" s="1"/>
  <c r="Z63" i="2"/>
  <c r="AA63" i="2" s="1"/>
  <c r="AB70" i="1"/>
  <c r="AC70" i="1" s="1"/>
  <c r="AB78" i="1"/>
  <c r="AC78" i="1" s="1"/>
  <c r="AG63" i="5"/>
  <c r="AH62" i="5"/>
  <c r="AG54" i="5"/>
  <c r="AH54" i="5" s="1"/>
  <c r="AH55" i="5"/>
  <c r="AG64" i="3"/>
  <c r="AH64" i="3" s="1"/>
  <c r="AH63" i="3"/>
  <c r="AH57" i="3"/>
  <c r="AG56" i="3"/>
  <c r="AH62" i="1"/>
  <c r="AG63" i="1"/>
  <c r="AC77" i="5" l="1"/>
  <c r="AB78" i="5"/>
  <c r="AH56" i="1"/>
  <c r="AG55" i="1"/>
  <c r="AC70" i="3"/>
  <c r="AB69" i="3"/>
  <c r="AC69" i="3" s="1"/>
  <c r="Z64" i="6"/>
  <c r="AA64" i="6" s="1"/>
  <c r="AB70" i="5"/>
  <c r="AC70" i="5" s="1"/>
  <c r="Z64" i="4"/>
  <c r="AA64" i="4" s="1"/>
  <c r="AB79" i="3"/>
  <c r="AC79" i="3" s="1"/>
  <c r="Z64" i="2"/>
  <c r="AA64" i="2" s="1"/>
  <c r="AB79" i="1"/>
  <c r="AC79" i="1" s="1"/>
  <c r="AB69" i="1"/>
  <c r="AC69" i="1" s="1"/>
  <c r="AG64" i="5"/>
  <c r="AH64" i="5" s="1"/>
  <c r="AH63" i="5"/>
  <c r="AG55" i="3"/>
  <c r="AH56" i="3"/>
  <c r="AG64" i="1"/>
  <c r="AH64" i="1" s="1"/>
  <c r="AH63" i="1"/>
  <c r="AH55" i="1" l="1"/>
  <c r="AG54" i="1"/>
  <c r="AH54" i="1" s="1"/>
  <c r="AC78" i="5"/>
  <c r="AB79" i="5"/>
  <c r="AC79" i="5" s="1"/>
  <c r="AH55" i="3"/>
  <c r="AG54" i="3"/>
  <c r="AH54" i="3" s="1"/>
  <c r="F47" i="5" l="1"/>
  <c r="F46" i="5"/>
  <c r="F48" i="5" s="1"/>
  <c r="F45" i="5"/>
  <c r="B46" i="5"/>
  <c r="B48" i="5" s="1"/>
  <c r="AC9" i="5" s="1"/>
  <c r="J26" i="5"/>
  <c r="F47" i="3"/>
  <c r="F46" i="3"/>
  <c r="F48" i="3" s="1"/>
  <c r="F45" i="3"/>
  <c r="B46" i="3"/>
  <c r="B48" i="3" s="1"/>
  <c r="AC9" i="3" s="1"/>
  <c r="J26" i="3"/>
  <c r="F47" i="1"/>
  <c r="F45" i="1"/>
  <c r="F46" i="1" s="1"/>
  <c r="F48" i="1" s="1"/>
  <c r="B46" i="1"/>
  <c r="B48" i="1" s="1"/>
  <c r="AC9" i="1" s="1"/>
  <c r="F49" i="1"/>
  <c r="F51" i="1" s="1"/>
  <c r="J36" i="6"/>
  <c r="AA11" i="6" s="1"/>
  <c r="J42" i="5"/>
  <c r="AC12" i="5" s="1"/>
  <c r="J36" i="4"/>
  <c r="AA11" i="4" s="1"/>
  <c r="J42" i="3"/>
  <c r="AC12" i="3" s="1"/>
  <c r="J36" i="2"/>
  <c r="AA11" i="2" s="1"/>
  <c r="P54" i="6"/>
  <c r="AH49" i="6"/>
  <c r="AN32" i="6" s="1"/>
  <c r="S45" i="8" s="1"/>
  <c r="AC49" i="6"/>
  <c r="AM32" i="6" s="1"/>
  <c r="R45" i="8" s="1"/>
  <c r="AH48" i="6"/>
  <c r="AN31" i="6" s="1"/>
  <c r="S44" i="8" s="1"/>
  <c r="AC48" i="6"/>
  <c r="AM31" i="6" s="1"/>
  <c r="R44" i="8" s="1"/>
  <c r="AH47" i="6"/>
  <c r="AN30" i="6" s="1"/>
  <c r="S43" i="8" s="1"/>
  <c r="AC47" i="6"/>
  <c r="AM30" i="6" s="1"/>
  <c r="R43" i="8" s="1"/>
  <c r="AH46" i="6"/>
  <c r="AN29" i="6" s="1"/>
  <c r="S42" i="8" s="1"/>
  <c r="AC46" i="6"/>
  <c r="AM29" i="6" s="1"/>
  <c r="R42" i="8" s="1"/>
  <c r="AH45" i="6"/>
  <c r="AN28" i="6" s="1"/>
  <c r="S41" i="8" s="1"/>
  <c r="AE45" i="6"/>
  <c r="AF45" i="6" s="1"/>
  <c r="AC45" i="6"/>
  <c r="AM28" i="6" s="1"/>
  <c r="R41" i="8" s="1"/>
  <c r="Z45" i="6"/>
  <c r="AH44" i="6"/>
  <c r="AN27" i="6" s="1"/>
  <c r="S40" i="8" s="1"/>
  <c r="AF44" i="6"/>
  <c r="AC44" i="6"/>
  <c r="AM27" i="6" s="1"/>
  <c r="R40" i="8" s="1"/>
  <c r="AA44" i="6"/>
  <c r="AH43" i="6"/>
  <c r="AN26" i="6" s="1"/>
  <c r="S39" i="8" s="1"/>
  <c r="AE43" i="6"/>
  <c r="AE42" i="6" s="1"/>
  <c r="AC43" i="6"/>
  <c r="AM26" i="6" s="1"/>
  <c r="R39" i="8" s="1"/>
  <c r="Z43" i="6"/>
  <c r="B43" i="6"/>
  <c r="AH42" i="6"/>
  <c r="AN25" i="6" s="1"/>
  <c r="S38" i="8" s="1"/>
  <c r="AC42" i="6"/>
  <c r="AM25" i="6" s="1"/>
  <c r="R38" i="8" s="1"/>
  <c r="AH41" i="6"/>
  <c r="AN24" i="6" s="1"/>
  <c r="S37" i="8" s="1"/>
  <c r="AC41" i="6"/>
  <c r="AM24" i="6" s="1"/>
  <c r="R37" i="8" s="1"/>
  <c r="F41" i="6"/>
  <c r="AH40" i="6"/>
  <c r="AN23" i="6" s="1"/>
  <c r="S36" i="8" s="1"/>
  <c r="AC40" i="6"/>
  <c r="AM23" i="6" s="1"/>
  <c r="R36" i="8" s="1"/>
  <c r="B40" i="6"/>
  <c r="AH39" i="6"/>
  <c r="AN22" i="6" s="1"/>
  <c r="S35" i="8" s="1"/>
  <c r="AC39" i="6"/>
  <c r="AM22" i="6" s="1"/>
  <c r="R35" i="8" s="1"/>
  <c r="B38" i="6"/>
  <c r="B37" i="6"/>
  <c r="F36" i="6"/>
  <c r="AA8" i="6" s="1"/>
  <c r="AH34" i="6"/>
  <c r="AK32" i="6" s="1"/>
  <c r="P45" i="8" s="1"/>
  <c r="AC34" i="6"/>
  <c r="AL32" i="6" s="1"/>
  <c r="Q45" i="8" s="1"/>
  <c r="AH33" i="6"/>
  <c r="AK31" i="6" s="1"/>
  <c r="P44" i="8" s="1"/>
  <c r="AC33" i="6"/>
  <c r="AL31" i="6" s="1"/>
  <c r="Q44" i="8" s="1"/>
  <c r="J33" i="6"/>
  <c r="B33" i="6"/>
  <c r="AH32" i="6"/>
  <c r="AK30" i="6" s="1"/>
  <c r="P43" i="8" s="1"/>
  <c r="AC32" i="6"/>
  <c r="AL30" i="6" s="1"/>
  <c r="Q43" i="8" s="1"/>
  <c r="B32" i="6"/>
  <c r="B46" i="6" s="1"/>
  <c r="AH31" i="6"/>
  <c r="AK29" i="6" s="1"/>
  <c r="P42" i="8" s="1"/>
  <c r="AC31" i="6"/>
  <c r="AL29" i="6" s="1"/>
  <c r="Q42" i="8" s="1"/>
  <c r="B31" i="6"/>
  <c r="AH30" i="6"/>
  <c r="AK28" i="6" s="1"/>
  <c r="P41" i="8" s="1"/>
  <c r="AE30" i="6"/>
  <c r="AE31" i="6" s="1"/>
  <c r="AE32" i="6" s="1"/>
  <c r="AC30" i="6"/>
  <c r="AL28" i="6" s="1"/>
  <c r="Q41" i="8" s="1"/>
  <c r="Z30" i="6"/>
  <c r="Z31" i="6" s="1"/>
  <c r="Z32" i="6" s="1"/>
  <c r="Z33" i="6" s="1"/>
  <c r="AH29" i="6"/>
  <c r="AK27" i="6" s="1"/>
  <c r="P40" i="8" s="1"/>
  <c r="AF29" i="6"/>
  <c r="AC29" i="6"/>
  <c r="AL27" i="6" s="1"/>
  <c r="Q40" i="8" s="1"/>
  <c r="AA29" i="6"/>
  <c r="AH28" i="6"/>
  <c r="AK26" i="6" s="1"/>
  <c r="P39" i="8" s="1"/>
  <c r="AE28" i="6"/>
  <c r="AC28" i="6"/>
  <c r="AL26" i="6" s="1"/>
  <c r="Q39" i="8" s="1"/>
  <c r="Z28" i="6"/>
  <c r="Z27" i="6" s="1"/>
  <c r="Z26" i="6" s="1"/>
  <c r="AH27" i="6"/>
  <c r="AK25" i="6" s="1"/>
  <c r="P38" i="8" s="1"/>
  <c r="AC27" i="6"/>
  <c r="AL25" i="6" s="1"/>
  <c r="Q38" i="8" s="1"/>
  <c r="AH26" i="6"/>
  <c r="AK24" i="6" s="1"/>
  <c r="P37" i="8" s="1"/>
  <c r="AC26" i="6"/>
  <c r="AL24" i="6" s="1"/>
  <c r="Q37" i="8" s="1"/>
  <c r="AH25" i="6"/>
  <c r="AK23" i="6" s="1"/>
  <c r="P36" i="8" s="1"/>
  <c r="AC25" i="6"/>
  <c r="AL23" i="6" s="1"/>
  <c r="Q36" i="8" s="1"/>
  <c r="AH24" i="6"/>
  <c r="AK22" i="6" s="1"/>
  <c r="P35" i="8" s="1"/>
  <c r="AC24" i="6"/>
  <c r="AL22" i="6" s="1"/>
  <c r="Q35" i="8" s="1"/>
  <c r="B19" i="6"/>
  <c r="B39" i="6" s="1"/>
  <c r="F16" i="6"/>
  <c r="J32" i="6" s="1"/>
  <c r="AA10" i="6"/>
  <c r="N10" i="6"/>
  <c r="T10" i="6" s="1"/>
  <c r="T9" i="6"/>
  <c r="AE64" i="5"/>
  <c r="AQ32" i="5" s="1"/>
  <c r="G45" i="8" s="1"/>
  <c r="AE63" i="5"/>
  <c r="AQ31" i="5" s="1"/>
  <c r="G44" i="8" s="1"/>
  <c r="AE62" i="5"/>
  <c r="AQ30" i="5" s="1"/>
  <c r="G43" i="8" s="1"/>
  <c r="AE61" i="5"/>
  <c r="AQ29" i="5" s="1"/>
  <c r="G42" i="8" s="1"/>
  <c r="AE60" i="5"/>
  <c r="AQ28" i="5" s="1"/>
  <c r="G41" i="8" s="1"/>
  <c r="AB60" i="5"/>
  <c r="AE59" i="5"/>
  <c r="AQ27" i="5" s="1"/>
  <c r="G40" i="8" s="1"/>
  <c r="AC59" i="5"/>
  <c r="AE58" i="5"/>
  <c r="AQ26" i="5" s="1"/>
  <c r="G39" i="8" s="1"/>
  <c r="AB58" i="5"/>
  <c r="AE57" i="5"/>
  <c r="AQ25" i="5" s="1"/>
  <c r="G38" i="8" s="1"/>
  <c r="AE56" i="5"/>
  <c r="AQ24" i="5" s="1"/>
  <c r="G37" i="8" s="1"/>
  <c r="AE55" i="5"/>
  <c r="AQ23" i="5" s="1"/>
  <c r="G36" i="8" s="1"/>
  <c r="AE54" i="5"/>
  <c r="AQ22" i="5" s="1"/>
  <c r="G35" i="8" s="1"/>
  <c r="P54" i="5"/>
  <c r="AJ49" i="5"/>
  <c r="AP32" i="5" s="1"/>
  <c r="F45" i="8" s="1"/>
  <c r="AE49" i="5"/>
  <c r="AO32" i="5" s="1"/>
  <c r="E45" i="8" s="1"/>
  <c r="AJ48" i="5"/>
  <c r="AP31" i="5" s="1"/>
  <c r="F44" i="8" s="1"/>
  <c r="AE48" i="5"/>
  <c r="AO31" i="5" s="1"/>
  <c r="E44" i="8" s="1"/>
  <c r="AJ47" i="5"/>
  <c r="AP30" i="5" s="1"/>
  <c r="F43" i="8" s="1"/>
  <c r="AE47" i="5"/>
  <c r="AO30" i="5" s="1"/>
  <c r="E43" i="8" s="1"/>
  <c r="AJ46" i="5"/>
  <c r="AP29" i="5" s="1"/>
  <c r="F42" i="8" s="1"/>
  <c r="AE46" i="5"/>
  <c r="AO29" i="5" s="1"/>
  <c r="E42" i="8" s="1"/>
  <c r="AJ45" i="5"/>
  <c r="AP28" i="5" s="1"/>
  <c r="F41" i="8" s="1"/>
  <c r="AG45" i="5"/>
  <c r="AE45" i="5"/>
  <c r="AO28" i="5" s="1"/>
  <c r="E41" i="8" s="1"/>
  <c r="AB45" i="5"/>
  <c r="AC45" i="5" s="1"/>
  <c r="B45" i="5"/>
  <c r="B47" i="5" s="1"/>
  <c r="AJ44" i="5"/>
  <c r="AP27" i="5" s="1"/>
  <c r="F40" i="8" s="1"/>
  <c r="AH44" i="5"/>
  <c r="AE44" i="5"/>
  <c r="AO27" i="5" s="1"/>
  <c r="E40" i="8" s="1"/>
  <c r="AC44" i="5"/>
  <c r="AJ43" i="5"/>
  <c r="AP26" i="5" s="1"/>
  <c r="F39" i="8" s="1"/>
  <c r="AG43" i="5"/>
  <c r="AE43" i="5"/>
  <c r="AO26" i="5" s="1"/>
  <c r="E39" i="8" s="1"/>
  <c r="AB43" i="5"/>
  <c r="AC43" i="5" s="1"/>
  <c r="AJ42" i="5"/>
  <c r="AP25" i="5" s="1"/>
  <c r="F38" i="8" s="1"/>
  <c r="AE42" i="5"/>
  <c r="AO25" i="5" s="1"/>
  <c r="E38" i="8" s="1"/>
  <c r="AJ41" i="5"/>
  <c r="AP24" i="5" s="1"/>
  <c r="F37" i="8" s="1"/>
  <c r="AE41" i="5"/>
  <c r="AO24" i="5" s="1"/>
  <c r="E37" i="8" s="1"/>
  <c r="AJ40" i="5"/>
  <c r="AP23" i="5" s="1"/>
  <c r="F36" i="8" s="1"/>
  <c r="AE40" i="5"/>
  <c r="AO23" i="5" s="1"/>
  <c r="E36" i="8" s="1"/>
  <c r="B40" i="5"/>
  <c r="AJ39" i="5"/>
  <c r="AP22" i="5" s="1"/>
  <c r="F35" i="8" s="1"/>
  <c r="AE39" i="5"/>
  <c r="AO22" i="5" s="1"/>
  <c r="E35" i="8" s="1"/>
  <c r="J39" i="5"/>
  <c r="J38" i="5"/>
  <c r="B38" i="5"/>
  <c r="F37" i="5"/>
  <c r="F40" i="5" s="1"/>
  <c r="B37" i="5"/>
  <c r="F36" i="5"/>
  <c r="F38" i="5" s="1"/>
  <c r="F41" i="5" s="1"/>
  <c r="AJ34" i="5"/>
  <c r="AM32" i="5" s="1"/>
  <c r="C45" i="8" s="1"/>
  <c r="AE34" i="5"/>
  <c r="AN32" i="5" s="1"/>
  <c r="D45" i="8" s="1"/>
  <c r="J34" i="5"/>
  <c r="AJ33" i="5"/>
  <c r="AM31" i="5" s="1"/>
  <c r="C44" i="8" s="1"/>
  <c r="AE33" i="5"/>
  <c r="AN31" i="5" s="1"/>
  <c r="D44" i="8" s="1"/>
  <c r="B33" i="5"/>
  <c r="AJ32" i="5"/>
  <c r="AM30" i="5" s="1"/>
  <c r="C43" i="8" s="1"/>
  <c r="AE32" i="5"/>
  <c r="AN30" i="5" s="1"/>
  <c r="D43" i="8" s="1"/>
  <c r="B32" i="5"/>
  <c r="AJ31" i="5"/>
  <c r="AM29" i="5" s="1"/>
  <c r="C42" i="8" s="1"/>
  <c r="AE31" i="5"/>
  <c r="AN29" i="5" s="1"/>
  <c r="D42" i="8" s="1"/>
  <c r="J31" i="5"/>
  <c r="B31" i="5"/>
  <c r="AJ30" i="5"/>
  <c r="AM28" i="5" s="1"/>
  <c r="C41" i="8" s="1"/>
  <c r="AG30" i="5"/>
  <c r="AG31" i="5" s="1"/>
  <c r="AE30" i="5"/>
  <c r="AN28" i="5" s="1"/>
  <c r="D41" i="8" s="1"/>
  <c r="AB30" i="5"/>
  <c r="AJ29" i="5"/>
  <c r="AM27" i="5" s="1"/>
  <c r="C40" i="8" s="1"/>
  <c r="AH29" i="5"/>
  <c r="AE29" i="5"/>
  <c r="AN27" i="5" s="1"/>
  <c r="D40" i="8" s="1"/>
  <c r="AC29" i="5"/>
  <c r="AJ28" i="5"/>
  <c r="AM26" i="5" s="1"/>
  <c r="C39" i="8" s="1"/>
  <c r="AG28" i="5"/>
  <c r="AG27" i="5" s="1"/>
  <c r="AG26" i="5" s="1"/>
  <c r="AH26" i="5" s="1"/>
  <c r="AE28" i="5"/>
  <c r="AN26" i="5" s="1"/>
  <c r="D39" i="8" s="1"/>
  <c r="AB28" i="5"/>
  <c r="AB27" i="5" s="1"/>
  <c r="AJ27" i="5"/>
  <c r="AM25" i="5" s="1"/>
  <c r="C38" i="8" s="1"/>
  <c r="AE27" i="5"/>
  <c r="AN25" i="5" s="1"/>
  <c r="D38" i="8" s="1"/>
  <c r="AJ26" i="5"/>
  <c r="AM24" i="5" s="1"/>
  <c r="C37" i="8" s="1"/>
  <c r="AE26" i="5"/>
  <c r="AN24" i="5" s="1"/>
  <c r="D37" i="8" s="1"/>
  <c r="AJ25" i="5"/>
  <c r="AM23" i="5" s="1"/>
  <c r="C36" i="8" s="1"/>
  <c r="AE25" i="5"/>
  <c r="AN23" i="5" s="1"/>
  <c r="D36" i="8" s="1"/>
  <c r="AJ24" i="5"/>
  <c r="AM22" i="5" s="1"/>
  <c r="C35" i="8" s="1"/>
  <c r="AE24" i="5"/>
  <c r="AN22" i="5" s="1"/>
  <c r="D35" i="8" s="1"/>
  <c r="B19" i="5"/>
  <c r="B39" i="5" s="1"/>
  <c r="AC11" i="5"/>
  <c r="N10" i="5"/>
  <c r="N11" i="5" s="1"/>
  <c r="W11" i="5" s="1"/>
  <c r="W9" i="5"/>
  <c r="AC8" i="5"/>
  <c r="P54" i="4"/>
  <c r="AH49" i="4"/>
  <c r="AN32" i="4" s="1"/>
  <c r="S30" i="8" s="1"/>
  <c r="AC49" i="4"/>
  <c r="AM32" i="4" s="1"/>
  <c r="R30" i="8" s="1"/>
  <c r="AH48" i="4"/>
  <c r="AN31" i="4" s="1"/>
  <c r="S29" i="8" s="1"/>
  <c r="AC48" i="4"/>
  <c r="AM31" i="4" s="1"/>
  <c r="R29" i="8" s="1"/>
  <c r="AH47" i="4"/>
  <c r="AN30" i="4" s="1"/>
  <c r="S28" i="8" s="1"/>
  <c r="AC47" i="4"/>
  <c r="AM30" i="4" s="1"/>
  <c r="R28" i="8" s="1"/>
  <c r="AH46" i="4"/>
  <c r="AN29" i="4" s="1"/>
  <c r="S27" i="8" s="1"/>
  <c r="AC46" i="4"/>
  <c r="AM29" i="4" s="1"/>
  <c r="R27" i="8" s="1"/>
  <c r="AH45" i="4"/>
  <c r="AN28" i="4" s="1"/>
  <c r="S26" i="8" s="1"/>
  <c r="AE45" i="4"/>
  <c r="AF45" i="4" s="1"/>
  <c r="AC45" i="4"/>
  <c r="AM28" i="4" s="1"/>
  <c r="R26" i="8" s="1"/>
  <c r="Z45" i="4"/>
  <c r="Z46" i="4" s="1"/>
  <c r="AH44" i="4"/>
  <c r="AN27" i="4" s="1"/>
  <c r="S25" i="8" s="1"/>
  <c r="AF44" i="4"/>
  <c r="AC44" i="4"/>
  <c r="AM27" i="4" s="1"/>
  <c r="R25" i="8" s="1"/>
  <c r="AA44" i="4"/>
  <c r="AH43" i="4"/>
  <c r="AN26" i="4" s="1"/>
  <c r="S24" i="8" s="1"/>
  <c r="AE43" i="4"/>
  <c r="AE42" i="4" s="1"/>
  <c r="AE41" i="4" s="1"/>
  <c r="AE40" i="4" s="1"/>
  <c r="AC43" i="4"/>
  <c r="AM26" i="4" s="1"/>
  <c r="R24" i="8" s="1"/>
  <c r="Z43" i="4"/>
  <c r="AA43" i="4" s="1"/>
  <c r="B43" i="4"/>
  <c r="AH42" i="4"/>
  <c r="AN25" i="4" s="1"/>
  <c r="S23" i="8" s="1"/>
  <c r="AC42" i="4"/>
  <c r="AM25" i="4" s="1"/>
  <c r="R23" i="8" s="1"/>
  <c r="AH41" i="4"/>
  <c r="AN24" i="4" s="1"/>
  <c r="S22" i="8" s="1"/>
  <c r="AF41" i="4"/>
  <c r="AC41" i="4"/>
  <c r="AM24" i="4" s="1"/>
  <c r="R22" i="8" s="1"/>
  <c r="F41" i="4"/>
  <c r="AH40" i="4"/>
  <c r="AN23" i="4" s="1"/>
  <c r="S21" i="8" s="1"/>
  <c r="AC40" i="4"/>
  <c r="AM23" i="4" s="1"/>
  <c r="R21" i="8" s="1"/>
  <c r="B40" i="4"/>
  <c r="AH39" i="4"/>
  <c r="AN22" i="4" s="1"/>
  <c r="S20" i="8" s="1"/>
  <c r="AC39" i="4"/>
  <c r="AM22" i="4" s="1"/>
  <c r="R20" i="8" s="1"/>
  <c r="B38" i="4"/>
  <c r="B37" i="4"/>
  <c r="F36" i="4"/>
  <c r="AH34" i="4"/>
  <c r="AK32" i="4" s="1"/>
  <c r="P30" i="8" s="1"/>
  <c r="AC34" i="4"/>
  <c r="AL32" i="4" s="1"/>
  <c r="Q30" i="8" s="1"/>
  <c r="AH33" i="4"/>
  <c r="AK31" i="4" s="1"/>
  <c r="P29" i="8" s="1"/>
  <c r="AC33" i="4"/>
  <c r="AL31" i="4" s="1"/>
  <c r="Q29" i="8" s="1"/>
  <c r="J33" i="4"/>
  <c r="B33" i="4"/>
  <c r="AH32" i="4"/>
  <c r="AK30" i="4" s="1"/>
  <c r="P28" i="8" s="1"/>
  <c r="AC32" i="4"/>
  <c r="AL30" i="4" s="1"/>
  <c r="Q28" i="8" s="1"/>
  <c r="B32" i="4"/>
  <c r="AH31" i="4"/>
  <c r="AK29" i="4" s="1"/>
  <c r="P27" i="8" s="1"/>
  <c r="AC31" i="4"/>
  <c r="AL29" i="4" s="1"/>
  <c r="Q27" i="8" s="1"/>
  <c r="B31" i="4"/>
  <c r="B46" i="4" s="1"/>
  <c r="AH30" i="4"/>
  <c r="AK28" i="4" s="1"/>
  <c r="P26" i="8" s="1"/>
  <c r="AE30" i="4"/>
  <c r="AC30" i="4"/>
  <c r="AL28" i="4" s="1"/>
  <c r="Q26" i="8" s="1"/>
  <c r="Z30" i="4"/>
  <c r="AH29" i="4"/>
  <c r="AK27" i="4" s="1"/>
  <c r="P25" i="8" s="1"/>
  <c r="AF29" i="4"/>
  <c r="AC29" i="4"/>
  <c r="AL27" i="4" s="1"/>
  <c r="Q25" i="8" s="1"/>
  <c r="AA29" i="4"/>
  <c r="AH28" i="4"/>
  <c r="AK26" i="4" s="1"/>
  <c r="P24" i="8" s="1"/>
  <c r="AE28" i="4"/>
  <c r="AF28" i="4" s="1"/>
  <c r="AC28" i="4"/>
  <c r="AL26" i="4" s="1"/>
  <c r="Q24" i="8" s="1"/>
  <c r="Z28" i="4"/>
  <c r="AH27" i="4"/>
  <c r="AK25" i="4" s="1"/>
  <c r="P23" i="8" s="1"/>
  <c r="AC27" i="4"/>
  <c r="AL25" i="4" s="1"/>
  <c r="Q23" i="8" s="1"/>
  <c r="AH26" i="4"/>
  <c r="AK24" i="4" s="1"/>
  <c r="P22" i="8" s="1"/>
  <c r="AC26" i="4"/>
  <c r="AL24" i="4" s="1"/>
  <c r="Q22" i="8" s="1"/>
  <c r="AH25" i="4"/>
  <c r="AK23" i="4" s="1"/>
  <c r="P21" i="8" s="1"/>
  <c r="AC25" i="4"/>
  <c r="AL23" i="4" s="1"/>
  <c r="Q21" i="8" s="1"/>
  <c r="AH24" i="4"/>
  <c r="AK22" i="4" s="1"/>
  <c r="P20" i="8" s="1"/>
  <c r="AC24" i="4"/>
  <c r="AL22" i="4" s="1"/>
  <c r="Q20" i="8" s="1"/>
  <c r="B19" i="4"/>
  <c r="B39" i="4" s="1"/>
  <c r="F16" i="4"/>
  <c r="J32" i="4" s="1"/>
  <c r="AA10" i="4"/>
  <c r="N10" i="4"/>
  <c r="T9" i="4"/>
  <c r="AE64" i="3"/>
  <c r="AQ32" i="3" s="1"/>
  <c r="G30" i="8" s="1"/>
  <c r="AE63" i="3"/>
  <c r="AQ31" i="3" s="1"/>
  <c r="G29" i="8" s="1"/>
  <c r="AE62" i="3"/>
  <c r="AQ30" i="3" s="1"/>
  <c r="G28" i="8" s="1"/>
  <c r="AE61" i="3"/>
  <c r="AQ29" i="3" s="1"/>
  <c r="G27" i="8" s="1"/>
  <c r="AE60" i="3"/>
  <c r="AQ28" i="3" s="1"/>
  <c r="G26" i="8" s="1"/>
  <c r="AB60" i="3"/>
  <c r="AB61" i="3" s="1"/>
  <c r="AC61" i="3" s="1"/>
  <c r="AE59" i="3"/>
  <c r="AQ27" i="3" s="1"/>
  <c r="G25" i="8" s="1"/>
  <c r="AC59" i="3"/>
  <c r="AE58" i="3"/>
  <c r="AQ26" i="3" s="1"/>
  <c r="G24" i="8" s="1"/>
  <c r="AB58" i="3"/>
  <c r="AC58" i="3" s="1"/>
  <c r="AE57" i="3"/>
  <c r="AQ25" i="3" s="1"/>
  <c r="G23" i="8" s="1"/>
  <c r="AB57" i="3"/>
  <c r="AE56" i="3"/>
  <c r="AQ24" i="3" s="1"/>
  <c r="G22" i="8" s="1"/>
  <c r="AE55" i="3"/>
  <c r="AQ23" i="3" s="1"/>
  <c r="G21" i="8" s="1"/>
  <c r="AE54" i="3"/>
  <c r="AQ22" i="3" s="1"/>
  <c r="G20" i="8" s="1"/>
  <c r="P54" i="3"/>
  <c r="AJ49" i="3"/>
  <c r="AP32" i="3" s="1"/>
  <c r="F30" i="8" s="1"/>
  <c r="AE49" i="3"/>
  <c r="AO32" i="3" s="1"/>
  <c r="E30" i="8" s="1"/>
  <c r="AJ48" i="3"/>
  <c r="AP31" i="3" s="1"/>
  <c r="F29" i="8" s="1"/>
  <c r="AE48" i="3"/>
  <c r="AO31" i="3" s="1"/>
  <c r="E29" i="8" s="1"/>
  <c r="AJ47" i="3"/>
  <c r="AP30" i="3" s="1"/>
  <c r="F28" i="8" s="1"/>
  <c r="AE47" i="3"/>
  <c r="AO30" i="3" s="1"/>
  <c r="E28" i="8" s="1"/>
  <c r="AJ46" i="3"/>
  <c r="AP29" i="3" s="1"/>
  <c r="F27" i="8" s="1"/>
  <c r="AE46" i="3"/>
  <c r="AO29" i="3" s="1"/>
  <c r="E27" i="8" s="1"/>
  <c r="AJ45" i="3"/>
  <c r="AP28" i="3" s="1"/>
  <c r="F26" i="8" s="1"/>
  <c r="AG45" i="3"/>
  <c r="AG46" i="3" s="1"/>
  <c r="AG47" i="3" s="1"/>
  <c r="AG48" i="3" s="1"/>
  <c r="AG49" i="3" s="1"/>
  <c r="AH49" i="3" s="1"/>
  <c r="AE45" i="3"/>
  <c r="AO28" i="3" s="1"/>
  <c r="E26" i="8" s="1"/>
  <c r="AB45" i="3"/>
  <c r="B45" i="3"/>
  <c r="B47" i="3" s="1"/>
  <c r="AJ44" i="3"/>
  <c r="AP27" i="3" s="1"/>
  <c r="F25" i="8" s="1"/>
  <c r="AH44" i="3"/>
  <c r="AE44" i="3"/>
  <c r="AO27" i="3" s="1"/>
  <c r="E25" i="8" s="1"/>
  <c r="AC44" i="3"/>
  <c r="AJ43" i="3"/>
  <c r="AP26" i="3" s="1"/>
  <c r="F24" i="8" s="1"/>
  <c r="AG43" i="3"/>
  <c r="AE43" i="3"/>
  <c r="AO26" i="3" s="1"/>
  <c r="E24" i="8" s="1"/>
  <c r="AB43" i="3"/>
  <c r="AB42" i="3" s="1"/>
  <c r="AB41" i="3" s="1"/>
  <c r="AJ42" i="3"/>
  <c r="AP25" i="3" s="1"/>
  <c r="F23" i="8" s="1"/>
  <c r="AE42" i="3"/>
  <c r="AO25" i="3" s="1"/>
  <c r="E23" i="8" s="1"/>
  <c r="AJ41" i="3"/>
  <c r="AP24" i="3" s="1"/>
  <c r="F22" i="8" s="1"/>
  <c r="AE41" i="3"/>
  <c r="AO24" i="3" s="1"/>
  <c r="E22" i="8" s="1"/>
  <c r="AJ40" i="3"/>
  <c r="AP23" i="3" s="1"/>
  <c r="F21" i="8" s="1"/>
  <c r="AE40" i="3"/>
  <c r="AO23" i="3" s="1"/>
  <c r="E21" i="8" s="1"/>
  <c r="B40" i="3"/>
  <c r="AJ39" i="3"/>
  <c r="AP22" i="3" s="1"/>
  <c r="F20" i="8" s="1"/>
  <c r="AE39" i="3"/>
  <c r="AO22" i="3" s="1"/>
  <c r="E20" i="8" s="1"/>
  <c r="J39" i="3"/>
  <c r="J38" i="3"/>
  <c r="B38" i="3"/>
  <c r="F37" i="3"/>
  <c r="F40" i="3" s="1"/>
  <c r="R9" i="3" s="1"/>
  <c r="B37" i="3"/>
  <c r="F36" i="3"/>
  <c r="AJ34" i="3"/>
  <c r="AM32" i="3" s="1"/>
  <c r="C30" i="8" s="1"/>
  <c r="AE34" i="3"/>
  <c r="AN32" i="3" s="1"/>
  <c r="D30" i="8" s="1"/>
  <c r="J34" i="3"/>
  <c r="AJ33" i="3"/>
  <c r="AM31" i="3" s="1"/>
  <c r="C29" i="8" s="1"/>
  <c r="AE33" i="3"/>
  <c r="AN31" i="3" s="1"/>
  <c r="D29" i="8" s="1"/>
  <c r="B33" i="3"/>
  <c r="AJ32" i="3"/>
  <c r="AM30" i="3" s="1"/>
  <c r="C28" i="8" s="1"/>
  <c r="AE32" i="3"/>
  <c r="AN30" i="3" s="1"/>
  <c r="D28" i="8" s="1"/>
  <c r="B32" i="3"/>
  <c r="AJ31" i="3"/>
  <c r="AM29" i="3" s="1"/>
  <c r="C27" i="8" s="1"/>
  <c r="AE31" i="3"/>
  <c r="AN29" i="3" s="1"/>
  <c r="D27" i="8" s="1"/>
  <c r="J31" i="3"/>
  <c r="U9" i="3" s="1"/>
  <c r="B31" i="3"/>
  <c r="AJ30" i="3"/>
  <c r="AM28" i="3" s="1"/>
  <c r="C26" i="8" s="1"/>
  <c r="AG30" i="3"/>
  <c r="AE30" i="3"/>
  <c r="AN28" i="3" s="1"/>
  <c r="D26" i="8" s="1"/>
  <c r="AB30" i="3"/>
  <c r="AC30" i="3" s="1"/>
  <c r="AJ29" i="3"/>
  <c r="AM27" i="3" s="1"/>
  <c r="C25" i="8" s="1"/>
  <c r="AH29" i="3"/>
  <c r="AE29" i="3"/>
  <c r="AN27" i="3" s="1"/>
  <c r="D25" i="8" s="1"/>
  <c r="AC29" i="3"/>
  <c r="AJ28" i="3"/>
  <c r="AM26" i="3" s="1"/>
  <c r="C24" i="8" s="1"/>
  <c r="AG28" i="3"/>
  <c r="AH28" i="3" s="1"/>
  <c r="AE28" i="3"/>
  <c r="AN26" i="3" s="1"/>
  <c r="D24" i="8" s="1"/>
  <c r="AB28" i="3"/>
  <c r="AJ27" i="3"/>
  <c r="AM25" i="3" s="1"/>
  <c r="C23" i="8" s="1"/>
  <c r="AG27" i="3"/>
  <c r="AE27" i="3"/>
  <c r="AN25" i="3" s="1"/>
  <c r="D23" i="8" s="1"/>
  <c r="AJ26" i="3"/>
  <c r="AM24" i="3" s="1"/>
  <c r="C22" i="8" s="1"/>
  <c r="AE26" i="3"/>
  <c r="AN24" i="3" s="1"/>
  <c r="D22" i="8" s="1"/>
  <c r="AJ25" i="3"/>
  <c r="AM23" i="3" s="1"/>
  <c r="C21" i="8" s="1"/>
  <c r="AE25" i="3"/>
  <c r="AN23" i="3" s="1"/>
  <c r="D21" i="8" s="1"/>
  <c r="AJ24" i="3"/>
  <c r="AM22" i="3" s="1"/>
  <c r="C20" i="8" s="1"/>
  <c r="AE24" i="3"/>
  <c r="AN22" i="3" s="1"/>
  <c r="D20" i="8" s="1"/>
  <c r="B19" i="3"/>
  <c r="B39" i="3" s="1"/>
  <c r="AC11" i="3"/>
  <c r="N10" i="3"/>
  <c r="W9" i="3"/>
  <c r="F2" i="3"/>
  <c r="P54" i="2"/>
  <c r="AH49" i="2"/>
  <c r="AN32" i="2" s="1"/>
  <c r="S15" i="8" s="1"/>
  <c r="AC49" i="2"/>
  <c r="AM32" i="2" s="1"/>
  <c r="R15" i="8" s="1"/>
  <c r="AH48" i="2"/>
  <c r="AN31" i="2" s="1"/>
  <c r="S14" i="8" s="1"/>
  <c r="AC48" i="2"/>
  <c r="AM31" i="2" s="1"/>
  <c r="R14" i="8" s="1"/>
  <c r="AH47" i="2"/>
  <c r="AN30" i="2" s="1"/>
  <c r="S13" i="8" s="1"/>
  <c r="AC47" i="2"/>
  <c r="AM30" i="2" s="1"/>
  <c r="R13" i="8" s="1"/>
  <c r="AH46" i="2"/>
  <c r="AN29" i="2" s="1"/>
  <c r="S12" i="8" s="1"/>
  <c r="AC46" i="2"/>
  <c r="AM29" i="2" s="1"/>
  <c r="R12" i="8" s="1"/>
  <c r="AH45" i="2"/>
  <c r="AN28" i="2" s="1"/>
  <c r="S11" i="8" s="1"/>
  <c r="AE45" i="2"/>
  <c r="AE46" i="2" s="1"/>
  <c r="AF46" i="2" s="1"/>
  <c r="AC45" i="2"/>
  <c r="AM28" i="2" s="1"/>
  <c r="R11" i="8" s="1"/>
  <c r="Z45" i="2"/>
  <c r="AA45" i="2" s="1"/>
  <c r="AH44" i="2"/>
  <c r="AN27" i="2" s="1"/>
  <c r="S10" i="8" s="1"/>
  <c r="AF44" i="2"/>
  <c r="AC44" i="2"/>
  <c r="AM27" i="2" s="1"/>
  <c r="R10" i="8" s="1"/>
  <c r="AA44" i="2"/>
  <c r="AH43" i="2"/>
  <c r="AN26" i="2" s="1"/>
  <c r="S9" i="8" s="1"/>
  <c r="AE43" i="2"/>
  <c r="AE42" i="2" s="1"/>
  <c r="AC43" i="2"/>
  <c r="AM26" i="2" s="1"/>
  <c r="R9" i="8" s="1"/>
  <c r="Z43" i="2"/>
  <c r="AA43" i="2" s="1"/>
  <c r="B43" i="2"/>
  <c r="AH42" i="2"/>
  <c r="AN25" i="2" s="1"/>
  <c r="S8" i="8" s="1"/>
  <c r="AC42" i="2"/>
  <c r="AM25" i="2" s="1"/>
  <c r="R8" i="8" s="1"/>
  <c r="AH41" i="2"/>
  <c r="AN24" i="2" s="1"/>
  <c r="S7" i="8" s="1"/>
  <c r="AC41" i="2"/>
  <c r="AM24" i="2" s="1"/>
  <c r="R7" i="8" s="1"/>
  <c r="F41" i="2"/>
  <c r="AH40" i="2"/>
  <c r="AN23" i="2" s="1"/>
  <c r="S6" i="8" s="1"/>
  <c r="AC40" i="2"/>
  <c r="AM23" i="2" s="1"/>
  <c r="R6" i="8" s="1"/>
  <c r="B40" i="2"/>
  <c r="AH39" i="2"/>
  <c r="AN22" i="2" s="1"/>
  <c r="S5" i="8" s="1"/>
  <c r="AC39" i="2"/>
  <c r="AM22" i="2" s="1"/>
  <c r="R5" i="8" s="1"/>
  <c r="B38" i="2"/>
  <c r="B37" i="2"/>
  <c r="F36" i="2"/>
  <c r="AH34" i="2"/>
  <c r="AK32" i="2" s="1"/>
  <c r="P15" i="8" s="1"/>
  <c r="AC34" i="2"/>
  <c r="AL32" i="2" s="1"/>
  <c r="Q15" i="8" s="1"/>
  <c r="AH33" i="2"/>
  <c r="AK31" i="2" s="1"/>
  <c r="P14" i="8" s="1"/>
  <c r="AC33" i="2"/>
  <c r="AL31" i="2" s="1"/>
  <c r="Q14" i="8" s="1"/>
  <c r="J33" i="2"/>
  <c r="B33" i="2"/>
  <c r="AH32" i="2"/>
  <c r="AK30" i="2" s="1"/>
  <c r="P13" i="8" s="1"/>
  <c r="AC32" i="2"/>
  <c r="AL30" i="2" s="1"/>
  <c r="Q13" i="8" s="1"/>
  <c r="B32" i="2"/>
  <c r="AH31" i="2"/>
  <c r="AK29" i="2" s="1"/>
  <c r="P12" i="8" s="1"/>
  <c r="AC31" i="2"/>
  <c r="AL29" i="2" s="1"/>
  <c r="Q12" i="8" s="1"/>
  <c r="B31" i="2"/>
  <c r="AH30" i="2"/>
  <c r="AK28" i="2" s="1"/>
  <c r="P11" i="8" s="1"/>
  <c r="AE30" i="2"/>
  <c r="AC30" i="2"/>
  <c r="AL28" i="2" s="1"/>
  <c r="Q11" i="8" s="1"/>
  <c r="Z30" i="2"/>
  <c r="AH29" i="2"/>
  <c r="AK27" i="2" s="1"/>
  <c r="P10" i="8" s="1"/>
  <c r="AF29" i="2"/>
  <c r="AC29" i="2"/>
  <c r="AL27" i="2" s="1"/>
  <c r="Q10" i="8" s="1"/>
  <c r="AA29" i="2"/>
  <c r="AH28" i="2"/>
  <c r="AK26" i="2" s="1"/>
  <c r="P9" i="8" s="1"/>
  <c r="AF28" i="2"/>
  <c r="AE28" i="2"/>
  <c r="AE27" i="2" s="1"/>
  <c r="AC28" i="2"/>
  <c r="AL26" i="2" s="1"/>
  <c r="Q9" i="8" s="1"/>
  <c r="Z28" i="2"/>
  <c r="AH27" i="2"/>
  <c r="AK25" i="2" s="1"/>
  <c r="P8" i="8" s="1"/>
  <c r="AC27" i="2"/>
  <c r="AL25" i="2" s="1"/>
  <c r="Q8" i="8" s="1"/>
  <c r="AH26" i="2"/>
  <c r="AK24" i="2" s="1"/>
  <c r="P7" i="8" s="1"/>
  <c r="AC26" i="2"/>
  <c r="AL24" i="2" s="1"/>
  <c r="Q7" i="8" s="1"/>
  <c r="AH25" i="2"/>
  <c r="AK23" i="2" s="1"/>
  <c r="P6" i="8" s="1"/>
  <c r="AC25" i="2"/>
  <c r="AL23" i="2" s="1"/>
  <c r="Q6" i="8" s="1"/>
  <c r="AH24" i="2"/>
  <c r="AK22" i="2" s="1"/>
  <c r="P5" i="8" s="1"/>
  <c r="AC24" i="2"/>
  <c r="AL22" i="2" s="1"/>
  <c r="Q5" i="8" s="1"/>
  <c r="B19" i="2"/>
  <c r="B39" i="2" s="1"/>
  <c r="F16" i="2"/>
  <c r="J32" i="2" s="1"/>
  <c r="AA10" i="2"/>
  <c r="N10" i="2"/>
  <c r="T10" i="2" s="1"/>
  <c r="T9" i="2"/>
  <c r="AE64" i="1"/>
  <c r="AQ32" i="1" s="1"/>
  <c r="G15" i="8" s="1"/>
  <c r="AE63" i="1"/>
  <c r="AQ31" i="1" s="1"/>
  <c r="G14" i="8" s="1"/>
  <c r="AE62" i="1"/>
  <c r="AQ30" i="1" s="1"/>
  <c r="G13" i="8" s="1"/>
  <c r="AE61" i="1"/>
  <c r="AQ29" i="1" s="1"/>
  <c r="G12" i="8" s="1"/>
  <c r="AE60" i="1"/>
  <c r="AQ28" i="1" s="1"/>
  <c r="G11" i="8" s="1"/>
  <c r="AC60" i="1"/>
  <c r="AB60" i="1"/>
  <c r="AB61" i="1" s="1"/>
  <c r="AB62" i="1" s="1"/>
  <c r="AC62" i="1" s="1"/>
  <c r="AE59" i="1"/>
  <c r="AQ27" i="1" s="1"/>
  <c r="G10" i="8" s="1"/>
  <c r="AC59" i="1"/>
  <c r="AE58" i="1"/>
  <c r="AQ26" i="1" s="1"/>
  <c r="G9" i="8" s="1"/>
  <c r="AB58" i="1"/>
  <c r="AB57" i="1" s="1"/>
  <c r="AC57" i="1" s="1"/>
  <c r="AE57" i="1"/>
  <c r="AQ25" i="1" s="1"/>
  <c r="G8" i="8" s="1"/>
  <c r="AE56" i="1"/>
  <c r="AQ24" i="1" s="1"/>
  <c r="G7" i="8" s="1"/>
  <c r="AB56" i="1"/>
  <c r="AE55" i="1"/>
  <c r="AQ23" i="1" s="1"/>
  <c r="G6" i="8" s="1"/>
  <c r="AE54" i="1"/>
  <c r="AQ22" i="1" s="1"/>
  <c r="G5" i="8" s="1"/>
  <c r="P54" i="1"/>
  <c r="AJ49" i="1"/>
  <c r="AP32" i="1" s="1"/>
  <c r="F15" i="8" s="1"/>
  <c r="AE49" i="1"/>
  <c r="AO32" i="1" s="1"/>
  <c r="E15" i="8" s="1"/>
  <c r="AJ48" i="1"/>
  <c r="AP31" i="1" s="1"/>
  <c r="F14" i="8" s="1"/>
  <c r="AE48" i="1"/>
  <c r="AO31" i="1" s="1"/>
  <c r="E14" i="8" s="1"/>
  <c r="AJ47" i="1"/>
  <c r="AP30" i="1" s="1"/>
  <c r="F13" i="8" s="1"/>
  <c r="AE47" i="1"/>
  <c r="AO30" i="1" s="1"/>
  <c r="E13" i="8" s="1"/>
  <c r="AJ46" i="1"/>
  <c r="AP29" i="1" s="1"/>
  <c r="F12" i="8" s="1"/>
  <c r="AE46" i="1"/>
  <c r="AO29" i="1" s="1"/>
  <c r="E12" i="8" s="1"/>
  <c r="AJ45" i="1"/>
  <c r="AP28" i="1" s="1"/>
  <c r="F11" i="8" s="1"/>
  <c r="AG45" i="1"/>
  <c r="AG46" i="1" s="1"/>
  <c r="AE45" i="1"/>
  <c r="AO28" i="1" s="1"/>
  <c r="E11" i="8" s="1"/>
  <c r="AB45" i="1"/>
  <c r="AB46" i="1" s="1"/>
  <c r="AB47" i="1" s="1"/>
  <c r="AB48" i="1" s="1"/>
  <c r="AB49" i="1" s="1"/>
  <c r="AC49" i="1" s="1"/>
  <c r="B47" i="1"/>
  <c r="AJ44" i="1"/>
  <c r="AP27" i="1" s="1"/>
  <c r="F10" i="8" s="1"/>
  <c r="AH44" i="1"/>
  <c r="AE44" i="1"/>
  <c r="AO27" i="1" s="1"/>
  <c r="E10" i="8" s="1"/>
  <c r="AC44" i="1"/>
  <c r="AJ43" i="1"/>
  <c r="AP26" i="1" s="1"/>
  <c r="F9" i="8" s="1"/>
  <c r="AG43" i="1"/>
  <c r="AG42" i="1" s="1"/>
  <c r="AE43" i="1"/>
  <c r="AO26" i="1" s="1"/>
  <c r="E9" i="8" s="1"/>
  <c r="AB43" i="1"/>
  <c r="AC43" i="1" s="1"/>
  <c r="AJ42" i="1"/>
  <c r="AP25" i="1" s="1"/>
  <c r="F8" i="8" s="1"/>
  <c r="AE42" i="1"/>
  <c r="AO25" i="1" s="1"/>
  <c r="E8" i="8" s="1"/>
  <c r="AJ41" i="1"/>
  <c r="AP24" i="1" s="1"/>
  <c r="F7" i="8" s="1"/>
  <c r="AE41" i="1"/>
  <c r="AO24" i="1" s="1"/>
  <c r="E7" i="8" s="1"/>
  <c r="AJ40" i="1"/>
  <c r="AP23" i="1" s="1"/>
  <c r="F6" i="8" s="1"/>
  <c r="AE40" i="1"/>
  <c r="AO23" i="1" s="1"/>
  <c r="E6" i="8" s="1"/>
  <c r="B40" i="1"/>
  <c r="AJ39" i="1"/>
  <c r="AP22" i="1" s="1"/>
  <c r="F5" i="8" s="1"/>
  <c r="AE39" i="1"/>
  <c r="AO22" i="1" s="1"/>
  <c r="E5" i="8" s="1"/>
  <c r="J39" i="1"/>
  <c r="J38" i="1"/>
  <c r="B38" i="1"/>
  <c r="F37" i="1"/>
  <c r="F40" i="1" s="1"/>
  <c r="R9" i="1" s="1"/>
  <c r="B37" i="1"/>
  <c r="F36" i="1"/>
  <c r="F38" i="1" s="1"/>
  <c r="F41" i="1" s="1"/>
  <c r="Q9" i="1" s="1"/>
  <c r="AJ34" i="1"/>
  <c r="AM32" i="1" s="1"/>
  <c r="C15" i="8" s="1"/>
  <c r="AE34" i="1"/>
  <c r="AN32" i="1" s="1"/>
  <c r="D15" i="8" s="1"/>
  <c r="J34" i="1"/>
  <c r="AJ33" i="1"/>
  <c r="AM31" i="1" s="1"/>
  <c r="C14" i="8" s="1"/>
  <c r="AE33" i="1"/>
  <c r="AN31" i="1" s="1"/>
  <c r="D14" i="8" s="1"/>
  <c r="B33" i="1"/>
  <c r="AJ32" i="1"/>
  <c r="AM30" i="1" s="1"/>
  <c r="C13" i="8" s="1"/>
  <c r="AE32" i="1"/>
  <c r="AN30" i="1" s="1"/>
  <c r="D13" i="8" s="1"/>
  <c r="B32" i="1"/>
  <c r="AJ31" i="1"/>
  <c r="AM29" i="1" s="1"/>
  <c r="C12" i="8" s="1"/>
  <c r="AE31" i="1"/>
  <c r="AN29" i="1" s="1"/>
  <c r="D12" i="8" s="1"/>
  <c r="J31" i="1"/>
  <c r="U9" i="1" s="1"/>
  <c r="B31" i="1"/>
  <c r="AJ30" i="1"/>
  <c r="AM28" i="1" s="1"/>
  <c r="C11" i="8" s="1"/>
  <c r="AG30" i="1"/>
  <c r="AE30" i="1"/>
  <c r="AN28" i="1" s="1"/>
  <c r="D11" i="8" s="1"/>
  <c r="AB30" i="1"/>
  <c r="AB31" i="1" s="1"/>
  <c r="AB32" i="1" s="1"/>
  <c r="AJ29" i="1"/>
  <c r="AM27" i="1" s="1"/>
  <c r="C10" i="8" s="1"/>
  <c r="AH29" i="1"/>
  <c r="AE29" i="1"/>
  <c r="AN27" i="1" s="1"/>
  <c r="D10" i="8" s="1"/>
  <c r="AC29" i="1"/>
  <c r="AJ28" i="1"/>
  <c r="AM26" i="1" s="1"/>
  <c r="C9" i="8" s="1"/>
  <c r="AG28" i="1"/>
  <c r="AE28" i="1"/>
  <c r="AN26" i="1" s="1"/>
  <c r="D9" i="8" s="1"/>
  <c r="AC28" i="1"/>
  <c r="AB28" i="1"/>
  <c r="AJ27" i="1"/>
  <c r="AM25" i="1" s="1"/>
  <c r="C8" i="8" s="1"/>
  <c r="AE27" i="1"/>
  <c r="AN25" i="1" s="1"/>
  <c r="D8" i="8" s="1"/>
  <c r="AB27" i="1"/>
  <c r="AC27" i="1" s="1"/>
  <c r="AJ26" i="1"/>
  <c r="AM24" i="1" s="1"/>
  <c r="C7" i="8" s="1"/>
  <c r="AE26" i="1"/>
  <c r="AN24" i="1" s="1"/>
  <c r="D7" i="8" s="1"/>
  <c r="AJ25" i="1"/>
  <c r="AM23" i="1" s="1"/>
  <c r="C6" i="8" s="1"/>
  <c r="AE25" i="1"/>
  <c r="AN23" i="1" s="1"/>
  <c r="D6" i="8" s="1"/>
  <c r="AJ24" i="1"/>
  <c r="AM22" i="1" s="1"/>
  <c r="C5" i="8" s="1"/>
  <c r="AE24" i="1"/>
  <c r="AN22" i="1" s="1"/>
  <c r="D5" i="8" s="1"/>
  <c r="B19" i="1"/>
  <c r="B39" i="1" s="1"/>
  <c r="AC11" i="1"/>
  <c r="N10" i="1"/>
  <c r="W9" i="1"/>
  <c r="AF27" i="2" l="1"/>
  <c r="AE26" i="2"/>
  <c r="AE25" i="2" s="1"/>
  <c r="AF25" i="2" s="1"/>
  <c r="AC43" i="3"/>
  <c r="AC60" i="3"/>
  <c r="AH28" i="5"/>
  <c r="F49" i="5"/>
  <c r="F51" i="5" s="1"/>
  <c r="AC13" i="5"/>
  <c r="AA8" i="2"/>
  <c r="F37" i="2"/>
  <c r="U10" i="5"/>
  <c r="AB46" i="5"/>
  <c r="AC46" i="5" s="1"/>
  <c r="AB62" i="3"/>
  <c r="AC62" i="3" s="1"/>
  <c r="AE27" i="4"/>
  <c r="AE26" i="4" s="1"/>
  <c r="F49" i="3"/>
  <c r="F51" i="3" s="1"/>
  <c r="AC13" i="3"/>
  <c r="F50" i="3"/>
  <c r="J32" i="3" s="1"/>
  <c r="V9" i="3" s="1"/>
  <c r="F50" i="1"/>
  <c r="J32" i="1" s="1"/>
  <c r="AA28" i="6"/>
  <c r="AA32" i="6"/>
  <c r="AF42" i="4"/>
  <c r="AE46" i="4"/>
  <c r="AG25" i="5"/>
  <c r="AH25" i="5" s="1"/>
  <c r="F37" i="6"/>
  <c r="F38" i="6" s="1"/>
  <c r="Q10" i="6" s="1"/>
  <c r="F38" i="2"/>
  <c r="Q9" i="2" s="1"/>
  <c r="W10" i="5"/>
  <c r="J37" i="3"/>
  <c r="S10" i="3" s="1"/>
  <c r="U9" i="5"/>
  <c r="J31" i="4"/>
  <c r="R9" i="4" s="1"/>
  <c r="U10" i="3"/>
  <c r="B51" i="1"/>
  <c r="Z25" i="6"/>
  <c r="AA26" i="6"/>
  <c r="AC27" i="5"/>
  <c r="AB26" i="5"/>
  <c r="AC26" i="5" s="1"/>
  <c r="AH42" i="1"/>
  <c r="AG41" i="1"/>
  <c r="AB40" i="3"/>
  <c r="AC41" i="3"/>
  <c r="AE25" i="4"/>
  <c r="AF26" i="4"/>
  <c r="AF42" i="6"/>
  <c r="AE41" i="6"/>
  <c r="AC30" i="1"/>
  <c r="J31" i="2"/>
  <c r="R9" i="2" s="1"/>
  <c r="AH30" i="5"/>
  <c r="N11" i="6"/>
  <c r="AA30" i="6"/>
  <c r="AF31" i="6"/>
  <c r="B51" i="3"/>
  <c r="AH46" i="3"/>
  <c r="AB47" i="5"/>
  <c r="AB48" i="5" s="1"/>
  <c r="AE46" i="6"/>
  <c r="AH43" i="1"/>
  <c r="AC45" i="1"/>
  <c r="AF26" i="2"/>
  <c r="AH27" i="5"/>
  <c r="AB42" i="5"/>
  <c r="AC42" i="3"/>
  <c r="AF27" i="4"/>
  <c r="AC8" i="1"/>
  <c r="B46" i="2"/>
  <c r="N11" i="3"/>
  <c r="AC28" i="5"/>
  <c r="J31" i="6"/>
  <c r="R9" i="6" s="1"/>
  <c r="AF43" i="2"/>
  <c r="AA27" i="6"/>
  <c r="AF30" i="6"/>
  <c r="AF43" i="6"/>
  <c r="Z46" i="2"/>
  <c r="AA46" i="2" s="1"/>
  <c r="AB63" i="3"/>
  <c r="AC63" i="3" s="1"/>
  <c r="Z42" i="4"/>
  <c r="AF43" i="4"/>
  <c r="B44" i="6"/>
  <c r="B36" i="6" s="1"/>
  <c r="AH45" i="3"/>
  <c r="AH47" i="3"/>
  <c r="N11" i="2"/>
  <c r="T11" i="2" s="1"/>
  <c r="AH48" i="3"/>
  <c r="AA31" i="6"/>
  <c r="J37" i="5"/>
  <c r="S9" i="5" s="1"/>
  <c r="J37" i="1"/>
  <c r="S9" i="1" s="1"/>
  <c r="AB33" i="1"/>
  <c r="AC32" i="1"/>
  <c r="AG31" i="1"/>
  <c r="AH30" i="1"/>
  <c r="AG47" i="1"/>
  <c r="AH46" i="1"/>
  <c r="AC56" i="1"/>
  <c r="AB55" i="1"/>
  <c r="AA30" i="2"/>
  <c r="Z31" i="2"/>
  <c r="AC46" i="1"/>
  <c r="AH28" i="1"/>
  <c r="AG27" i="1"/>
  <c r="B49" i="1"/>
  <c r="AC47" i="1"/>
  <c r="Z27" i="2"/>
  <c r="AA28" i="2"/>
  <c r="Z47" i="2"/>
  <c r="B49" i="3"/>
  <c r="Q10" i="1"/>
  <c r="U10" i="1"/>
  <c r="W10" i="1"/>
  <c r="R10" i="1"/>
  <c r="N11" i="1"/>
  <c r="AC31" i="1"/>
  <c r="AC48" i="1"/>
  <c r="AB63" i="1"/>
  <c r="N12" i="2"/>
  <c r="T10" i="4"/>
  <c r="AB26" i="1"/>
  <c r="AB42" i="1"/>
  <c r="AH45" i="1"/>
  <c r="AC58" i="1"/>
  <c r="AC61" i="1"/>
  <c r="Z42" i="2"/>
  <c r="AE41" i="2"/>
  <c r="AF42" i="2"/>
  <c r="AF45" i="2"/>
  <c r="AG31" i="3"/>
  <c r="AH30" i="3"/>
  <c r="AB31" i="3"/>
  <c r="AC57" i="3"/>
  <c r="AB56" i="3"/>
  <c r="N11" i="4"/>
  <c r="Z27" i="4"/>
  <c r="AA28" i="4"/>
  <c r="R10" i="5"/>
  <c r="R9" i="5"/>
  <c r="AE24" i="2"/>
  <c r="AF24" i="2" s="1"/>
  <c r="AE47" i="2"/>
  <c r="AH43" i="3"/>
  <c r="AG42" i="3"/>
  <c r="AE47" i="4"/>
  <c r="AF46" i="4"/>
  <c r="Q9" i="5"/>
  <c r="Q10" i="5"/>
  <c r="AE31" i="2"/>
  <c r="AF30" i="2"/>
  <c r="B44" i="2"/>
  <c r="AH27" i="3"/>
  <c r="AG26" i="3"/>
  <c r="F38" i="3"/>
  <c r="F41" i="3" s="1"/>
  <c r="AC8" i="3"/>
  <c r="AA30" i="4"/>
  <c r="Z31" i="4"/>
  <c r="W10" i="3"/>
  <c r="R10" i="3"/>
  <c r="AC28" i="3"/>
  <c r="AB27" i="3"/>
  <c r="AB46" i="3"/>
  <c r="AC45" i="3"/>
  <c r="N12" i="5"/>
  <c r="Q11" i="5"/>
  <c r="U11" i="5"/>
  <c r="R11" i="5"/>
  <c r="F37" i="4"/>
  <c r="F38" i="4" s="1"/>
  <c r="Q9" i="4" s="1"/>
  <c r="AA8" i="4"/>
  <c r="Z47" i="4"/>
  <c r="AA46" i="4"/>
  <c r="AG32" i="5"/>
  <c r="AH31" i="5"/>
  <c r="AH43" i="5"/>
  <c r="AG42" i="5"/>
  <c r="AC60" i="5"/>
  <c r="AB61" i="5"/>
  <c r="Z42" i="6"/>
  <c r="AA43" i="6"/>
  <c r="AE31" i="4"/>
  <c r="AF30" i="4"/>
  <c r="AF40" i="4"/>
  <c r="AE39" i="4"/>
  <c r="AF39" i="4" s="1"/>
  <c r="AA45" i="4"/>
  <c r="AB31" i="5"/>
  <c r="AC30" i="5"/>
  <c r="B44" i="4"/>
  <c r="B51" i="5"/>
  <c r="AH45" i="5"/>
  <c r="AG46" i="5"/>
  <c r="AC58" i="5"/>
  <c r="AB57" i="5"/>
  <c r="B35" i="6"/>
  <c r="B45" i="6" s="1"/>
  <c r="B47" i="6" s="1"/>
  <c r="AF28" i="6"/>
  <c r="AE27" i="6"/>
  <c r="Z46" i="6"/>
  <c r="AA45" i="6"/>
  <c r="B49" i="5"/>
  <c r="AA33" i="6"/>
  <c r="Z34" i="6"/>
  <c r="AA34" i="6" s="1"/>
  <c r="AF32" i="6"/>
  <c r="AE33" i="6"/>
  <c r="F50" i="5" l="1"/>
  <c r="J32" i="5" s="1"/>
  <c r="V9" i="5" s="1"/>
  <c r="AG24" i="5"/>
  <c r="AH24" i="5" s="1"/>
  <c r="V10" i="3"/>
  <c r="V9" i="1"/>
  <c r="V10" i="1"/>
  <c r="Q9" i="6"/>
  <c r="Q11" i="2"/>
  <c r="Q10" i="2"/>
  <c r="V11" i="5"/>
  <c r="AB25" i="5"/>
  <c r="S11" i="3"/>
  <c r="R10" i="4"/>
  <c r="S9" i="3"/>
  <c r="R10" i="6"/>
  <c r="R11" i="6"/>
  <c r="S11" i="5"/>
  <c r="R10" i="2"/>
  <c r="R11" i="2"/>
  <c r="AC47" i="5"/>
  <c r="R11" i="3"/>
  <c r="V11" i="3"/>
  <c r="N12" i="6"/>
  <c r="T11" i="6"/>
  <c r="Q11" i="6"/>
  <c r="AB39" i="3"/>
  <c r="AC39" i="3" s="1"/>
  <c r="AC40" i="3"/>
  <c r="AF46" i="6"/>
  <c r="AE47" i="6"/>
  <c r="AH41" i="1"/>
  <c r="AG40" i="1"/>
  <c r="N12" i="3"/>
  <c r="V12" i="3" s="1"/>
  <c r="AC42" i="5"/>
  <c r="AB41" i="5"/>
  <c r="AF41" i="6"/>
  <c r="AE40" i="6"/>
  <c r="AB64" i="3"/>
  <c r="AC64" i="3" s="1"/>
  <c r="W11" i="3"/>
  <c r="U11" i="3"/>
  <c r="AA42" i="4"/>
  <c r="Z41" i="4"/>
  <c r="AE24" i="4"/>
  <c r="AF24" i="4" s="1"/>
  <c r="AF25" i="4"/>
  <c r="Z24" i="6"/>
  <c r="AA24" i="6" s="1"/>
  <c r="AA25" i="6"/>
  <c r="S10" i="5"/>
  <c r="S10" i="1"/>
  <c r="F31" i="6"/>
  <c r="O8" i="6" s="1"/>
  <c r="AA9" i="6"/>
  <c r="AF33" i="6"/>
  <c r="AE34" i="6"/>
  <c r="AF34" i="6" s="1"/>
  <c r="B35" i="5"/>
  <c r="B50" i="5" s="1"/>
  <c r="B52" i="5" s="1"/>
  <c r="B36" i="5"/>
  <c r="AB56" i="5"/>
  <c r="AC57" i="5"/>
  <c r="B36" i="4"/>
  <c r="B35" i="4"/>
  <c r="B45" i="4" s="1"/>
  <c r="B47" i="4" s="1"/>
  <c r="AC31" i="5"/>
  <c r="AB32" i="5"/>
  <c r="Z41" i="6"/>
  <c r="AA42" i="6"/>
  <c r="AG41" i="3"/>
  <c r="AH42" i="3"/>
  <c r="Q11" i="4"/>
  <c r="N12" i="4"/>
  <c r="T11" i="4"/>
  <c r="R11" i="4"/>
  <c r="AC61" i="5"/>
  <c r="AB62" i="5"/>
  <c r="Z48" i="4"/>
  <c r="AA47" i="4"/>
  <c r="AB55" i="3"/>
  <c r="AB54" i="3" s="1"/>
  <c r="AC56" i="3"/>
  <c r="AF41" i="2"/>
  <c r="AE40" i="2"/>
  <c r="AB25" i="1"/>
  <c r="AC26" i="1"/>
  <c r="AC63" i="1"/>
  <c r="AB64" i="1"/>
  <c r="AC64" i="1" s="1"/>
  <c r="Z26" i="2"/>
  <c r="AA27" i="2"/>
  <c r="AA46" i="6"/>
  <c r="Z47" i="6"/>
  <c r="AE32" i="4"/>
  <c r="AF31" i="4"/>
  <c r="AG33" i="5"/>
  <c r="AH32" i="5"/>
  <c r="AB47" i="3"/>
  <c r="AC46" i="3"/>
  <c r="Q10" i="3"/>
  <c r="Q9" i="3"/>
  <c r="AE32" i="2"/>
  <c r="AF31" i="2"/>
  <c r="AF47" i="4"/>
  <c r="AE48" i="4"/>
  <c r="AF47" i="2"/>
  <c r="AE48" i="2"/>
  <c r="Z41" i="2"/>
  <c r="AA42" i="2"/>
  <c r="AB24" i="5"/>
  <c r="AC24" i="5" s="1"/>
  <c r="AC25" i="5"/>
  <c r="R12" i="2"/>
  <c r="N13" i="2"/>
  <c r="Q12" i="2"/>
  <c r="T12" i="2"/>
  <c r="S11" i="1"/>
  <c r="W11" i="1"/>
  <c r="R11" i="1"/>
  <c r="U11" i="1"/>
  <c r="V11" i="1"/>
  <c r="Q11" i="1"/>
  <c r="N12" i="1"/>
  <c r="AG48" i="1"/>
  <c r="AH47" i="1"/>
  <c r="AG47" i="5"/>
  <c r="AH46" i="5"/>
  <c r="S12" i="5"/>
  <c r="N13" i="5"/>
  <c r="U12" i="5"/>
  <c r="W12" i="5"/>
  <c r="V12" i="5"/>
  <c r="R12" i="5"/>
  <c r="Q12" i="5"/>
  <c r="B36" i="2"/>
  <c r="B35" i="2"/>
  <c r="B45" i="2" s="1"/>
  <c r="B47" i="2" s="1"/>
  <c r="AA9" i="2" s="1"/>
  <c r="B36" i="1"/>
  <c r="B35" i="1"/>
  <c r="B50" i="1" s="1"/>
  <c r="AH31" i="1"/>
  <c r="AG32" i="1"/>
  <c r="AH42" i="5"/>
  <c r="AG41" i="5"/>
  <c r="AA31" i="4"/>
  <c r="Z32" i="4"/>
  <c r="AG32" i="3"/>
  <c r="AH31" i="3"/>
  <c r="B36" i="3"/>
  <c r="B35" i="3"/>
  <c r="B50" i="3" s="1"/>
  <c r="B52" i="3" s="1"/>
  <c r="AH27" i="1"/>
  <c r="AG26" i="1"/>
  <c r="AA31" i="2"/>
  <c r="Z32" i="2"/>
  <c r="AF27" i="6"/>
  <c r="AE26" i="6"/>
  <c r="AC48" i="5"/>
  <c r="AB49" i="5"/>
  <c r="AC49" i="5" s="1"/>
  <c r="AB26" i="3"/>
  <c r="AC27" i="3"/>
  <c r="AH26" i="3"/>
  <c r="AG25" i="3"/>
  <c r="Q11" i="3"/>
  <c r="Q10" i="4"/>
  <c r="AA27" i="4"/>
  <c r="Z26" i="4"/>
  <c r="AC31" i="3"/>
  <c r="AB32" i="3"/>
  <c r="AB41" i="1"/>
  <c r="AC42" i="1"/>
  <c r="Z48" i="2"/>
  <c r="AA47" i="2"/>
  <c r="AB54" i="1"/>
  <c r="AC54" i="1" s="1"/>
  <c r="AC55" i="1"/>
  <c r="AB34" i="1"/>
  <c r="AC34" i="1" s="1"/>
  <c r="AC33" i="1"/>
  <c r="V10" i="5" l="1"/>
  <c r="S12" i="3"/>
  <c r="R12" i="3"/>
  <c r="W12" i="3"/>
  <c r="Z40" i="4"/>
  <c r="Z39" i="4" s="1"/>
  <c r="AA41" i="4"/>
  <c r="AC41" i="5"/>
  <c r="AB40" i="5"/>
  <c r="AB39" i="5" s="1"/>
  <c r="Q12" i="3"/>
  <c r="AG39" i="1"/>
  <c r="AH39" i="1" s="1"/>
  <c r="AH40" i="1"/>
  <c r="N13" i="6"/>
  <c r="Q12" i="6"/>
  <c r="T12" i="6"/>
  <c r="R12" i="6"/>
  <c r="N13" i="3"/>
  <c r="Q13" i="3" s="1"/>
  <c r="U12" i="3"/>
  <c r="AF47" i="6"/>
  <c r="AE48" i="6"/>
  <c r="AF40" i="6"/>
  <c r="AE39" i="6"/>
  <c r="AF39" i="6" s="1"/>
  <c r="F31" i="3"/>
  <c r="O8" i="3" s="1"/>
  <c r="AC10" i="3"/>
  <c r="F31" i="4"/>
  <c r="O8" i="4" s="1"/>
  <c r="AA9" i="4"/>
  <c r="AB40" i="1"/>
  <c r="AB39" i="1" s="1"/>
  <c r="AC41" i="1"/>
  <c r="Z33" i="4"/>
  <c r="AA32" i="4"/>
  <c r="Z49" i="4"/>
  <c r="AA49" i="4" s="1"/>
  <c r="AA48" i="4"/>
  <c r="AG40" i="3"/>
  <c r="AH41" i="3"/>
  <c r="AC56" i="5"/>
  <c r="AB55" i="5"/>
  <c r="Z49" i="2"/>
  <c r="AA49" i="2" s="1"/>
  <c r="AA48" i="2"/>
  <c r="Z25" i="4"/>
  <c r="AA26" i="4"/>
  <c r="AG24" i="3"/>
  <c r="AH24" i="3" s="1"/>
  <c r="AH25" i="3"/>
  <c r="Z33" i="2"/>
  <c r="AA32" i="2"/>
  <c r="AH32" i="3"/>
  <c r="AG33" i="3"/>
  <c r="AH47" i="5"/>
  <c r="AG48" i="5"/>
  <c r="AF48" i="2"/>
  <c r="AE49" i="2"/>
  <c r="AF49" i="2" s="1"/>
  <c r="AG34" i="5"/>
  <c r="AH34" i="5" s="1"/>
  <c r="AH33" i="5"/>
  <c r="AA47" i="6"/>
  <c r="Z48" i="6"/>
  <c r="AF40" i="2"/>
  <c r="AE39" i="2"/>
  <c r="AF39" i="2" s="1"/>
  <c r="AF26" i="6"/>
  <c r="AE25" i="6"/>
  <c r="B52" i="1"/>
  <c r="V13" i="5"/>
  <c r="Q13" i="5"/>
  <c r="U13" i="5"/>
  <c r="S13" i="5"/>
  <c r="N14" i="5"/>
  <c r="R13" i="5"/>
  <c r="W13" i="5"/>
  <c r="AH26" i="1"/>
  <c r="AG25" i="1"/>
  <c r="AG33" i="1"/>
  <c r="AH32" i="1"/>
  <c r="F31" i="2"/>
  <c r="O8" i="2" s="1"/>
  <c r="AG49" i="1"/>
  <c r="AH49" i="1" s="1"/>
  <c r="AH48" i="1"/>
  <c r="T13" i="2"/>
  <c r="N14" i="2"/>
  <c r="Q13" i="2"/>
  <c r="R13" i="2"/>
  <c r="AF48" i="4"/>
  <c r="AE49" i="4"/>
  <c r="AF49" i="4" s="1"/>
  <c r="AB48" i="3"/>
  <c r="AC47" i="3"/>
  <c r="AE33" i="4"/>
  <c r="AF32" i="4"/>
  <c r="AB63" i="5"/>
  <c r="AC62" i="5"/>
  <c r="R12" i="4"/>
  <c r="T12" i="4"/>
  <c r="Q12" i="4"/>
  <c r="N13" i="4"/>
  <c r="Z40" i="6"/>
  <c r="Z39" i="6" s="1"/>
  <c r="AA41" i="6"/>
  <c r="F31" i="5"/>
  <c r="O8" i="5" s="1"/>
  <c r="AC10" i="5"/>
  <c r="F32" i="6"/>
  <c r="AE33" i="2"/>
  <c r="AF32" i="2"/>
  <c r="U8" i="6"/>
  <c r="O49" i="6"/>
  <c r="AB33" i="3"/>
  <c r="AC32" i="3"/>
  <c r="AC26" i="3"/>
  <c r="AB25" i="3"/>
  <c r="AG40" i="5"/>
  <c r="AH41" i="5"/>
  <c r="V12" i="1"/>
  <c r="U12" i="1"/>
  <c r="W12" i="1"/>
  <c r="R12" i="1"/>
  <c r="N13" i="1"/>
  <c r="Q12" i="1"/>
  <c r="S12" i="1"/>
  <c r="Z40" i="2"/>
  <c r="AA41" i="2"/>
  <c r="Z25" i="2"/>
  <c r="AA26" i="2"/>
  <c r="AC25" i="1"/>
  <c r="AB24" i="1"/>
  <c r="AC24" i="1" s="1"/>
  <c r="AC54" i="3"/>
  <c r="AC55" i="3"/>
  <c r="AC32" i="5"/>
  <c r="AB33" i="5"/>
  <c r="R13" i="3" l="1"/>
  <c r="W13" i="3"/>
  <c r="F31" i="1"/>
  <c r="O8" i="1" s="1"/>
  <c r="AC10" i="1"/>
  <c r="U13" i="3"/>
  <c r="N14" i="3"/>
  <c r="V13" i="3"/>
  <c r="S13" i="3"/>
  <c r="F32" i="2"/>
  <c r="F33" i="2" s="1"/>
  <c r="P11" i="2" s="1"/>
  <c r="U11" i="2" s="1"/>
  <c r="AF48" i="6"/>
  <c r="AE49" i="6"/>
  <c r="AF49" i="6" s="1"/>
  <c r="AC40" i="5"/>
  <c r="AC39" i="5"/>
  <c r="T13" i="6"/>
  <c r="N14" i="6"/>
  <c r="R13" i="6"/>
  <c r="Q13" i="6"/>
  <c r="F32" i="3"/>
  <c r="F33" i="3" s="1"/>
  <c r="AA40" i="4"/>
  <c r="AA39" i="4"/>
  <c r="AB34" i="3"/>
  <c r="AC34" i="3" s="1"/>
  <c r="AC33" i="3"/>
  <c r="AF33" i="2"/>
  <c r="AE34" i="2"/>
  <c r="AF34" i="2" s="1"/>
  <c r="X8" i="5"/>
  <c r="O49" i="5"/>
  <c r="N15" i="2"/>
  <c r="Q14" i="2"/>
  <c r="T14" i="2"/>
  <c r="P14" i="2"/>
  <c r="R14" i="2"/>
  <c r="N15" i="5"/>
  <c r="U14" i="5"/>
  <c r="P14" i="5"/>
  <c r="W14" i="5"/>
  <c r="Q14" i="5"/>
  <c r="R14" i="5"/>
  <c r="V14" i="5"/>
  <c r="S14" i="5"/>
  <c r="AG39" i="3"/>
  <c r="AH39" i="3" s="1"/>
  <c r="AH40" i="3"/>
  <c r="Z24" i="2"/>
  <c r="AA24" i="2" s="1"/>
  <c r="AA25" i="2"/>
  <c r="AC25" i="3"/>
  <c r="AB24" i="3"/>
  <c r="AC24" i="3" s="1"/>
  <c r="F33" i="6"/>
  <c r="P11" i="6" s="1"/>
  <c r="U11" i="6" s="1"/>
  <c r="AC63" i="5"/>
  <c r="AB64" i="5"/>
  <c r="AC64" i="5" s="1"/>
  <c r="AB49" i="3"/>
  <c r="AC49" i="3" s="1"/>
  <c r="AC48" i="3"/>
  <c r="Z34" i="2"/>
  <c r="AA34" i="2" s="1"/>
  <c r="AA33" i="2"/>
  <c r="AC33" i="5"/>
  <c r="AB34" i="5"/>
  <c r="AC34" i="5" s="1"/>
  <c r="F32" i="5"/>
  <c r="AA40" i="6"/>
  <c r="AA39" i="6"/>
  <c r="AH33" i="1"/>
  <c r="AG34" i="1"/>
  <c r="AH34" i="1" s="1"/>
  <c r="AH33" i="3"/>
  <c r="AG34" i="3"/>
  <c r="AH34" i="3" s="1"/>
  <c r="Z24" i="4"/>
  <c r="AA24" i="4" s="1"/>
  <c r="AA25" i="4"/>
  <c r="O49" i="4"/>
  <c r="U8" i="4"/>
  <c r="O49" i="3"/>
  <c r="X8" i="3"/>
  <c r="S13" i="1"/>
  <c r="W13" i="1"/>
  <c r="R13" i="1"/>
  <c r="N14" i="1"/>
  <c r="U13" i="1"/>
  <c r="V13" i="1"/>
  <c r="Q13" i="1"/>
  <c r="AG39" i="5"/>
  <c r="AH39" i="5" s="1"/>
  <c r="AH40" i="5"/>
  <c r="AG49" i="5"/>
  <c r="AH49" i="5" s="1"/>
  <c r="AH48" i="5"/>
  <c r="AC55" i="5"/>
  <c r="AB54" i="5"/>
  <c r="AC54" i="5" s="1"/>
  <c r="Z34" i="4"/>
  <c r="AA34" i="4" s="1"/>
  <c r="AA33" i="4"/>
  <c r="Z39" i="2"/>
  <c r="AA39" i="2" s="1"/>
  <c r="AA40" i="2"/>
  <c r="T13" i="4"/>
  <c r="N14" i="4"/>
  <c r="R13" i="4"/>
  <c r="Q13" i="4"/>
  <c r="AF33" i="4"/>
  <c r="AE34" i="4"/>
  <c r="AF34" i="4" s="1"/>
  <c r="O49" i="2"/>
  <c r="U8" i="2"/>
  <c r="AG24" i="1"/>
  <c r="AH24" i="1" s="1"/>
  <c r="AH25" i="1"/>
  <c r="AF25" i="6"/>
  <c r="AE24" i="6"/>
  <c r="AF24" i="6" s="1"/>
  <c r="AA48" i="6"/>
  <c r="Z49" i="6"/>
  <c r="AA49" i="6" s="1"/>
  <c r="S14" i="3"/>
  <c r="N15" i="3"/>
  <c r="R14" i="3"/>
  <c r="Q14" i="3"/>
  <c r="W14" i="3"/>
  <c r="V14" i="3"/>
  <c r="U14" i="3"/>
  <c r="P14" i="3"/>
  <c r="AC39" i="1"/>
  <c r="AC40" i="1"/>
  <c r="F32" i="4"/>
  <c r="P10" i="2" l="1"/>
  <c r="U10" i="2" s="1"/>
  <c r="P9" i="2"/>
  <c r="U9" i="2" s="1"/>
  <c r="P13" i="3"/>
  <c r="X13" i="3" s="1"/>
  <c r="P11" i="3"/>
  <c r="X11" i="3" s="1"/>
  <c r="R14" i="6"/>
  <c r="T14" i="6"/>
  <c r="P14" i="6"/>
  <c r="N15" i="6"/>
  <c r="Q14" i="6"/>
  <c r="P10" i="6"/>
  <c r="U10" i="6" s="1"/>
  <c r="P13" i="6"/>
  <c r="U13" i="6" s="1"/>
  <c r="P12" i="6"/>
  <c r="U12" i="6" s="1"/>
  <c r="P9" i="6"/>
  <c r="U9" i="6" s="1"/>
  <c r="P12" i="2"/>
  <c r="U12" i="2" s="1"/>
  <c r="U14" i="2"/>
  <c r="P12" i="3"/>
  <c r="X12" i="3" s="1"/>
  <c r="W15" i="3"/>
  <c r="R15" i="3"/>
  <c r="U15" i="3"/>
  <c r="P15" i="3"/>
  <c r="N16" i="3"/>
  <c r="V15" i="3"/>
  <c r="Q15" i="3"/>
  <c r="S15" i="3"/>
  <c r="R14" i="4"/>
  <c r="T14" i="4"/>
  <c r="N15" i="4"/>
  <c r="Q14" i="4"/>
  <c r="P14" i="4"/>
  <c r="V14" i="1"/>
  <c r="Q14" i="1"/>
  <c r="S14" i="1"/>
  <c r="W14" i="1"/>
  <c r="R14" i="1"/>
  <c r="P14" i="1"/>
  <c r="N15" i="1"/>
  <c r="U14" i="1"/>
  <c r="O49" i="1"/>
  <c r="X8" i="1"/>
  <c r="S15" i="5"/>
  <c r="U15" i="5"/>
  <c r="R15" i="5"/>
  <c r="N16" i="5"/>
  <c r="P15" i="5"/>
  <c r="W15" i="5"/>
  <c r="V15" i="5"/>
  <c r="Q15" i="5"/>
  <c r="P9" i="3"/>
  <c r="X14" i="3"/>
  <c r="F32" i="1"/>
  <c r="P10" i="3"/>
  <c r="X10" i="3" s="1"/>
  <c r="F33" i="4"/>
  <c r="P13" i="4" s="1"/>
  <c r="U13" i="4" s="1"/>
  <c r="P13" i="2"/>
  <c r="U13" i="2" s="1"/>
  <c r="F33" i="5"/>
  <c r="P10" i="5" s="1"/>
  <c r="X10" i="5" s="1"/>
  <c r="X14" i="5"/>
  <c r="T15" i="2"/>
  <c r="R15" i="2"/>
  <c r="P15" i="2"/>
  <c r="Q15" i="2"/>
  <c r="N16" i="2"/>
  <c r="P11" i="4" l="1"/>
  <c r="U11" i="4" s="1"/>
  <c r="P12" i="4"/>
  <c r="U12" i="4" s="1"/>
  <c r="U14" i="6"/>
  <c r="P9" i="4"/>
  <c r="U9" i="4" s="1"/>
  <c r="R15" i="6"/>
  <c r="T15" i="6"/>
  <c r="P15" i="6"/>
  <c r="N16" i="6"/>
  <c r="Q15" i="6"/>
  <c r="P13" i="5"/>
  <c r="X13" i="5" s="1"/>
  <c r="P9" i="5"/>
  <c r="X9" i="5" s="1"/>
  <c r="P10" i="4"/>
  <c r="U10" i="4" s="1"/>
  <c r="P11" i="5"/>
  <c r="X11" i="5" s="1"/>
  <c r="P12" i="5"/>
  <c r="X12" i="5" s="1"/>
  <c r="U14" i="4"/>
  <c r="X15" i="3"/>
  <c r="X9" i="3"/>
  <c r="Q15" i="1"/>
  <c r="N16" i="1"/>
  <c r="U15" i="1"/>
  <c r="P15" i="1"/>
  <c r="W15" i="1"/>
  <c r="R15" i="1"/>
  <c r="V15" i="1"/>
  <c r="S15" i="1"/>
  <c r="F33" i="1"/>
  <c r="P11" i="1" s="1"/>
  <c r="X11" i="1" s="1"/>
  <c r="W16" i="5"/>
  <c r="R16" i="5"/>
  <c r="V16" i="5"/>
  <c r="P16" i="5"/>
  <c r="N17" i="5"/>
  <c r="Q16" i="5"/>
  <c r="U16" i="5"/>
  <c r="S16" i="5"/>
  <c r="X14" i="1"/>
  <c r="P15" i="4"/>
  <c r="R15" i="4"/>
  <c r="N16" i="4"/>
  <c r="Q15" i="4"/>
  <c r="T15" i="4"/>
  <c r="V16" i="3"/>
  <c r="Q16" i="3"/>
  <c r="W16" i="3"/>
  <c r="P16" i="3"/>
  <c r="U16" i="3"/>
  <c r="N17" i="3"/>
  <c r="S16" i="3"/>
  <c r="R16" i="3"/>
  <c r="U15" i="2"/>
  <c r="X15" i="5"/>
  <c r="P16" i="2"/>
  <c r="R16" i="2"/>
  <c r="Q16" i="2"/>
  <c r="T16" i="2"/>
  <c r="N17" i="2"/>
  <c r="P10" i="1" l="1"/>
  <c r="X10" i="1" s="1"/>
  <c r="P13" i="1"/>
  <c r="X13" i="1" s="1"/>
  <c r="U15" i="6"/>
  <c r="N17" i="6"/>
  <c r="T16" i="6"/>
  <c r="Q16" i="6"/>
  <c r="R16" i="6"/>
  <c r="P16" i="6"/>
  <c r="U16" i="2"/>
  <c r="R17" i="2"/>
  <c r="Q17" i="2"/>
  <c r="N18" i="2"/>
  <c r="P17" i="2"/>
  <c r="T17" i="2"/>
  <c r="X16" i="3"/>
  <c r="N17" i="4"/>
  <c r="Q16" i="4"/>
  <c r="P16" i="4"/>
  <c r="T16" i="4"/>
  <c r="R16" i="4"/>
  <c r="X16" i="5"/>
  <c r="X15" i="1"/>
  <c r="N18" i="3"/>
  <c r="U17" i="3"/>
  <c r="P17" i="3"/>
  <c r="R17" i="3"/>
  <c r="S17" i="3"/>
  <c r="W17" i="3"/>
  <c r="Q17" i="3"/>
  <c r="V17" i="3"/>
  <c r="U15" i="4"/>
  <c r="P12" i="1"/>
  <c r="X12" i="1" s="1"/>
  <c r="P9" i="1"/>
  <c r="V17" i="5"/>
  <c r="Q17" i="5"/>
  <c r="R17" i="5"/>
  <c r="W17" i="5"/>
  <c r="P17" i="5"/>
  <c r="N18" i="5"/>
  <c r="S17" i="5"/>
  <c r="U17" i="5"/>
  <c r="S16" i="1"/>
  <c r="V16" i="1"/>
  <c r="Q16" i="1"/>
  <c r="N17" i="1"/>
  <c r="U16" i="1"/>
  <c r="P16" i="1"/>
  <c r="W16" i="1"/>
  <c r="R16" i="1"/>
  <c r="U16" i="6" l="1"/>
  <c r="T17" i="6"/>
  <c r="Q17" i="6"/>
  <c r="N18" i="6"/>
  <c r="P17" i="6"/>
  <c r="R17" i="6"/>
  <c r="W17" i="1"/>
  <c r="R17" i="1"/>
  <c r="N18" i="1"/>
  <c r="U17" i="1"/>
  <c r="P17" i="1"/>
  <c r="S17" i="1"/>
  <c r="V17" i="1"/>
  <c r="Q17" i="1"/>
  <c r="X17" i="5"/>
  <c r="U16" i="4"/>
  <c r="X16" i="1"/>
  <c r="U17" i="2"/>
  <c r="S18" i="3"/>
  <c r="N19" i="3"/>
  <c r="U18" i="3"/>
  <c r="Q18" i="3"/>
  <c r="P18" i="3"/>
  <c r="W18" i="3"/>
  <c r="V18" i="3"/>
  <c r="R18" i="3"/>
  <c r="U18" i="5"/>
  <c r="P18" i="5"/>
  <c r="S18" i="5"/>
  <c r="N19" i="5"/>
  <c r="V18" i="5"/>
  <c r="Q18" i="5"/>
  <c r="W18" i="5"/>
  <c r="R18" i="5"/>
  <c r="X9" i="1"/>
  <c r="X17" i="3"/>
  <c r="T17" i="4"/>
  <c r="N18" i="4"/>
  <c r="P17" i="4"/>
  <c r="Q17" i="4"/>
  <c r="R17" i="4"/>
  <c r="P18" i="2"/>
  <c r="N19" i="2"/>
  <c r="Q18" i="2"/>
  <c r="R18" i="2"/>
  <c r="T18" i="2"/>
  <c r="Q18" i="6" l="1"/>
  <c r="T18" i="6"/>
  <c r="N19" i="6"/>
  <c r="P18" i="6"/>
  <c r="R18" i="6"/>
  <c r="U17" i="6"/>
  <c r="U18" i="2"/>
  <c r="N19" i="1"/>
  <c r="V18" i="1"/>
  <c r="Q18" i="1"/>
  <c r="S18" i="1"/>
  <c r="W18" i="1"/>
  <c r="R18" i="1"/>
  <c r="P18" i="1"/>
  <c r="U18" i="1"/>
  <c r="W19" i="5"/>
  <c r="R19" i="5"/>
  <c r="N20" i="5"/>
  <c r="S19" i="5"/>
  <c r="V19" i="5"/>
  <c r="U19" i="5"/>
  <c r="P19" i="5"/>
  <c r="Q19" i="5"/>
  <c r="X18" i="3"/>
  <c r="Q18" i="4"/>
  <c r="R18" i="4"/>
  <c r="P18" i="4"/>
  <c r="N19" i="4"/>
  <c r="T18" i="4"/>
  <c r="X18" i="5"/>
  <c r="V19" i="3"/>
  <c r="Q19" i="3"/>
  <c r="U19" i="3"/>
  <c r="W19" i="3"/>
  <c r="S19" i="3"/>
  <c r="N20" i="3"/>
  <c r="P19" i="3"/>
  <c r="R19" i="3"/>
  <c r="N20" i="2"/>
  <c r="Q19" i="2"/>
  <c r="T19" i="2"/>
  <c r="P19" i="2"/>
  <c r="R19" i="2"/>
  <c r="U17" i="4"/>
  <c r="X17" i="1"/>
  <c r="P19" i="6" l="1"/>
  <c r="N20" i="6"/>
  <c r="Q19" i="6"/>
  <c r="T19" i="6"/>
  <c r="R19" i="6"/>
  <c r="U18" i="6"/>
  <c r="X19" i="5"/>
  <c r="N21" i="3"/>
  <c r="U20" i="3"/>
  <c r="P20" i="3"/>
  <c r="W20" i="3"/>
  <c r="Q20" i="3"/>
  <c r="S20" i="3"/>
  <c r="V20" i="3"/>
  <c r="R20" i="3"/>
  <c r="V20" i="5"/>
  <c r="Q20" i="5"/>
  <c r="U20" i="5"/>
  <c r="S20" i="5"/>
  <c r="W20" i="5"/>
  <c r="P20" i="5"/>
  <c r="N21" i="5"/>
  <c r="R20" i="5"/>
  <c r="T20" i="2"/>
  <c r="R20" i="2"/>
  <c r="N21" i="2"/>
  <c r="P20" i="2"/>
  <c r="Q20" i="2"/>
  <c r="U19" i="2"/>
  <c r="U18" i="4"/>
  <c r="X18" i="1"/>
  <c r="P19" i="1"/>
  <c r="S19" i="1"/>
  <c r="V19" i="1"/>
  <c r="Q19" i="1"/>
  <c r="N20" i="1"/>
  <c r="U19" i="1"/>
  <c r="R19" i="1"/>
  <c r="W19" i="1"/>
  <c r="R19" i="4"/>
  <c r="Q19" i="4"/>
  <c r="P19" i="4"/>
  <c r="T19" i="4"/>
  <c r="N20" i="4"/>
  <c r="X19" i="3"/>
  <c r="Q20" i="6" l="1"/>
  <c r="N21" i="6"/>
  <c r="R20" i="6"/>
  <c r="P20" i="6"/>
  <c r="T20" i="6"/>
  <c r="U19" i="6"/>
  <c r="X19" i="1"/>
  <c r="R20" i="4"/>
  <c r="Q20" i="4"/>
  <c r="T20" i="4"/>
  <c r="N21" i="4"/>
  <c r="P20" i="4"/>
  <c r="S20" i="1"/>
  <c r="W20" i="1"/>
  <c r="R20" i="1"/>
  <c r="N21" i="1"/>
  <c r="U20" i="1"/>
  <c r="P20" i="1"/>
  <c r="V20" i="1"/>
  <c r="Q20" i="1"/>
  <c r="N22" i="5"/>
  <c r="U21" i="5"/>
  <c r="P21" i="5"/>
  <c r="W21" i="5"/>
  <c r="Q21" i="5"/>
  <c r="R21" i="5"/>
  <c r="V21" i="5"/>
  <c r="S21" i="5"/>
  <c r="X20" i="5"/>
  <c r="U19" i="4"/>
  <c r="U20" i="2"/>
  <c r="S21" i="3"/>
  <c r="R21" i="3"/>
  <c r="Q21" i="3"/>
  <c r="W21" i="3"/>
  <c r="V21" i="3"/>
  <c r="N22" i="3"/>
  <c r="P21" i="3"/>
  <c r="U21" i="3"/>
  <c r="X20" i="3"/>
  <c r="N22" i="2"/>
  <c r="Q21" i="2"/>
  <c r="T21" i="2"/>
  <c r="R21" i="2"/>
  <c r="P21" i="2"/>
  <c r="N22" i="6" l="1"/>
  <c r="Q21" i="6"/>
  <c r="R21" i="6"/>
  <c r="P21" i="6"/>
  <c r="T21" i="6"/>
  <c r="U20" i="6"/>
  <c r="X21" i="5"/>
  <c r="P21" i="4"/>
  <c r="Q21" i="4"/>
  <c r="T21" i="4"/>
  <c r="R21" i="4"/>
  <c r="N22" i="4"/>
  <c r="T22" i="2"/>
  <c r="R22" i="2"/>
  <c r="Q22" i="2"/>
  <c r="N23" i="2"/>
  <c r="P22" i="2"/>
  <c r="X21" i="3"/>
  <c r="S22" i="5"/>
  <c r="N23" i="5"/>
  <c r="R22" i="5"/>
  <c r="W22" i="5"/>
  <c r="P22" i="5"/>
  <c r="V22" i="5"/>
  <c r="Q22" i="5"/>
  <c r="U22" i="5"/>
  <c r="U21" i="2"/>
  <c r="X20" i="1"/>
  <c r="V22" i="3"/>
  <c r="Q22" i="3"/>
  <c r="N23" i="3"/>
  <c r="S22" i="3"/>
  <c r="U22" i="3"/>
  <c r="R22" i="3"/>
  <c r="P22" i="3"/>
  <c r="W22" i="3"/>
  <c r="V21" i="1"/>
  <c r="Q21" i="1"/>
  <c r="S21" i="1"/>
  <c r="W21" i="1"/>
  <c r="R21" i="1"/>
  <c r="P21" i="1"/>
  <c r="N22" i="1"/>
  <c r="U21" i="1"/>
  <c r="U20" i="4"/>
  <c r="U21" i="6" l="1"/>
  <c r="T22" i="6"/>
  <c r="R22" i="6"/>
  <c r="N23" i="6"/>
  <c r="P22" i="6"/>
  <c r="Q22" i="6"/>
  <c r="X22" i="3"/>
  <c r="X21" i="1"/>
  <c r="U22" i="2"/>
  <c r="N24" i="5"/>
  <c r="W23" i="5"/>
  <c r="R23" i="5"/>
  <c r="U23" i="5"/>
  <c r="V23" i="5"/>
  <c r="P23" i="5"/>
  <c r="S23" i="5"/>
  <c r="Q23" i="5"/>
  <c r="Q23" i="2"/>
  <c r="N24" i="2"/>
  <c r="R23" i="2"/>
  <c r="P23" i="2"/>
  <c r="T23" i="2"/>
  <c r="R22" i="4"/>
  <c r="N23" i="4"/>
  <c r="P22" i="4"/>
  <c r="Q22" i="4"/>
  <c r="T22" i="4"/>
  <c r="U21" i="4"/>
  <c r="Q22" i="1"/>
  <c r="N23" i="1"/>
  <c r="U22" i="1"/>
  <c r="P22" i="1"/>
  <c r="W22" i="1"/>
  <c r="R22" i="1"/>
  <c r="V22" i="1"/>
  <c r="S22" i="1"/>
  <c r="X22" i="5"/>
  <c r="U23" i="3"/>
  <c r="P23" i="3"/>
  <c r="N24" i="3"/>
  <c r="V23" i="3"/>
  <c r="R23" i="3"/>
  <c r="S23" i="3"/>
  <c r="Q23" i="3"/>
  <c r="W23" i="3"/>
  <c r="U22" i="6" l="1"/>
  <c r="Q23" i="6"/>
  <c r="T23" i="6"/>
  <c r="N24" i="6"/>
  <c r="P23" i="6"/>
  <c r="R23" i="6"/>
  <c r="U23" i="2"/>
  <c r="X23" i="5"/>
  <c r="Q24" i="2"/>
  <c r="T24" i="2"/>
  <c r="N25" i="2"/>
  <c r="P24" i="2"/>
  <c r="R24" i="2"/>
  <c r="V24" i="3"/>
  <c r="Q24" i="3"/>
  <c r="N25" i="3"/>
  <c r="U24" i="3"/>
  <c r="W24" i="3"/>
  <c r="R24" i="3"/>
  <c r="P24" i="3"/>
  <c r="S24" i="3"/>
  <c r="S24" i="5"/>
  <c r="N25" i="5"/>
  <c r="U24" i="5"/>
  <c r="Q24" i="5"/>
  <c r="W24" i="5"/>
  <c r="V24" i="5"/>
  <c r="P24" i="5"/>
  <c r="R24" i="5"/>
  <c r="S23" i="1"/>
  <c r="V23" i="1"/>
  <c r="Q23" i="1"/>
  <c r="U23" i="1"/>
  <c r="P23" i="1"/>
  <c r="N24" i="1"/>
  <c r="W23" i="1"/>
  <c r="R23" i="1"/>
  <c r="X23" i="3"/>
  <c r="X22" i="1"/>
  <c r="U22" i="4"/>
  <c r="P23" i="4"/>
  <c r="T23" i="4"/>
  <c r="N24" i="4"/>
  <c r="R23" i="4"/>
  <c r="Q23" i="4"/>
  <c r="U24" i="2" l="1"/>
  <c r="Q24" i="6"/>
  <c r="P24" i="6"/>
  <c r="N25" i="6"/>
  <c r="R24" i="6"/>
  <c r="T24" i="6"/>
  <c r="U23" i="6"/>
  <c r="X24" i="5"/>
  <c r="X24" i="3"/>
  <c r="P24" i="4"/>
  <c r="N25" i="4"/>
  <c r="R24" i="4"/>
  <c r="T24" i="4"/>
  <c r="Q24" i="4"/>
  <c r="N26" i="3"/>
  <c r="W25" i="3"/>
  <c r="R25" i="3"/>
  <c r="U25" i="3"/>
  <c r="Q25" i="3"/>
  <c r="S25" i="3"/>
  <c r="P25" i="3"/>
  <c r="V25" i="3"/>
  <c r="U25" i="5"/>
  <c r="P25" i="5"/>
  <c r="V25" i="5"/>
  <c r="Q25" i="5"/>
  <c r="R25" i="5"/>
  <c r="N26" i="5"/>
  <c r="S25" i="5"/>
  <c r="W25" i="5"/>
  <c r="U23" i="4"/>
  <c r="X23" i="1"/>
  <c r="U24" i="1"/>
  <c r="P24" i="1"/>
  <c r="N25" i="1"/>
  <c r="W24" i="1"/>
  <c r="R24" i="1"/>
  <c r="V24" i="1"/>
  <c r="Q24" i="1"/>
  <c r="S24" i="1"/>
  <c r="Q25" i="2"/>
  <c r="T25" i="2"/>
  <c r="R25" i="2"/>
  <c r="N26" i="2"/>
  <c r="P25" i="2"/>
  <c r="R25" i="6" l="1"/>
  <c r="P25" i="6"/>
  <c r="N26" i="6"/>
  <c r="Q25" i="6"/>
  <c r="T25" i="6"/>
  <c r="U24" i="6"/>
  <c r="X25" i="3"/>
  <c r="X25" i="5"/>
  <c r="P26" i="2"/>
  <c r="N27" i="2"/>
  <c r="R26" i="2"/>
  <c r="T26" i="2"/>
  <c r="Q26" i="2"/>
  <c r="X24" i="1"/>
  <c r="S26" i="3"/>
  <c r="N27" i="3"/>
  <c r="U26" i="3"/>
  <c r="V26" i="3"/>
  <c r="Q26" i="3"/>
  <c r="P26" i="3"/>
  <c r="R26" i="3"/>
  <c r="W26" i="3"/>
  <c r="P25" i="4"/>
  <c r="T25" i="4"/>
  <c r="R25" i="4"/>
  <c r="N26" i="4"/>
  <c r="Q25" i="4"/>
  <c r="V26" i="5"/>
  <c r="Q26" i="5"/>
  <c r="W26" i="5"/>
  <c r="P26" i="5"/>
  <c r="U26" i="5"/>
  <c r="R26" i="5"/>
  <c r="N27" i="5"/>
  <c r="S26" i="5"/>
  <c r="W25" i="1"/>
  <c r="R25" i="1"/>
  <c r="V25" i="1"/>
  <c r="Q25" i="1"/>
  <c r="S25" i="1"/>
  <c r="N26" i="1"/>
  <c r="U25" i="1"/>
  <c r="P25" i="1"/>
  <c r="U25" i="2"/>
  <c r="U24" i="4"/>
  <c r="R26" i="6" l="1"/>
  <c r="T26" i="6"/>
  <c r="P26" i="6"/>
  <c r="N27" i="6"/>
  <c r="Q26" i="6"/>
  <c r="U25" i="6"/>
  <c r="N28" i="5"/>
  <c r="W27" i="5"/>
  <c r="R27" i="5"/>
  <c r="V27" i="5"/>
  <c r="P27" i="5"/>
  <c r="U27" i="5"/>
  <c r="S27" i="5"/>
  <c r="Q27" i="5"/>
  <c r="P26" i="4"/>
  <c r="N27" i="4"/>
  <c r="R26" i="4"/>
  <c r="T26" i="4"/>
  <c r="Q26" i="4"/>
  <c r="X26" i="3"/>
  <c r="U27" i="3"/>
  <c r="P27" i="3"/>
  <c r="V27" i="3"/>
  <c r="S27" i="3"/>
  <c r="W27" i="3"/>
  <c r="R27" i="3"/>
  <c r="N28" i="3"/>
  <c r="Q27" i="3"/>
  <c r="P27" i="2"/>
  <c r="R27" i="2"/>
  <c r="N28" i="2"/>
  <c r="Q27" i="2"/>
  <c r="T27" i="2"/>
  <c r="S26" i="1"/>
  <c r="N27" i="1"/>
  <c r="W26" i="1"/>
  <c r="R26" i="1"/>
  <c r="U26" i="1"/>
  <c r="P26" i="1"/>
  <c r="V26" i="1"/>
  <c r="Q26" i="1"/>
  <c r="X25" i="1"/>
  <c r="X26" i="5"/>
  <c r="U25" i="4"/>
  <c r="U26" i="2"/>
  <c r="U26" i="6" l="1"/>
  <c r="P27" i="6"/>
  <c r="T27" i="6"/>
  <c r="Q27" i="6"/>
  <c r="R27" i="6"/>
  <c r="N28" i="6"/>
  <c r="X27" i="3"/>
  <c r="X26" i="1"/>
  <c r="S27" i="1"/>
  <c r="V27" i="1"/>
  <c r="Q27" i="1"/>
  <c r="U27" i="1"/>
  <c r="P27" i="1"/>
  <c r="R27" i="1"/>
  <c r="N28" i="1"/>
  <c r="W27" i="1"/>
  <c r="P27" i="4"/>
  <c r="R27" i="4"/>
  <c r="N28" i="4"/>
  <c r="Q27" i="4"/>
  <c r="T27" i="4"/>
  <c r="U27" i="2"/>
  <c r="P28" i="2"/>
  <c r="N29" i="2"/>
  <c r="R28" i="2"/>
  <c r="Q28" i="2"/>
  <c r="T28" i="2"/>
  <c r="V28" i="3"/>
  <c r="Q28" i="3"/>
  <c r="W28" i="3"/>
  <c r="P28" i="3"/>
  <c r="R28" i="3"/>
  <c r="U28" i="3"/>
  <c r="N29" i="3"/>
  <c r="S28" i="3"/>
  <c r="U26" i="4"/>
  <c r="X27" i="5"/>
  <c r="S28" i="5"/>
  <c r="N29" i="5"/>
  <c r="V28" i="5"/>
  <c r="P28" i="5"/>
  <c r="Q28" i="5"/>
  <c r="U28" i="5"/>
  <c r="W28" i="5"/>
  <c r="R28" i="5"/>
  <c r="X27" i="1" l="1"/>
  <c r="R28" i="6"/>
  <c r="Q28" i="6"/>
  <c r="N29" i="6"/>
  <c r="T28" i="6"/>
  <c r="P28" i="6"/>
  <c r="U27" i="6"/>
  <c r="U27" i="4"/>
  <c r="N30" i="5"/>
  <c r="U29" i="5"/>
  <c r="P29" i="5"/>
  <c r="V29" i="5"/>
  <c r="S29" i="5"/>
  <c r="Q29" i="5"/>
  <c r="W29" i="5"/>
  <c r="R29" i="5"/>
  <c r="U28" i="2"/>
  <c r="P28" i="4"/>
  <c r="N29" i="4"/>
  <c r="R28" i="4"/>
  <c r="Q28" i="4"/>
  <c r="T28" i="4"/>
  <c r="X28" i="5"/>
  <c r="P29" i="2"/>
  <c r="N30" i="2"/>
  <c r="Q29" i="2"/>
  <c r="R29" i="2"/>
  <c r="T29" i="2"/>
  <c r="X28" i="3"/>
  <c r="W29" i="3"/>
  <c r="R29" i="3"/>
  <c r="V29" i="3"/>
  <c r="P29" i="3"/>
  <c r="U29" i="3"/>
  <c r="Q29" i="3"/>
  <c r="N30" i="3"/>
  <c r="S29" i="3"/>
  <c r="U28" i="1"/>
  <c r="P28" i="1"/>
  <c r="N29" i="1"/>
  <c r="W28" i="1"/>
  <c r="R28" i="1"/>
  <c r="V28" i="1"/>
  <c r="Q28" i="1"/>
  <c r="S28" i="1"/>
  <c r="U28" i="6" l="1"/>
  <c r="R29" i="6"/>
  <c r="N30" i="6"/>
  <c r="P29" i="6"/>
  <c r="T29" i="6"/>
  <c r="Q29" i="6"/>
  <c r="P29" i="4"/>
  <c r="N30" i="4"/>
  <c r="Q29" i="4"/>
  <c r="R29" i="4"/>
  <c r="T29" i="4"/>
  <c r="X29" i="5"/>
  <c r="W29" i="1"/>
  <c r="V29" i="1"/>
  <c r="Q29" i="1"/>
  <c r="S29" i="1"/>
  <c r="R29" i="1"/>
  <c r="U29" i="1"/>
  <c r="N30" i="1"/>
  <c r="P29" i="1"/>
  <c r="X29" i="3"/>
  <c r="N31" i="2"/>
  <c r="R30" i="2"/>
  <c r="Q30" i="2"/>
  <c r="P30" i="2"/>
  <c r="T30" i="2"/>
  <c r="U28" i="4"/>
  <c r="X28" i="1"/>
  <c r="N31" i="3"/>
  <c r="V30" i="3"/>
  <c r="Q30" i="3"/>
  <c r="R30" i="3"/>
  <c r="S30" i="3"/>
  <c r="P30" i="3"/>
  <c r="U30" i="3"/>
  <c r="W30" i="3"/>
  <c r="U29" i="2"/>
  <c r="S30" i="5"/>
  <c r="W30" i="5"/>
  <c r="Q30" i="5"/>
  <c r="R30" i="5"/>
  <c r="P30" i="5"/>
  <c r="N31" i="5"/>
  <c r="V30" i="5"/>
  <c r="U30" i="5"/>
  <c r="U29" i="6" l="1"/>
  <c r="Q30" i="6"/>
  <c r="N31" i="6"/>
  <c r="P30" i="6"/>
  <c r="R30" i="6"/>
  <c r="T30" i="6"/>
  <c r="U30" i="2"/>
  <c r="X29" i="1"/>
  <c r="N31" i="4"/>
  <c r="R30" i="4"/>
  <c r="Q30" i="4"/>
  <c r="P30" i="4"/>
  <c r="T30" i="4"/>
  <c r="N32" i="5"/>
  <c r="V31" i="5"/>
  <c r="Q31" i="5"/>
  <c r="S31" i="5"/>
  <c r="P31" i="5"/>
  <c r="U31" i="5"/>
  <c r="R31" i="5"/>
  <c r="W31" i="5"/>
  <c r="X30" i="5"/>
  <c r="X30" i="3"/>
  <c r="N31" i="1"/>
  <c r="U30" i="1"/>
  <c r="P30" i="1"/>
  <c r="W30" i="1"/>
  <c r="R30" i="1"/>
  <c r="V30" i="1"/>
  <c r="Q30" i="1"/>
  <c r="S30" i="1"/>
  <c r="U29" i="4"/>
  <c r="S31" i="3"/>
  <c r="U31" i="3"/>
  <c r="R31" i="3"/>
  <c r="W31" i="3"/>
  <c r="N32" i="3"/>
  <c r="V31" i="3"/>
  <c r="Q31" i="3"/>
  <c r="P31" i="3"/>
  <c r="T31" i="2"/>
  <c r="P31" i="2"/>
  <c r="Q31" i="2"/>
  <c r="N32" i="2"/>
  <c r="R31" i="2"/>
  <c r="T31" i="6" l="1"/>
  <c r="Q31" i="6"/>
  <c r="P31" i="6"/>
  <c r="N32" i="6"/>
  <c r="R31" i="6"/>
  <c r="U30" i="6"/>
  <c r="X31" i="5"/>
  <c r="U31" i="2"/>
  <c r="X30" i="1"/>
  <c r="X31" i="3"/>
  <c r="W31" i="1"/>
  <c r="R31" i="1"/>
  <c r="U31" i="1"/>
  <c r="P31" i="1"/>
  <c r="S31" i="1"/>
  <c r="V31" i="1"/>
  <c r="N32" i="1"/>
  <c r="Q31" i="1"/>
  <c r="T31" i="4"/>
  <c r="P31" i="4"/>
  <c r="Q31" i="4"/>
  <c r="N32" i="4"/>
  <c r="R31" i="4"/>
  <c r="S32" i="5"/>
  <c r="N33" i="5"/>
  <c r="V32" i="5"/>
  <c r="P32" i="5"/>
  <c r="Q32" i="5"/>
  <c r="R32" i="5"/>
  <c r="W32" i="5"/>
  <c r="U32" i="5"/>
  <c r="V32" i="3"/>
  <c r="Q32" i="3"/>
  <c r="N33" i="3"/>
  <c r="R32" i="3"/>
  <c r="U32" i="3"/>
  <c r="P32" i="3"/>
  <c r="W32" i="3"/>
  <c r="S32" i="3"/>
  <c r="P32" i="2"/>
  <c r="R32" i="2"/>
  <c r="N33" i="2"/>
  <c r="T32" i="2"/>
  <c r="Q32" i="2"/>
  <c r="U30" i="4"/>
  <c r="T32" i="6" l="1"/>
  <c r="Q32" i="6"/>
  <c r="N33" i="6"/>
  <c r="R32" i="6"/>
  <c r="P32" i="6"/>
  <c r="U31" i="6"/>
  <c r="U31" i="4"/>
  <c r="U33" i="3"/>
  <c r="P33" i="3"/>
  <c r="N34" i="3"/>
  <c r="V33" i="3"/>
  <c r="Q33" i="3"/>
  <c r="R33" i="3"/>
  <c r="W33" i="3"/>
  <c r="S33" i="3"/>
  <c r="X32" i="3"/>
  <c r="W33" i="5"/>
  <c r="R33" i="5"/>
  <c r="U33" i="5"/>
  <c r="S33" i="5"/>
  <c r="Q33" i="5"/>
  <c r="N34" i="5"/>
  <c r="P33" i="5"/>
  <c r="V33" i="5"/>
  <c r="P32" i="4"/>
  <c r="R32" i="4"/>
  <c r="N33" i="4"/>
  <c r="T32" i="4"/>
  <c r="Q32" i="4"/>
  <c r="X31" i="1"/>
  <c r="X32" i="5"/>
  <c r="Q33" i="2"/>
  <c r="T33" i="2"/>
  <c r="N34" i="2"/>
  <c r="P33" i="2"/>
  <c r="R33" i="2"/>
  <c r="U32" i="2"/>
  <c r="V32" i="1"/>
  <c r="Q32" i="1"/>
  <c r="N33" i="1"/>
  <c r="U32" i="1"/>
  <c r="P32" i="1"/>
  <c r="W32" i="1"/>
  <c r="R32" i="1"/>
  <c r="S32" i="1"/>
  <c r="U32" i="6" l="1"/>
  <c r="T33" i="6"/>
  <c r="N34" i="6"/>
  <c r="P33" i="6"/>
  <c r="R33" i="6"/>
  <c r="Q33" i="6"/>
  <c r="Q34" i="2"/>
  <c r="R34" i="2"/>
  <c r="P34" i="2"/>
  <c r="T34" i="2"/>
  <c r="N35" i="2"/>
  <c r="U32" i="4"/>
  <c r="W34" i="5"/>
  <c r="R34" i="5"/>
  <c r="Q34" i="5"/>
  <c r="U34" i="5"/>
  <c r="N35" i="5"/>
  <c r="P34" i="5"/>
  <c r="S34" i="5"/>
  <c r="V34" i="5"/>
  <c r="U34" i="3"/>
  <c r="P34" i="3"/>
  <c r="N35" i="3"/>
  <c r="V34" i="3"/>
  <c r="S34" i="3"/>
  <c r="Q34" i="3"/>
  <c r="R34" i="3"/>
  <c r="W34" i="3"/>
  <c r="X33" i="3"/>
  <c r="X33" i="5"/>
  <c r="U33" i="1"/>
  <c r="P33" i="1"/>
  <c r="N34" i="1"/>
  <c r="S33" i="1"/>
  <c r="V33" i="1"/>
  <c r="Q33" i="1"/>
  <c r="R33" i="1"/>
  <c r="W33" i="1"/>
  <c r="X32" i="1"/>
  <c r="U33" i="2"/>
  <c r="Q33" i="4"/>
  <c r="T33" i="4"/>
  <c r="N34" i="4"/>
  <c r="P33" i="4"/>
  <c r="R33" i="4"/>
  <c r="U33" i="6" l="1"/>
  <c r="R34" i="6"/>
  <c r="Q34" i="6"/>
  <c r="P34" i="6"/>
  <c r="N35" i="6"/>
  <c r="T34" i="6"/>
  <c r="X34" i="5"/>
  <c r="N36" i="5"/>
  <c r="W35" i="5"/>
  <c r="R35" i="5"/>
  <c r="V35" i="5"/>
  <c r="P35" i="5"/>
  <c r="Q35" i="5"/>
  <c r="U35" i="5"/>
  <c r="S35" i="5"/>
  <c r="U34" i="2"/>
  <c r="Q34" i="4"/>
  <c r="N35" i="4"/>
  <c r="R34" i="4"/>
  <c r="P34" i="4"/>
  <c r="T34" i="4"/>
  <c r="X33" i="1"/>
  <c r="X34" i="3"/>
  <c r="U33" i="4"/>
  <c r="U34" i="1"/>
  <c r="P34" i="1"/>
  <c r="N35" i="1"/>
  <c r="S34" i="1"/>
  <c r="V34" i="1"/>
  <c r="Q34" i="1"/>
  <c r="W34" i="1"/>
  <c r="R34" i="1"/>
  <c r="U35" i="3"/>
  <c r="P35" i="3"/>
  <c r="N36" i="3"/>
  <c r="V35" i="3"/>
  <c r="Q35" i="3"/>
  <c r="W35" i="3"/>
  <c r="R35" i="3"/>
  <c r="S35" i="3"/>
  <c r="N36" i="2"/>
  <c r="P35" i="2"/>
  <c r="R35" i="2"/>
  <c r="Q35" i="2"/>
  <c r="T35" i="2"/>
  <c r="U34" i="6" l="1"/>
  <c r="P35" i="6"/>
  <c r="T35" i="6"/>
  <c r="Q35" i="6"/>
  <c r="R35" i="6"/>
  <c r="N36" i="6"/>
  <c r="U35" i="2"/>
  <c r="N37" i="5"/>
  <c r="S36" i="5"/>
  <c r="V36" i="5"/>
  <c r="P36" i="5"/>
  <c r="U36" i="5"/>
  <c r="W36" i="5"/>
  <c r="R36" i="5"/>
  <c r="Q36" i="5"/>
  <c r="X35" i="3"/>
  <c r="X34" i="1"/>
  <c r="N36" i="4"/>
  <c r="P35" i="4"/>
  <c r="Q35" i="4"/>
  <c r="T35" i="4"/>
  <c r="R35" i="4"/>
  <c r="N37" i="2"/>
  <c r="T36" i="2"/>
  <c r="Q36" i="2"/>
  <c r="P36" i="2"/>
  <c r="R36" i="2"/>
  <c r="U34" i="4"/>
  <c r="X35" i="5"/>
  <c r="V36" i="3"/>
  <c r="Q36" i="3"/>
  <c r="U36" i="3"/>
  <c r="S36" i="3"/>
  <c r="N37" i="3"/>
  <c r="W36" i="3"/>
  <c r="R36" i="3"/>
  <c r="P36" i="3"/>
  <c r="U35" i="1"/>
  <c r="P35" i="1"/>
  <c r="S35" i="1"/>
  <c r="V35" i="1"/>
  <c r="Q35" i="1"/>
  <c r="W35" i="1"/>
  <c r="R35" i="1"/>
  <c r="N36" i="1"/>
  <c r="P36" i="6" l="1"/>
  <c r="T36" i="6"/>
  <c r="R36" i="6"/>
  <c r="N37" i="6"/>
  <c r="Q36" i="6"/>
  <c r="U35" i="6"/>
  <c r="U35" i="4"/>
  <c r="X35" i="1"/>
  <c r="V36" i="1"/>
  <c r="Q36" i="1"/>
  <c r="U36" i="1"/>
  <c r="P36" i="1"/>
  <c r="W36" i="1"/>
  <c r="R36" i="1"/>
  <c r="N37" i="1"/>
  <c r="S36" i="1"/>
  <c r="X36" i="3"/>
  <c r="U36" i="2"/>
  <c r="N37" i="4"/>
  <c r="T36" i="4"/>
  <c r="Q36" i="4"/>
  <c r="R36" i="4"/>
  <c r="P36" i="4"/>
  <c r="V37" i="3"/>
  <c r="Q37" i="3"/>
  <c r="R37" i="3"/>
  <c r="S37" i="3"/>
  <c r="W37" i="3"/>
  <c r="U37" i="3"/>
  <c r="P37" i="3"/>
  <c r="N38" i="3"/>
  <c r="N38" i="2"/>
  <c r="T37" i="2"/>
  <c r="Q37" i="2"/>
  <c r="P37" i="2"/>
  <c r="R37" i="2"/>
  <c r="X36" i="5"/>
  <c r="N38" i="5"/>
  <c r="S37" i="5"/>
  <c r="U37" i="5"/>
  <c r="W37" i="5"/>
  <c r="P37" i="5"/>
  <c r="V37" i="5"/>
  <c r="R37" i="5"/>
  <c r="Q37" i="5"/>
  <c r="Q37" i="6" l="1"/>
  <c r="N38" i="6"/>
  <c r="T37" i="6"/>
  <c r="P37" i="6"/>
  <c r="R37" i="6"/>
  <c r="X37" i="3"/>
  <c r="U36" i="6"/>
  <c r="T38" i="2"/>
  <c r="R38" i="2"/>
  <c r="Q38" i="2"/>
  <c r="N39" i="2"/>
  <c r="P38" i="2"/>
  <c r="V37" i="1"/>
  <c r="Q37" i="1"/>
  <c r="U37" i="1"/>
  <c r="P37" i="1"/>
  <c r="W37" i="1"/>
  <c r="R37" i="1"/>
  <c r="S37" i="1"/>
  <c r="N38" i="1"/>
  <c r="X37" i="5"/>
  <c r="S38" i="5"/>
  <c r="N39" i="5"/>
  <c r="R38" i="5"/>
  <c r="U38" i="5"/>
  <c r="Q38" i="5"/>
  <c r="V38" i="5"/>
  <c r="W38" i="5"/>
  <c r="P38" i="5"/>
  <c r="U37" i="2"/>
  <c r="V38" i="3"/>
  <c r="Q38" i="3"/>
  <c r="W38" i="3"/>
  <c r="P38" i="3"/>
  <c r="U38" i="3"/>
  <c r="S38" i="3"/>
  <c r="R38" i="3"/>
  <c r="N39" i="3"/>
  <c r="U36" i="4"/>
  <c r="N38" i="4"/>
  <c r="T37" i="4"/>
  <c r="R37" i="4"/>
  <c r="Q37" i="4"/>
  <c r="P37" i="4"/>
  <c r="X36" i="1"/>
  <c r="U37" i="6" l="1"/>
  <c r="N39" i="6"/>
  <c r="P38" i="6"/>
  <c r="T38" i="6"/>
  <c r="Q38" i="6"/>
  <c r="R38" i="6"/>
  <c r="X38" i="3"/>
  <c r="X38" i="5"/>
  <c r="N40" i="3"/>
  <c r="U39" i="3"/>
  <c r="P39" i="3"/>
  <c r="S39" i="3"/>
  <c r="V39" i="3"/>
  <c r="W39" i="3"/>
  <c r="R39" i="3"/>
  <c r="Q39" i="3"/>
  <c r="U37" i="4"/>
  <c r="T38" i="4"/>
  <c r="Q38" i="4"/>
  <c r="R38" i="4"/>
  <c r="N39" i="4"/>
  <c r="P38" i="4"/>
  <c r="V38" i="1"/>
  <c r="Q38" i="1"/>
  <c r="N39" i="1"/>
  <c r="U38" i="1"/>
  <c r="P38" i="1"/>
  <c r="W38" i="1"/>
  <c r="R38" i="1"/>
  <c r="S38" i="1"/>
  <c r="X37" i="1"/>
  <c r="U38" i="2"/>
  <c r="W39" i="5"/>
  <c r="R39" i="5"/>
  <c r="U39" i="5"/>
  <c r="S39" i="5"/>
  <c r="V39" i="5"/>
  <c r="P39" i="5"/>
  <c r="N40" i="5"/>
  <c r="Q39" i="5"/>
  <c r="R39" i="2"/>
  <c r="P39" i="2"/>
  <c r="N40" i="2"/>
  <c r="Q39" i="2"/>
  <c r="T39" i="2"/>
  <c r="U38" i="6" l="1"/>
  <c r="T39" i="6"/>
  <c r="P39" i="6"/>
  <c r="N40" i="6"/>
  <c r="Q39" i="6"/>
  <c r="R39" i="6"/>
  <c r="N40" i="1"/>
  <c r="U39" i="1"/>
  <c r="P39" i="1"/>
  <c r="S39" i="1"/>
  <c r="V39" i="1"/>
  <c r="Q39" i="1"/>
  <c r="R39" i="1"/>
  <c r="W39" i="1"/>
  <c r="N41" i="3"/>
  <c r="S40" i="3"/>
  <c r="R40" i="3"/>
  <c r="V40" i="3"/>
  <c r="P40" i="3"/>
  <c r="W40" i="3"/>
  <c r="Q40" i="3"/>
  <c r="U40" i="3"/>
  <c r="V40" i="5"/>
  <c r="Q40" i="5"/>
  <c r="N41" i="5"/>
  <c r="W40" i="5"/>
  <c r="P40" i="5"/>
  <c r="S40" i="5"/>
  <c r="R40" i="5"/>
  <c r="U40" i="5"/>
  <c r="U39" i="2"/>
  <c r="X39" i="5"/>
  <c r="X38" i="1"/>
  <c r="X39" i="3"/>
  <c r="R39" i="4"/>
  <c r="N40" i="4"/>
  <c r="T39" i="4"/>
  <c r="Q39" i="4"/>
  <c r="P39" i="4"/>
  <c r="Q40" i="2"/>
  <c r="N41" i="2"/>
  <c r="R40" i="2"/>
  <c r="T40" i="2"/>
  <c r="P40" i="2"/>
  <c r="U38" i="4"/>
  <c r="R40" i="6" l="1"/>
  <c r="P40" i="6"/>
  <c r="T40" i="6"/>
  <c r="N41" i="6"/>
  <c r="Q40" i="6"/>
  <c r="U39" i="6"/>
  <c r="U40" i="2"/>
  <c r="P41" i="2"/>
  <c r="N42" i="2"/>
  <c r="T41" i="2"/>
  <c r="Q41" i="2"/>
  <c r="R41" i="2"/>
  <c r="V41" i="5"/>
  <c r="Q41" i="5"/>
  <c r="U41" i="5"/>
  <c r="P41" i="5"/>
  <c r="W41" i="5"/>
  <c r="N42" i="5"/>
  <c r="S41" i="5"/>
  <c r="R41" i="5"/>
  <c r="U39" i="4"/>
  <c r="Q40" i="4"/>
  <c r="R40" i="4"/>
  <c r="N41" i="4"/>
  <c r="P40" i="4"/>
  <c r="T40" i="4"/>
  <c r="X39" i="1"/>
  <c r="X40" i="5"/>
  <c r="X40" i="3"/>
  <c r="N42" i="3"/>
  <c r="S41" i="3"/>
  <c r="R41" i="3"/>
  <c r="W41" i="3"/>
  <c r="P41" i="3"/>
  <c r="V41" i="3"/>
  <c r="U41" i="3"/>
  <c r="Q41" i="3"/>
  <c r="N41" i="1"/>
  <c r="S40" i="1"/>
  <c r="W40" i="1"/>
  <c r="R40" i="1"/>
  <c r="U40" i="1"/>
  <c r="P40" i="1"/>
  <c r="V40" i="1"/>
  <c r="Q40" i="1"/>
  <c r="N42" i="6" l="1"/>
  <c r="Q41" i="6"/>
  <c r="R41" i="6"/>
  <c r="T41" i="6"/>
  <c r="P41" i="6"/>
  <c r="U40" i="6"/>
  <c r="X40" i="1"/>
  <c r="P41" i="4"/>
  <c r="R41" i="4"/>
  <c r="Q41" i="4"/>
  <c r="N42" i="4"/>
  <c r="T41" i="4"/>
  <c r="X41" i="5"/>
  <c r="N43" i="2"/>
  <c r="P42" i="2"/>
  <c r="T42" i="2"/>
  <c r="R42" i="2"/>
  <c r="Q42" i="2"/>
  <c r="V42" i="5"/>
  <c r="Q42" i="5"/>
  <c r="S42" i="5"/>
  <c r="P42" i="5"/>
  <c r="U42" i="5"/>
  <c r="R42" i="5"/>
  <c r="N43" i="5"/>
  <c r="W42" i="5"/>
  <c r="U40" i="4"/>
  <c r="N42" i="1"/>
  <c r="S41" i="1"/>
  <c r="W41" i="1"/>
  <c r="R41" i="1"/>
  <c r="U41" i="1"/>
  <c r="P41" i="1"/>
  <c r="Q41" i="1"/>
  <c r="V41" i="1"/>
  <c r="X41" i="3"/>
  <c r="S42" i="3"/>
  <c r="R42" i="3"/>
  <c r="Q42" i="3"/>
  <c r="V42" i="3"/>
  <c r="N43" i="3"/>
  <c r="U42" i="3"/>
  <c r="W42" i="3"/>
  <c r="P42" i="3"/>
  <c r="U41" i="2"/>
  <c r="U41" i="6" l="1"/>
  <c r="X42" i="3"/>
  <c r="N43" i="6"/>
  <c r="T42" i="6"/>
  <c r="Q42" i="6"/>
  <c r="P42" i="6"/>
  <c r="R42" i="6"/>
  <c r="N43" i="4"/>
  <c r="P42" i="4"/>
  <c r="Q42" i="4"/>
  <c r="R42" i="4"/>
  <c r="T42" i="4"/>
  <c r="X42" i="5"/>
  <c r="T43" i="2"/>
  <c r="Q43" i="2"/>
  <c r="N44" i="2"/>
  <c r="P43" i="2"/>
  <c r="R43" i="2"/>
  <c r="S42" i="1"/>
  <c r="N43" i="1"/>
  <c r="W42" i="1"/>
  <c r="R42" i="1"/>
  <c r="U42" i="1"/>
  <c r="P42" i="1"/>
  <c r="V42" i="1"/>
  <c r="Q42" i="1"/>
  <c r="U41" i="4"/>
  <c r="U42" i="2"/>
  <c r="U43" i="3"/>
  <c r="P43" i="3"/>
  <c r="S43" i="3"/>
  <c r="N44" i="3"/>
  <c r="V43" i="3"/>
  <c r="Q43" i="3"/>
  <c r="R43" i="3"/>
  <c r="W43" i="3"/>
  <c r="X41" i="1"/>
  <c r="N44" i="5"/>
  <c r="W43" i="5"/>
  <c r="R43" i="5"/>
  <c r="S43" i="5"/>
  <c r="Q43" i="5"/>
  <c r="U43" i="5"/>
  <c r="V43" i="5"/>
  <c r="P43" i="5"/>
  <c r="U42" i="6" l="1"/>
  <c r="N44" i="6"/>
  <c r="P43" i="6"/>
  <c r="T43" i="6"/>
  <c r="Q43" i="6"/>
  <c r="R43" i="6"/>
  <c r="X43" i="3"/>
  <c r="X43" i="5"/>
  <c r="N45" i="3"/>
  <c r="V44" i="3"/>
  <c r="Q44" i="3"/>
  <c r="S44" i="3"/>
  <c r="W44" i="3"/>
  <c r="U44" i="3"/>
  <c r="P44" i="3"/>
  <c r="R44" i="3"/>
  <c r="U43" i="2"/>
  <c r="U42" i="4"/>
  <c r="S44" i="5"/>
  <c r="R44" i="5"/>
  <c r="V44" i="5"/>
  <c r="P44" i="5"/>
  <c r="U44" i="5"/>
  <c r="N45" i="5"/>
  <c r="Q44" i="5"/>
  <c r="W44" i="5"/>
  <c r="X42" i="1"/>
  <c r="U43" i="1"/>
  <c r="P43" i="1"/>
  <c r="S43" i="1"/>
  <c r="V43" i="1"/>
  <c r="Q43" i="1"/>
  <c r="N44" i="1"/>
  <c r="W43" i="1"/>
  <c r="R43" i="1"/>
  <c r="N45" i="2"/>
  <c r="R44" i="2"/>
  <c r="T44" i="2"/>
  <c r="P44" i="2"/>
  <c r="Q44" i="2"/>
  <c r="T43" i="4"/>
  <c r="N44" i="4"/>
  <c r="Q43" i="4"/>
  <c r="P43" i="4"/>
  <c r="R43" i="4"/>
  <c r="X43" i="1" l="1"/>
  <c r="U43" i="6"/>
  <c r="T44" i="6"/>
  <c r="N45" i="6"/>
  <c r="Q44" i="6"/>
  <c r="R44" i="6"/>
  <c r="P44" i="6"/>
  <c r="N45" i="1"/>
  <c r="V44" i="1"/>
  <c r="Q44" i="1"/>
  <c r="U44" i="1"/>
  <c r="P44" i="1"/>
  <c r="W44" i="1"/>
  <c r="R44" i="1"/>
  <c r="S44" i="1"/>
  <c r="N46" i="3"/>
  <c r="S45" i="3"/>
  <c r="U45" i="3"/>
  <c r="Q45" i="3"/>
  <c r="V45" i="3"/>
  <c r="R45" i="3"/>
  <c r="W45" i="3"/>
  <c r="P45" i="3"/>
  <c r="U43" i="4"/>
  <c r="T45" i="2"/>
  <c r="Q45" i="2"/>
  <c r="R45" i="2"/>
  <c r="N46" i="2"/>
  <c r="P45" i="2"/>
  <c r="V45" i="5"/>
  <c r="Q45" i="5"/>
  <c r="S45" i="5"/>
  <c r="P45" i="5"/>
  <c r="W45" i="5"/>
  <c r="R45" i="5"/>
  <c r="N46" i="5"/>
  <c r="U45" i="5"/>
  <c r="U44" i="2"/>
  <c r="X44" i="3"/>
  <c r="N45" i="4"/>
  <c r="R44" i="4"/>
  <c r="P44" i="4"/>
  <c r="Q44" i="4"/>
  <c r="T44" i="4"/>
  <c r="X44" i="5"/>
  <c r="U44" i="6" l="1"/>
  <c r="N46" i="6"/>
  <c r="P45" i="6"/>
  <c r="T45" i="6"/>
  <c r="Q45" i="6"/>
  <c r="R45" i="6"/>
  <c r="X45" i="3"/>
  <c r="T45" i="4"/>
  <c r="P45" i="4"/>
  <c r="R45" i="4"/>
  <c r="N46" i="4"/>
  <c r="Q45" i="4"/>
  <c r="X45" i="5"/>
  <c r="U45" i="2"/>
  <c r="U44" i="4"/>
  <c r="V46" i="5"/>
  <c r="Q46" i="5"/>
  <c r="R46" i="5"/>
  <c r="P46" i="5"/>
  <c r="U46" i="5"/>
  <c r="S46" i="5"/>
  <c r="W46" i="5"/>
  <c r="N47" i="5"/>
  <c r="R46" i="2"/>
  <c r="N47" i="2"/>
  <c r="T46" i="2"/>
  <c r="P46" i="2"/>
  <c r="Q46" i="2"/>
  <c r="N47" i="3"/>
  <c r="S46" i="3"/>
  <c r="R46" i="3"/>
  <c r="U46" i="3"/>
  <c r="P46" i="3"/>
  <c r="W46" i="3"/>
  <c r="Q46" i="3"/>
  <c r="V46" i="3"/>
  <c r="X44" i="1"/>
  <c r="N46" i="1"/>
  <c r="S45" i="1"/>
  <c r="W45" i="1"/>
  <c r="R45" i="1"/>
  <c r="U45" i="1"/>
  <c r="P45" i="1"/>
  <c r="Q45" i="1"/>
  <c r="V45" i="1"/>
  <c r="U45" i="6" l="1"/>
  <c r="T46" i="6"/>
  <c r="P46" i="6"/>
  <c r="Q46" i="6"/>
  <c r="R46" i="6"/>
  <c r="N47" i="6"/>
  <c r="X46" i="3"/>
  <c r="Q47" i="2"/>
  <c r="T47" i="2"/>
  <c r="R47" i="2"/>
  <c r="P47" i="2"/>
  <c r="N48" i="2"/>
  <c r="R46" i="4"/>
  <c r="P46" i="4"/>
  <c r="T46" i="4"/>
  <c r="N47" i="4"/>
  <c r="Q46" i="4"/>
  <c r="U46" i="2"/>
  <c r="V47" i="5"/>
  <c r="Q47" i="5"/>
  <c r="N48" i="5"/>
  <c r="W47" i="5"/>
  <c r="P47" i="5"/>
  <c r="U47" i="5"/>
  <c r="R47" i="5"/>
  <c r="S47" i="5"/>
  <c r="X46" i="5"/>
  <c r="U45" i="4"/>
  <c r="N48" i="3"/>
  <c r="S47" i="3"/>
  <c r="R47" i="3"/>
  <c r="W47" i="3"/>
  <c r="P47" i="3"/>
  <c r="V47" i="3"/>
  <c r="U47" i="3"/>
  <c r="Q47" i="3"/>
  <c r="X45" i="1"/>
  <c r="N47" i="1"/>
  <c r="S46" i="1"/>
  <c r="W46" i="1"/>
  <c r="R46" i="1"/>
  <c r="U46" i="1"/>
  <c r="P46" i="1"/>
  <c r="Q46" i="1"/>
  <c r="V46" i="1"/>
  <c r="X47" i="5" l="1"/>
  <c r="N48" i="6"/>
  <c r="Q47" i="6"/>
  <c r="T47" i="6"/>
  <c r="P47" i="6"/>
  <c r="R47" i="6"/>
  <c r="U47" i="2"/>
  <c r="U46" i="6"/>
  <c r="X47" i="3"/>
  <c r="S48" i="3"/>
  <c r="S49" i="3" s="1"/>
  <c r="P57" i="3" s="1"/>
  <c r="R57" i="3" s="1"/>
  <c r="R48" i="3"/>
  <c r="R49" i="3" s="1"/>
  <c r="U48" i="3"/>
  <c r="U49" i="3" s="1"/>
  <c r="W48" i="3"/>
  <c r="W49" i="3" s="1"/>
  <c r="P59" i="3" s="1"/>
  <c r="R59" i="3" s="1"/>
  <c r="V48" i="3"/>
  <c r="V49" i="3" s="1"/>
  <c r="Q48" i="3"/>
  <c r="Q49" i="3" s="1"/>
  <c r="P48" i="3"/>
  <c r="U46" i="4"/>
  <c r="V48" i="5"/>
  <c r="V49" i="5" s="1"/>
  <c r="Q48" i="5"/>
  <c r="Q49" i="5" s="1"/>
  <c r="U48" i="5"/>
  <c r="U49" i="5" s="1"/>
  <c r="R48" i="5"/>
  <c r="R49" i="5" s="1"/>
  <c r="S48" i="5"/>
  <c r="S49" i="5" s="1"/>
  <c r="P57" i="5" s="1"/>
  <c r="R57" i="5" s="1"/>
  <c r="W48" i="5"/>
  <c r="W49" i="5" s="1"/>
  <c r="P59" i="5" s="1"/>
  <c r="R59" i="5" s="1"/>
  <c r="P48" i="5"/>
  <c r="N48" i="1"/>
  <c r="S47" i="1"/>
  <c r="W47" i="1"/>
  <c r="R47" i="1"/>
  <c r="U47" i="1"/>
  <c r="P47" i="1"/>
  <c r="Q47" i="1"/>
  <c r="V47" i="1"/>
  <c r="X46" i="1"/>
  <c r="Q47" i="4"/>
  <c r="R47" i="4"/>
  <c r="T47" i="4"/>
  <c r="P47" i="4"/>
  <c r="N48" i="4"/>
  <c r="Q48" i="2"/>
  <c r="Q49" i="2" s="1"/>
  <c r="P56" i="2" s="1"/>
  <c r="R56" i="2" s="1"/>
  <c r="T48" i="2"/>
  <c r="T49" i="2" s="1"/>
  <c r="P58" i="2" s="1"/>
  <c r="R58" i="2" s="1"/>
  <c r="R48" i="2"/>
  <c r="R49" i="2" s="1"/>
  <c r="P48" i="2"/>
  <c r="P58" i="3" l="1"/>
  <c r="R58" i="3" s="1"/>
  <c r="P56" i="3"/>
  <c r="R56" i="3" s="1"/>
  <c r="U47" i="6"/>
  <c r="P48" i="6"/>
  <c r="Q48" i="6"/>
  <c r="Q49" i="6" s="1"/>
  <c r="P56" i="6" s="1"/>
  <c r="R56" i="6" s="1"/>
  <c r="T48" i="6"/>
  <c r="T49" i="6" s="1"/>
  <c r="P58" i="6" s="1"/>
  <c r="R58" i="6" s="1"/>
  <c r="R48" i="6"/>
  <c r="R49" i="6" s="1"/>
  <c r="X47" i="1"/>
  <c r="X48" i="3"/>
  <c r="X49" i="3" s="1"/>
  <c r="P49" i="3"/>
  <c r="P55" i="3" s="1"/>
  <c r="S48" i="1"/>
  <c r="S49" i="1" s="1"/>
  <c r="P57" i="1" s="1"/>
  <c r="R57" i="1" s="1"/>
  <c r="W48" i="1"/>
  <c r="W49" i="1" s="1"/>
  <c r="P59" i="1" s="1"/>
  <c r="R59" i="1" s="1"/>
  <c r="R48" i="1"/>
  <c r="R49" i="1" s="1"/>
  <c r="U48" i="1"/>
  <c r="U49" i="1" s="1"/>
  <c r="P48" i="1"/>
  <c r="Q48" i="1"/>
  <c r="Q49" i="1" s="1"/>
  <c r="V48" i="1"/>
  <c r="V49" i="1" s="1"/>
  <c r="U48" i="2"/>
  <c r="U49" i="2" s="1"/>
  <c r="AB53" i="2" s="1"/>
  <c r="P49" i="2"/>
  <c r="P55" i="2" s="1"/>
  <c r="Q48" i="4"/>
  <c r="Q49" i="4" s="1"/>
  <c r="P56" i="4" s="1"/>
  <c r="R56" i="4" s="1"/>
  <c r="P48" i="4"/>
  <c r="T48" i="4"/>
  <c r="T49" i="4" s="1"/>
  <c r="P58" i="4" s="1"/>
  <c r="R58" i="4" s="1"/>
  <c r="R48" i="4"/>
  <c r="R49" i="4" s="1"/>
  <c r="X48" i="5"/>
  <c r="X49" i="5" s="1"/>
  <c r="P49" i="5"/>
  <c r="P55" i="5" s="1"/>
  <c r="P58" i="5"/>
  <c r="R58" i="5" s="1"/>
  <c r="P57" i="2"/>
  <c r="R57" i="2" s="1"/>
  <c r="R50" i="2"/>
  <c r="U47" i="4"/>
  <c r="P56" i="5"/>
  <c r="R56" i="5" s="1"/>
  <c r="AI53" i="5" l="1"/>
  <c r="AD68" i="5"/>
  <c r="AI53" i="3"/>
  <c r="AD68" i="3"/>
  <c r="P58" i="1"/>
  <c r="R58" i="1" s="1"/>
  <c r="P56" i="1"/>
  <c r="R56" i="1" s="1"/>
  <c r="P57" i="6"/>
  <c r="R57" i="6" s="1"/>
  <c r="R50" i="6"/>
  <c r="U48" i="6"/>
  <c r="U49" i="6" s="1"/>
  <c r="AB53" i="6" s="1"/>
  <c r="P49" i="6"/>
  <c r="P55" i="6" s="1"/>
  <c r="AB23" i="2"/>
  <c r="B2" i="2"/>
  <c r="B3" i="2" s="1"/>
  <c r="AG23" i="2"/>
  <c r="AB38" i="2"/>
  <c r="AG38" i="2"/>
  <c r="P60" i="5"/>
  <c r="R55" i="5"/>
  <c r="R60" i="5" s="1"/>
  <c r="X48" i="1"/>
  <c r="X49" i="1" s="1"/>
  <c r="P49" i="1"/>
  <c r="P55" i="1" s="1"/>
  <c r="AD53" i="5"/>
  <c r="AD38" i="5"/>
  <c r="AI23" i="5"/>
  <c r="AD23" i="5"/>
  <c r="B2" i="5"/>
  <c r="B3" i="5" s="1"/>
  <c r="AI38" i="5"/>
  <c r="U48" i="4"/>
  <c r="U49" i="4" s="1"/>
  <c r="AB53" i="4" s="1"/>
  <c r="P49" i="4"/>
  <c r="P55" i="4" s="1"/>
  <c r="R55" i="3"/>
  <c r="R60" i="3" s="1"/>
  <c r="P60" i="3"/>
  <c r="P57" i="4"/>
  <c r="R57" i="4" s="1"/>
  <c r="R50" i="4"/>
  <c r="P60" i="2"/>
  <c r="R55" i="2"/>
  <c r="R60" i="2" s="1"/>
  <c r="AI38" i="3"/>
  <c r="AD23" i="3"/>
  <c r="B2" i="3"/>
  <c r="B3" i="3" s="1"/>
  <c r="AI23" i="3"/>
  <c r="AD53" i="3"/>
  <c r="AD38" i="3"/>
  <c r="AI53" i="1" l="1"/>
  <c r="AD68" i="1"/>
  <c r="P60" i="6"/>
  <c r="R55" i="6"/>
  <c r="R60" i="6" s="1"/>
  <c r="AB23" i="6"/>
  <c r="AG38" i="6"/>
  <c r="AG23" i="6"/>
  <c r="AB38" i="6"/>
  <c r="B2" i="6"/>
  <c r="B3" i="6" s="1"/>
  <c r="AG38" i="4"/>
  <c r="AB23" i="4"/>
  <c r="B2" i="4"/>
  <c r="B3" i="4" s="1"/>
  <c r="AG23" i="4"/>
  <c r="AB38" i="4"/>
  <c r="AI38" i="1"/>
  <c r="AD23" i="1"/>
  <c r="AD38" i="1"/>
  <c r="AI23" i="1"/>
  <c r="B2" i="1"/>
  <c r="B3" i="1" s="1"/>
  <c r="AD53" i="1"/>
  <c r="P60" i="4"/>
  <c r="R55" i="4"/>
  <c r="R60" i="4" s="1"/>
  <c r="R55" i="1"/>
  <c r="R60" i="1" s="1"/>
  <c r="P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ID#AAABMkeSFB8
tc={D4CEFC3C-7325-4E34-A64D-30E52256CE03}    (2024-04-30 01:38:13)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ID#AAABMkeSFDU
tc={928E7189-DF96-4AF8-901E-1C3117C12B69}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ID#AAABMkeSFEQ
tc={928E7189-DF96-4AF9-901E-1C3117C12B69}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ID#AAABMkeSFBo
tc={BEE3DC45-D192-48E4-B051-DA830092375D}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ID#AAABMkeSFDc
tc={F2DB11B4-C1EA-4124-BA56-5F48EB7330B3}    (2024-04-30 01:38:13)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F12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ID#AAABMkeSFDE
tc={E41ACF69-01B3-4294-ABBC-3CDD6864AE75}    (2024-04-30 01:38:13)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J12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ID#AAABMkeSFCk
tc={1441CF6E-179D-48AC-8E2D-BEBA291509B8}    (2024-04-30 01:38:13)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ID#AAABMkeSFBY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ID#AAABMkeSFDM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F24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======
ID#AAABMkeSFBE
tc={4864E3F9-0560-4288-92E6-9293BC3416B9}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ID#AAABMkeSFCI
tc={004D7F3F-C5C1-4610-A019-7D9E4061B6F1}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ID#AAABMkeSFD0
tc={C56CAB35-0F73-4DA9-9E08-15FB1529777D}    (2024-04-30 01:38:13)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0yDrs7J0bUXZ1Edv1roE9wKgiG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ID#AAABMkeSFDg
tc={BEE3DC45-D192-48E5-B051-DA830092375D}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F12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ID#AAABMkeSFDY
tc={E41ACF69-01B3-4294-ABBC-3CDD6864AE75}    (2024-04-30 01:38:13)
[Threaded comment]
Your version of Excel allows you to read this threaded comment; however, any edits to it will get removed if the file is opened in a newer version of Excel. Learn more: https://go.microsoft.com/fwlink/?linkid=870924
Comment:
    Yang benar 70353</t>
        </r>
      </text>
    </comment>
    <comment ref="B1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ID#AAABMkeSFC8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ID#AAABMkeSFC4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F22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======
ID#AAABMkeSFC0
tc={7833DF23-FE90-4F19-9FD0-611220B2E488}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======
ID#AAABMkeSFBU
tc={004D7F3F-C5C1-4611-A019-7D9E4061B6F1}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Hcwdseg4Enp1IW3xhJJgUZS7a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======
ID#AAABMkeSFBs
tc={D4CEFC3C-7325-4E34-A64D-30E52256CE03}    (2024-04-30 01:38:13)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ID#AAABMkeSFDs
tc={928E7189-DF96-4AF8-901E-1C3117C12B69}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======
ID#AAABMkeSFDI
tc={928E7189-DF96-4AF9-901E-1C3117C12B69}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ID#AAABMkeSFDk
tc={BEE3DC45-D192-48E4-B051-DA830092375D}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1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======
ID#AAABMkeSFCg
tc={E992383A-DDF7-479A-807A-377CA4907051}    (2024-04-30 01:38:13)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ID#AAABMkeSFD8
tc={E992383A-DDF7-479A-807A-377CA4907051}    (2024-04-30 01:38:13)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B14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======
ID#AAABMkeSFBc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======
ID#AAABMkeSFBM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F24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======
ID#AAABMkeSFCE
tc={4864E3F9-0560-4288-92E6-9293BC3416B9}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ID#AAABMkeSFD4
tc={004D7F3F-C5C1-4610-A019-7D9E4061B6F1}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======
ID#AAABMkeSFBQ
tc={C56CAB35-0F73-4DA9-9E08-15FB1529777D}    (2024-04-30 01:38:13)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OPzisYducre2jIdJkIA3DjeBqy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ID#AAABMkeSFCw
tc={BEE3DC45-D192-48E5-B051-DA830092375D}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B1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ID#AAABMkeSFDA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ID#AAABMkeSFDw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F22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ID#AAABMkeSFB4
tc={7833DF23-FE90-4F19-9FD0-611220B2E488}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300-000005000000}">
      <text>
        <r>
          <rPr>
            <sz val="11"/>
            <color theme="1"/>
            <rFont val="Calibri"/>
            <family val="2"/>
            <scheme val="minor"/>
          </rPr>
          <t>======
ID#AAABMkeSFB0
tc={004D7F3F-C5C1-4611-A019-7D9E4061B6F1}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FCgPDmmDL/dmrfrhNiW16AP8QL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R7" authorId="0" shapeId="0" xr:uid="{00000000-0006-0000-0400-000006000000}">
      <text>
        <r>
          <rPr>
            <sz val="11"/>
            <color theme="1"/>
            <rFont val="Calibri"/>
            <family val="2"/>
            <scheme val="minor"/>
          </rPr>
          <t>======
ID#AAABMkeSFCo
tc={D4CEFC3C-7325-4E34-A64D-30E52256CE03}    (2024-04-30 01:38:13)
[Threaded comment]
Your version of Excel allows you to read this threaded comment; however, any edits to it will get removed if the file is opened in a newer version of Excel. Learn more: https://go.microsoft.com/fwlink/?linkid=870924
Comment:
    Dipengaruhi dengan growth tidak? 25000 apakah diasumsikan konstan?</t>
        </r>
      </text>
    </comment>
    <comment ref="U7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ID#AAABMkeSFDo
tc={928E7189-DF96-4AF8-901E-1C3117C12B69}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V7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ID#AAABMkeSFDQ
tc={928E7189-DF96-4AF9-901E-1C3117C12B69}    (2024-04-30 01:38:13)
[Threaded comment]
Your version of Excel allows you to read this threaded comment; however, any edits to it will get removed if the file is opened in a newer version of Excel. Learn more: https://go.microsoft.com/fwlink/?linkid=870924
Comment:
    Ada battery replacement 8 tahun</t>
        </r>
      </text>
    </comment>
    <comment ref="Q9" authorId="0" shapeId="0" xr:uid="{00000000-0006-0000-0400-00000D000000}">
      <text>
        <r>
          <rPr>
            <sz val="11"/>
            <color theme="1"/>
            <rFont val="Calibri"/>
            <family val="2"/>
            <scheme val="minor"/>
          </rPr>
          <t>======
ID#AAABMkeSFBA
tc={BEE3DC45-D192-48E4-B051-DA830092375D}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======
ID#AAABMkeSFCs
tc={67D947ED-88BE-48E6-B313-9A497FAA28F5}    (2024-04-30 01:38:13)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J11" authorId="0" shapeId="0" xr:uid="{00000000-0006-0000-0400-000008000000}">
      <text>
        <r>
          <rPr>
            <sz val="11"/>
            <color theme="1"/>
            <rFont val="Calibri"/>
            <family val="2"/>
            <scheme val="minor"/>
          </rPr>
          <t>======
ID#AAABMkeSFCQ
tc={F2DB11B4-C1EA-4124-BA56-5F48EB7330B3}    (2024-04-30 01:38:13)
[Threaded comment]
Your version of Excel allows you to read this threaded comment; however, any edits to it will get removed if the file is opened in a newer version of Excel. Learn more: https://go.microsoft.com/fwlink/?linkid=870924
Comment:
    Sumber ??</t>
        </r>
      </text>
    </comment>
    <comment ref="J12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ID#AAABMkeSFEM
tc={1441CF6E-179D-48AC-8E2D-BEBA291509B8}    (2024-04-30 01:38:13)
[Threaded comment]
Your version of Excel allows you to read this threaded comment; however, any edits to it will get removed if the file is opened in a newer version of Excel. Learn more: https://go.microsoft.com/fwlink/?linkid=870924
Comment:
    Konfirmasi km/cycle berapa? Lihat gambar dibawah</t>
        </r>
      </text>
    </comment>
    <comment ref="B14" authorId="0" shapeId="0" xr:uid="{00000000-0006-0000-0400-00000C000000}">
      <text>
        <r>
          <rPr>
            <sz val="11"/>
            <color theme="1"/>
            <rFont val="Calibri"/>
            <family val="2"/>
            <scheme val="minor"/>
          </rPr>
          <t>======
ID#AAABMkeSFBI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ID#AAABMkeSFEI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J17" authorId="0" shapeId="0" xr:uid="{00000000-0006-0000-0400-00000B000000}">
      <text>
        <r>
          <rPr>
            <sz val="11"/>
            <color theme="1"/>
            <rFont val="Calibri"/>
            <family val="2"/>
            <scheme val="minor"/>
          </rPr>
          <t>======
ID#AAABMkeSFBg
tc={82F62B6C-237A-4712-86A9-B09BC722851E}    (2024-04-30 01:38:13)
[Threaded comment]
Your version of Excel allows you to read this threaded comment; however, any edits to it will get removed if the file is opened in a newer version of Excel. Learn more: https://go.microsoft.com/fwlink/?linkid=870924
Comment:
    Brosur DFSK, lihat gambar di bawah</t>
        </r>
      </text>
    </comment>
    <comment ref="F24" authorId="0" shapeId="0" xr:uid="{00000000-0006-0000-0400-000009000000}">
      <text>
        <r>
          <rPr>
            <sz val="11"/>
            <color theme="1"/>
            <rFont val="Calibri"/>
            <family val="2"/>
            <scheme val="minor"/>
          </rPr>
          <t>======
ID#AAABMkeSFCA
tc={4864E3F9-0560-4288-92E6-9293BC3416B9}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41" authorId="0" shapeId="0" xr:uid="{00000000-0006-0000-0400-000007000000}">
      <text>
        <r>
          <rPr>
            <sz val="11"/>
            <color theme="1"/>
            <rFont val="Calibri"/>
            <family val="2"/>
            <scheme val="minor"/>
          </rPr>
          <t>======
ID#AAABMkeSFCY
tc={004D7F3F-C5C1-4610-A019-7D9E4061B6F1}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  <comment ref="B48" authorId="0" shapeId="0" xr:uid="{00000000-0006-0000-0400-00000A000000}">
      <text>
        <r>
          <rPr>
            <sz val="11"/>
            <color theme="1"/>
            <rFont val="Calibri"/>
            <family val="2"/>
            <scheme val="minor"/>
          </rPr>
          <t>======
ID#AAABMkeSFBw
tc={C56CAB35-0F73-4DA9-9E08-15FB1529777D}    (2024-04-30 01:38:13)
[Threaded comment]
Your version of Excel allows you to read this threaded comment; however, any edits to it will get removed if the file is opened in a newer version of Excel. Learn more: https://go.microsoft.com/fwlink/?linkid=870924
Comment:
    Perlu di breakdown untuk analisa komposisi biaya TCO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/0EUaDX2G2eDxBAXH5q6GqW45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9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ID#AAABMkeSFCU
tc={BEE3DC45-D192-48E5-B051-DA830092375D}    (2024-04-30 01:38:13)
[Threaded comment]
Your version of Excel allows you to read this threaded comment; however, any edits to it will get removed if the file is opened in a newer version of Excel. Learn more: https://go.microsoft.com/fwlink/?linkid=870924
Comment:
    Rubah rumus sedikit, hasil sama</t>
        </r>
      </text>
    </comment>
    <comment ref="J10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ID#AAABMkeSFCc
tc={3B0670CF-17C8-4B34-9A71-0D42C30D4D07}    (2024-04-30 01:38:13)
[Threaded comment]
Your version of Excel allows you to read this threaded comment; however, any edits to it will get removed if the file is opened in a newer version of Excel. Learn more: https://go.microsoft.com/fwlink/?linkid=870924
Comment:
    https://www.autofun.co.id/mobil/dfsk/gelora/konsumsi-bahan-bakar</t>
        </r>
      </text>
    </comment>
    <comment ref="B1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ID#AAABMkeSFEA
tc={385EEFF5-A841-4ED6-BE90-80A2C1B646C9}    (2024-04-30 01:38:13)
[Threaded comment]
Your version of Excel allows you to read this threaded comment; however, any edits to it will get removed if the file is opened in a newer version of Excel. Learn more: https://go.microsoft.com/fwlink/?linkid=870924
Comment:
    PERATURAN MENTERI KEUANGAN REPUBLIK INDONESIA NOMOR 41/PMK.010/ 2022</t>
        </r>
      </text>
    </comment>
    <comment ref="B17" authorId="0" shapeId="0" xr:uid="{00000000-0006-0000-0500-000005000000}">
      <text>
        <r>
          <rPr>
            <sz val="11"/>
            <color theme="1"/>
            <rFont val="Calibri"/>
            <family val="2"/>
            <scheme val="minor"/>
          </rPr>
          <t>======
ID#AAABMkeSFCM
tc={953796FB-98EF-44D3-B6E4-6404E98C4A4D}    (2024-04-30 01:38:13)
[Threaded comment]
Your version of Excel allows you to read this threaded comment; however, any edits to it will get removed if the file is opened in a newer version of Excel. Learn more: https://go.microsoft.com/fwlink/?linkid=870924
Comment:
    12.5% * 60%
NOMOR 6 TAHUN 2019 TENTANG PERUBAHAN ATAS PERATURAN DAERAH NOMOR 9 TAHUN 2010 TENTANG BEA BALIK NAMA KENDARAAN BERMOTOR 
ICEV : Pergub DKIJakarta, Nomor 1 Tahun 2023 ttg Dasar Pengenaan Pajak Kendaraan Bermotor Pembuatan Sebelum Tahun 2022</t>
        </r>
      </text>
    </comment>
    <comment ref="F22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ID#AAABMkeSFEE
tc={7833DF23-FE90-4F19-9FD0-611220B2E488}    (2024-04-30 01:38:13)
[Threaded comment]
Your version of Excel allows you to read this threaded comment; however, any edits to it will get removed if the file is opened in a newer version of Excel. Learn more: https://go.microsoft.com/fwlink/?linkid=870924
Comment:
    TNKB 100.000, STNK 200.000</t>
        </r>
      </text>
    </comment>
    <comment ref="F38" authorId="0" shapeId="0" xr:uid="{00000000-0006-0000-0500-000006000000}">
      <text>
        <r>
          <rPr>
            <sz val="11"/>
            <color theme="1"/>
            <rFont val="Calibri"/>
            <family val="2"/>
            <scheme val="minor"/>
          </rPr>
          <t>======
ID#AAABMkeSFBk
tc={004D7F3F-C5C1-4611-A019-7D9E4061B6F1}    (2024-04-30 01:38:13)
[Threaded comment]
Your version of Excel allows you to read this threaded comment; however, any edits to it will get removed if the file is opened in a newer version of Excel. Learn more: https://go.microsoft.com/fwlink/?linkid=870924
Comment:
    tambahan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6XSkFZxiuOO9wqQ5w4o6/2EDrw=="/>
    </ext>
  </extLst>
</comments>
</file>

<file path=xl/sharedStrings.xml><?xml version="1.0" encoding="utf-8"?>
<sst xmlns="http://schemas.openxmlformats.org/spreadsheetml/2006/main" count="1404" uniqueCount="174">
  <si>
    <t>Country name</t>
  </si>
  <si>
    <t>Brunei</t>
  </si>
  <si>
    <t>TCO</t>
  </si>
  <si>
    <t>US$</t>
  </si>
  <si>
    <t>US$/km</t>
  </si>
  <si>
    <t>ASSUMPTIONS</t>
  </si>
  <si>
    <t>TCO Estimation</t>
  </si>
  <si>
    <t>Sensitivity Analysis</t>
  </si>
  <si>
    <t>Analysis period</t>
  </si>
  <si>
    <t>Years</t>
  </si>
  <si>
    <t>Discounted TCO</t>
  </si>
  <si>
    <t>Country specific costs</t>
  </si>
  <si>
    <t>Vehicle-related Costs</t>
  </si>
  <si>
    <t>Year</t>
  </si>
  <si>
    <t>Equity (US$)</t>
  </si>
  <si>
    <t>Installment (US$)</t>
  </si>
  <si>
    <t>Electricity cost (US$)</t>
  </si>
  <si>
    <t>Charging surcharge cost (US$)</t>
  </si>
  <si>
    <t>O&amp;M Costs  (US$)</t>
  </si>
  <si>
    <t>Battery replacement costs (US$)</t>
  </si>
  <si>
    <t>Battery leasing costs (US$)</t>
  </si>
  <si>
    <t>TCO (US$)</t>
  </si>
  <si>
    <t>Please copy paste following values (values only) to the formula value if there is update/ differences with reference values in tables</t>
  </si>
  <si>
    <t>Exchange rate</t>
  </si>
  <si>
    <t>BND/US$</t>
  </si>
  <si>
    <t>Vehicle price</t>
  </si>
  <si>
    <t>BND</t>
  </si>
  <si>
    <t>Electricity tariff</t>
  </si>
  <si>
    <t>US$/kWh</t>
  </si>
  <si>
    <t>Battery cost unit</t>
  </si>
  <si>
    <t>Battery cost</t>
  </si>
  <si>
    <t>One-time Costs</t>
  </si>
  <si>
    <t>Related to Yearly Costs</t>
  </si>
  <si>
    <t>Battery capacity</t>
  </si>
  <si>
    <t>kWh</t>
  </si>
  <si>
    <t>%</t>
  </si>
  <si>
    <t>Discount rate</t>
  </si>
  <si>
    <t>Battery lifecycle</t>
  </si>
  <si>
    <t>cycles</t>
  </si>
  <si>
    <t>Annual kilometres travelled (AKT)</t>
  </si>
  <si>
    <t>km/year</t>
  </si>
  <si>
    <t>Retail discount</t>
  </si>
  <si>
    <t>Annual kilometres traveled (AKT)</t>
  </si>
  <si>
    <t>Battery range</t>
  </si>
  <si>
    <t>km/cycle</t>
  </si>
  <si>
    <t>Other O&amp;M costs</t>
  </si>
  <si>
    <t>US$/year</t>
  </si>
  <si>
    <t>VAT</t>
  </si>
  <si>
    <t>BND/kWh</t>
  </si>
  <si>
    <t>Vehicle lifespan</t>
  </si>
  <si>
    <t>years</t>
  </si>
  <si>
    <t>Electricity tariff growth</t>
  </si>
  <si>
    <t>%/year</t>
  </si>
  <si>
    <t>SOC</t>
  </si>
  <si>
    <t>Income Tax</t>
  </si>
  <si>
    <t>Battery leasing cost</t>
  </si>
  <si>
    <t>Vehicle Depreciation</t>
  </si>
  <si>
    <t>%/ year</t>
  </si>
  <si>
    <t>Import Tariff</t>
  </si>
  <si>
    <t>BND/year</t>
  </si>
  <si>
    <t>Battery Depreciation</t>
  </si>
  <si>
    <t>Registration Fee</t>
  </si>
  <si>
    <t>Electricity consumption</t>
  </si>
  <si>
    <t>kWh/km</t>
  </si>
  <si>
    <t>Insurance</t>
  </si>
  <si>
    <t>1st Inspection</t>
  </si>
  <si>
    <t>Initial/Surcharge Charging Cost</t>
  </si>
  <si>
    <t>Financing costs</t>
  </si>
  <si>
    <t>Relative change (%)</t>
  </si>
  <si>
    <t>Electricity tariff (US$/kWh)</t>
  </si>
  <si>
    <t>TCO changes (%)</t>
  </si>
  <si>
    <t>Vehicle price (US$)</t>
  </si>
  <si>
    <t>Interest rate (flat)</t>
  </si>
  <si>
    <t>Loan length</t>
  </si>
  <si>
    <t>Reference value</t>
  </si>
  <si>
    <t>Formula value</t>
  </si>
  <si>
    <t>Downpayment</t>
  </si>
  <si>
    <t>% of capital cost</t>
  </si>
  <si>
    <t>TCO ESTIMATION</t>
  </si>
  <si>
    <t>Country specific cost</t>
  </si>
  <si>
    <t>Financing cost</t>
  </si>
  <si>
    <t>Battery</t>
  </si>
  <si>
    <t>Equity</t>
  </si>
  <si>
    <t>Battery lifespan</t>
  </si>
  <si>
    <t>Debt</t>
  </si>
  <si>
    <t>Debt interest</t>
  </si>
  <si>
    <t>Total kilometres travelled during lifecycle</t>
  </si>
  <si>
    <t>km</t>
  </si>
  <si>
    <t>Energy costs</t>
  </si>
  <si>
    <t>Annual kilometres travelled</t>
  </si>
  <si>
    <t>Charging cost</t>
  </si>
  <si>
    <t>Battery cost (US$)</t>
  </si>
  <si>
    <t>AKT (km/year)</t>
  </si>
  <si>
    <t>Electricity cost per km</t>
  </si>
  <si>
    <t>Yearly charging surcharge cost</t>
  </si>
  <si>
    <t>Yearly charging cost</t>
  </si>
  <si>
    <t>Capital cost</t>
  </si>
  <si>
    <t>Battery price</t>
  </si>
  <si>
    <t>Vehicle price + import levy</t>
  </si>
  <si>
    <t>Battery Price + import levy</t>
  </si>
  <si>
    <t xml:space="preserve">   CIF (Cost, Insurance, Freight)</t>
  </si>
  <si>
    <t>Total</t>
  </si>
  <si>
    <t>Vehicle Price+taxes</t>
  </si>
  <si>
    <t>Other O&amp;M costs (US$/L)</t>
  </si>
  <si>
    <t>Cost component</t>
  </si>
  <si>
    <t>Capital costs</t>
  </si>
  <si>
    <t>Yearly Cost + Taxes</t>
  </si>
  <si>
    <t>Battery costs</t>
  </si>
  <si>
    <t>Fuel cost (US$)</t>
  </si>
  <si>
    <t>O&amp;M Cost  (US$)</t>
  </si>
  <si>
    <t>Fuel price</t>
  </si>
  <si>
    <t>US$/L</t>
  </si>
  <si>
    <t>Specific fuel consumption</t>
  </si>
  <si>
    <t>L/km</t>
  </si>
  <si>
    <t>BND/liter</t>
  </si>
  <si>
    <t>Fuel price growth</t>
  </si>
  <si>
    <t>Fuel price (US$/L)</t>
  </si>
  <si>
    <t>Yearly fuel cost</t>
  </si>
  <si>
    <t>Vehicle price + taxes/costs</t>
  </si>
  <si>
    <t>Other O&amp;M costs (US$)</t>
  </si>
  <si>
    <t>cycle</t>
  </si>
  <si>
    <t>BND/km</t>
  </si>
  <si>
    <t>No</t>
  </si>
  <si>
    <t>Battery leasing model</t>
  </si>
  <si>
    <t>Battery leasing?</t>
  </si>
  <si>
    <t>Profit ratio</t>
  </si>
  <si>
    <t>(minimum: 1)</t>
  </si>
  <si>
    <t>Minimimum Kilometre Travelled</t>
  </si>
  <si>
    <t>km/day</t>
  </si>
  <si>
    <t>Battery Leasing Model</t>
  </si>
  <si>
    <t>Battery price (plus taxes)</t>
  </si>
  <si>
    <t>Battery price (plus interests)</t>
  </si>
  <si>
    <t>Battery rental cost unit</t>
  </si>
  <si>
    <t>Minimum AKT</t>
  </si>
  <si>
    <t>Minimum battery rental cost</t>
  </si>
  <si>
    <t>Additional battery rental cost</t>
  </si>
  <si>
    <t>Mininum travelled (km)</t>
  </si>
  <si>
    <t>Mininum Kilometres traveled</t>
  </si>
  <si>
    <t>Road Tax</t>
  </si>
  <si>
    <t>Application fee for number plate</t>
  </si>
  <si>
    <t>Renewal Inspection Fee</t>
  </si>
  <si>
    <t>Renewal inspection</t>
  </si>
  <si>
    <t>Residual Value (US$)</t>
  </si>
  <si>
    <t>Residual value</t>
  </si>
  <si>
    <t>Net Vehicle Price</t>
  </si>
  <si>
    <t>Basic vehicle price</t>
  </si>
  <si>
    <t>Net vehicle price</t>
  </si>
  <si>
    <t>Diesel price per L</t>
  </si>
  <si>
    <t>Gasoline price per L</t>
  </si>
  <si>
    <t>Gasoline cost per km</t>
  </si>
  <si>
    <t>Diesel cost per km</t>
  </si>
  <si>
    <t>Incentive</t>
  </si>
  <si>
    <t>Incentive &amp; discount</t>
  </si>
  <si>
    <t>Yearly Operational Cost</t>
  </si>
  <si>
    <t>Diesel price</t>
  </si>
  <si>
    <t>Gasoline price</t>
  </si>
  <si>
    <t>New registration Fee</t>
  </si>
  <si>
    <t>Net Vehicle price</t>
  </si>
  <si>
    <t>E-bus</t>
  </si>
  <si>
    <t>ICE-bus</t>
  </si>
  <si>
    <t>Parameter change (%)</t>
  </si>
  <si>
    <t>TCO Change (%)</t>
  </si>
  <si>
    <t>Vehicle Price</t>
  </si>
  <si>
    <t>Electricity tarrif</t>
  </si>
  <si>
    <t>AKT</t>
  </si>
  <si>
    <t>O&amp;M costs</t>
  </si>
  <si>
    <t>E-truck</t>
  </si>
  <si>
    <t>ICE-truck</t>
  </si>
  <si>
    <t>E-cargo</t>
  </si>
  <si>
    <t>ICE-cargo</t>
  </si>
  <si>
    <t>Fuel Price</t>
  </si>
  <si>
    <t>BRUNEI D.</t>
  </si>
  <si>
    <t>Energy Efficiency</t>
  </si>
  <si>
    <t>Manufacturer’s Recommended Retail Price (MRRP)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</si>
</sst>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_-;\-* #,##0_-;_-* &quot;-&quot;??_-;_-@"/>
    <numFmt numFmtId="165" formatCode="_(* #,##0_);_(* \(#,##0\);_(* &quot;-&quot;??_);_(@_)"/>
    <numFmt numFmtId="166" formatCode="_-* #,##0.00_-;\-* #,##0.00_-;_-* &quot;-&quot;??_-;_-@"/>
    <numFmt numFmtId="167" formatCode="_-* #,##0_-;\-* #,##0_-;_-* &quot;-&quot;_-;_-@"/>
    <numFmt numFmtId="168" formatCode="_-* #,##0.00_-;\-* #,##0.00_-;_-* &quot;-&quot;_-;_-@"/>
    <numFmt numFmtId="169" formatCode="_-* #,##0.0000_-;\-* #,##0.0000_-;_-* &quot;-&quot;_-;_-@"/>
    <numFmt numFmtId="170" formatCode="0.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5" fillId="0" borderId="1"/>
  </cellStyleXfs>
  <cellXfs count="92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164" fontId="3" fillId="2" borderId="1" xfId="0" applyNumberFormat="1" applyFont="1" applyFill="1" applyBorder="1"/>
    <xf numFmtId="165" fontId="4" fillId="2" borderId="1" xfId="0" applyNumberFormat="1" applyFont="1" applyFill="1" applyBorder="1"/>
    <xf numFmtId="2" fontId="3" fillId="2" borderId="1" xfId="0" applyNumberFormat="1" applyFont="1" applyFill="1" applyBorder="1"/>
    <xf numFmtId="166" fontId="4" fillId="2" borderId="1" xfId="0" applyNumberFormat="1" applyFont="1" applyFill="1" applyBorder="1"/>
    <xf numFmtId="167" fontId="4" fillId="2" borderId="1" xfId="0" applyNumberFormat="1" applyFont="1" applyFill="1" applyBorder="1"/>
    <xf numFmtId="0" fontId="3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168" fontId="4" fillId="2" borderId="1" xfId="0" applyNumberFormat="1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horizontal="left"/>
    </xf>
    <xf numFmtId="164" fontId="4" fillId="3" borderId="1" xfId="0" applyNumberFormat="1" applyFont="1" applyFill="1" applyBorder="1"/>
    <xf numFmtId="164" fontId="3" fillId="3" borderId="1" xfId="0" applyNumberFormat="1" applyFont="1" applyFill="1" applyBorder="1"/>
    <xf numFmtId="169" fontId="4" fillId="2" borderId="1" xfId="0" applyNumberFormat="1" applyFont="1" applyFill="1" applyBorder="1"/>
    <xf numFmtId="167" fontId="4" fillId="3" borderId="1" xfId="0" applyNumberFormat="1" applyFont="1" applyFill="1" applyBorder="1"/>
    <xf numFmtId="168" fontId="4" fillId="3" borderId="1" xfId="0" applyNumberFormat="1" applyFont="1" applyFill="1" applyBorder="1"/>
    <xf numFmtId="0" fontId="3" fillId="2" borderId="5" xfId="0" applyFont="1" applyFill="1" applyBorder="1"/>
    <xf numFmtId="164" fontId="4" fillId="2" borderId="1" xfId="0" applyNumberFormat="1" applyFont="1" applyFill="1" applyBorder="1"/>
    <xf numFmtId="0" fontId="4" fillId="2" borderId="5" xfId="0" applyFont="1" applyFill="1" applyBorder="1" applyAlignment="1">
      <alignment horizontal="left"/>
    </xf>
    <xf numFmtId="43" fontId="4" fillId="2" borderId="1" xfId="0" applyNumberFormat="1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166" fontId="4" fillId="4" borderId="1" xfId="0" applyNumberFormat="1" applyFont="1" applyFill="1" applyBorder="1"/>
    <xf numFmtId="167" fontId="4" fillId="4" borderId="1" xfId="0" applyNumberFormat="1" applyFont="1" applyFill="1" applyBorder="1"/>
    <xf numFmtId="164" fontId="4" fillId="4" borderId="1" xfId="0" applyNumberFormat="1" applyFont="1" applyFill="1" applyBorder="1"/>
    <xf numFmtId="1" fontId="4" fillId="4" borderId="1" xfId="0" applyNumberFormat="1" applyFont="1" applyFill="1" applyBorder="1"/>
    <xf numFmtId="1" fontId="4" fillId="2" borderId="1" xfId="0" applyNumberFormat="1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5" borderId="1" xfId="0" applyFont="1" applyFill="1" applyBorder="1"/>
    <xf numFmtId="167" fontId="4" fillId="5" borderId="1" xfId="0" applyNumberFormat="1" applyFont="1" applyFill="1" applyBorder="1"/>
    <xf numFmtId="167" fontId="4" fillId="2" borderId="3" xfId="0" applyNumberFormat="1" applyFont="1" applyFill="1" applyBorder="1"/>
    <xf numFmtId="170" fontId="4" fillId="2" borderId="1" xfId="0" applyNumberFormat="1" applyFont="1" applyFill="1" applyBorder="1"/>
    <xf numFmtId="168" fontId="3" fillId="2" borderId="1" xfId="0" applyNumberFormat="1" applyFont="1" applyFill="1" applyBorder="1"/>
    <xf numFmtId="166" fontId="3" fillId="2" borderId="1" xfId="0" applyNumberFormat="1" applyFont="1" applyFill="1" applyBorder="1"/>
    <xf numFmtId="164" fontId="4" fillId="5" borderId="1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/>
    <xf numFmtId="10" fontId="4" fillId="2" borderId="1" xfId="0" applyNumberFormat="1" applyFont="1" applyFill="1" applyBorder="1"/>
    <xf numFmtId="166" fontId="4" fillId="5" borderId="1" xfId="0" applyNumberFormat="1" applyFont="1" applyFill="1" applyBorder="1"/>
    <xf numFmtId="1" fontId="4" fillId="5" borderId="1" xfId="0" applyNumberFormat="1" applyFont="1" applyFill="1" applyBorder="1"/>
    <xf numFmtId="0" fontId="4" fillId="6" borderId="1" xfId="0" applyFont="1" applyFill="1" applyBorder="1"/>
    <xf numFmtId="166" fontId="4" fillId="7" borderId="1" xfId="0" applyNumberFormat="1" applyFont="1" applyFill="1" applyBorder="1"/>
    <xf numFmtId="167" fontId="4" fillId="6" borderId="1" xfId="0" applyNumberFormat="1" applyFont="1" applyFill="1" applyBorder="1"/>
    <xf numFmtId="1" fontId="4" fillId="7" borderId="1" xfId="0" applyNumberFormat="1" applyFont="1" applyFill="1" applyBorder="1"/>
    <xf numFmtId="164" fontId="4" fillId="7" borderId="1" xfId="0" applyNumberFormat="1" applyFont="1" applyFill="1" applyBorder="1"/>
    <xf numFmtId="164" fontId="4" fillId="6" borderId="1" xfId="0" applyNumberFormat="1" applyFont="1" applyFill="1" applyBorder="1"/>
    <xf numFmtId="166" fontId="4" fillId="6" borderId="1" xfId="0" applyNumberFormat="1" applyFont="1" applyFill="1" applyBorder="1"/>
    <xf numFmtId="0" fontId="6" fillId="8" borderId="0" xfId="0" applyFont="1" applyFill="1"/>
    <xf numFmtId="0" fontId="0" fillId="8" borderId="0" xfId="0" applyFill="1"/>
    <xf numFmtId="0" fontId="4" fillId="9" borderId="6" xfId="0" applyFont="1" applyFill="1" applyBorder="1"/>
    <xf numFmtId="0" fontId="0" fillId="10" borderId="0" xfId="0" applyFill="1"/>
    <xf numFmtId="0" fontId="4" fillId="9" borderId="1" xfId="0" applyFont="1" applyFill="1" applyBorder="1"/>
    <xf numFmtId="167" fontId="4" fillId="2" borderId="8" xfId="0" applyNumberFormat="1" applyFont="1" applyFill="1" applyBorder="1"/>
    <xf numFmtId="0" fontId="0" fillId="11" borderId="0" xfId="0" applyFill="1"/>
    <xf numFmtId="165" fontId="4" fillId="2" borderId="1" xfId="1" applyNumberFormat="1" applyFont="1" applyFill="1" applyBorder="1"/>
    <xf numFmtId="43" fontId="4" fillId="2" borderId="1" xfId="1" applyFont="1" applyFill="1" applyBorder="1"/>
    <xf numFmtId="0" fontId="2" fillId="11" borderId="0" xfId="0" applyFont="1" applyFill="1"/>
    <xf numFmtId="167" fontId="4" fillId="2" borderId="0" xfId="0" applyNumberFormat="1" applyFont="1" applyFill="1"/>
    <xf numFmtId="0" fontId="7" fillId="0" borderId="1" xfId="2" applyFont="1"/>
    <xf numFmtId="0" fontId="5" fillId="0" borderId="1" xfId="2"/>
    <xf numFmtId="0" fontId="5" fillId="0" borderId="1" xfId="2" applyAlignment="1">
      <alignment wrapText="1"/>
    </xf>
    <xf numFmtId="0" fontId="1" fillId="0" borderId="1" xfId="2" applyFont="1"/>
    <xf numFmtId="0" fontId="6" fillId="12" borderId="1" xfId="2" applyFont="1" applyFill="1" applyAlignment="1">
      <alignment horizontal="center" vertical="center"/>
    </xf>
    <xf numFmtId="0" fontId="6" fillId="12" borderId="1" xfId="2" applyFont="1" applyFill="1" applyAlignment="1">
      <alignment horizontal="center" vertical="center" wrapText="1"/>
    </xf>
    <xf numFmtId="0" fontId="6" fillId="0" borderId="1" xfId="2" applyFont="1" applyAlignment="1">
      <alignment wrapText="1"/>
    </xf>
    <xf numFmtId="0" fontId="6" fillId="12" borderId="1" xfId="2" applyFont="1" applyFill="1"/>
    <xf numFmtId="1" fontId="5" fillId="11" borderId="1" xfId="2" applyNumberFormat="1" applyFill="1" applyAlignment="1">
      <alignment wrapText="1"/>
    </xf>
    <xf numFmtId="1" fontId="5" fillId="11" borderId="1" xfId="2" applyNumberFormat="1" applyFill="1"/>
    <xf numFmtId="0" fontId="5" fillId="12" borderId="1" xfId="2" applyFill="1"/>
    <xf numFmtId="0" fontId="8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12" borderId="1" xfId="2" applyFont="1" applyFill="1" applyAlignment="1">
      <alignment horizontal="center" wrapText="1"/>
    </xf>
    <xf numFmtId="0" fontId="3" fillId="13" borderId="1" xfId="0" applyFont="1" applyFill="1" applyBorder="1"/>
    <xf numFmtId="0" fontId="9" fillId="2" borderId="1" xfId="0" applyFont="1" applyFill="1" applyBorder="1"/>
    <xf numFmtId="168" fontId="9" fillId="2" borderId="1" xfId="0" applyNumberFormat="1" applyFont="1" applyFill="1" applyBorder="1"/>
    <xf numFmtId="0" fontId="6" fillId="12" borderId="1" xfId="2" applyFont="1" applyFill="1" applyAlignment="1">
      <alignment horizontal="center" vertical="center"/>
    </xf>
    <xf numFmtId="0" fontId="6" fillId="12" borderId="1" xfId="2" applyFont="1" applyFill="1" applyAlignment="1">
      <alignment horizontal="center" wrapText="1"/>
    </xf>
    <xf numFmtId="0" fontId="6" fillId="12" borderId="1" xfId="2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E3999324-BF07-4D96-9E42-01EB649B3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BN'!$P$55</c:f>
              <c:numCache>
                <c:formatCode>_-* #,##0_-;\-* #,##0_-;_-* "-"??_-;_-@</c:formatCode>
                <c:ptCount val="1"/>
                <c:pt idx="0">
                  <c:v>380402.94336290297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B59-4FF9-A8CC-971E1A65307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BN'!$P$56</c:f>
              <c:numCache>
                <c:formatCode>_-* #,##0_-;\-* #,##0_-;_-* "-"??_-;_-@</c:formatCode>
                <c:ptCount val="1"/>
                <c:pt idx="0">
                  <c:v>13375.715150029268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B59-4FF9-A8CC-971E1A65307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BN'!$P$57</c:f>
              <c:numCache>
                <c:formatCode>_-* #,##0_-;\-* #,##0_-;_-* "-"??_-;_-@</c:formatCode>
                <c:ptCount val="1"/>
                <c:pt idx="0">
                  <c:v>40643.063675326601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B59-4FF9-A8CC-971E1A653073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BN'!$P$58</c:f>
              <c:numCache>
                <c:formatCode>_-* #,##0_-;\-* #,##0_-;_-* "-"??_-;_-@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B59-4FF9-A8CC-971E1A653073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BN'!$P$59</c:f>
              <c:numCache>
                <c:formatCode>_-* #,##0_-;\-* #,##0_-;_-* "-"??_-;_-@</c:formatCode>
                <c:ptCount val="1"/>
                <c:pt idx="0">
                  <c:v>-70899.072911992625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B59-4FF9-A8CC-971E1A653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7677409"/>
        <c:axId val="1804358193"/>
      </c:barChart>
      <c:catAx>
        <c:axId val="897677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04358193"/>
        <c:crosses val="autoZero"/>
        <c:auto val="1"/>
        <c:lblAlgn val="ctr"/>
        <c:lblOffset val="100"/>
        <c:noMultiLvlLbl val="1"/>
      </c:catAx>
      <c:valAx>
        <c:axId val="18043581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89767740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buses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BN'!$R$55</c:f>
              <c:numCache>
                <c:formatCode>0.00</c:formatCode>
                <c:ptCount val="1"/>
                <c:pt idx="0">
                  <c:v>2.536019622419353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CEE-487E-ACD9-0B6BD6F7D96C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BN'!$R$56</c:f>
              <c:numCache>
                <c:formatCode>0.00</c:formatCode>
                <c:ptCount val="1"/>
                <c:pt idx="0">
                  <c:v>8.9171434333528449E-2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CEE-487E-ACD9-0B6BD6F7D96C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BN'!$R$57</c:f>
              <c:numCache>
                <c:formatCode>0.00</c:formatCode>
                <c:ptCount val="1"/>
                <c:pt idx="0">
                  <c:v>0.27095375783551068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CEE-487E-ACD9-0B6BD6F7D96C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BN'!$R$58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BCEE-487E-ACD9-0B6BD6F7D96C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'E-Bus BN'!$R$59</c:f>
              <c:numCache>
                <c:formatCode>0.00</c:formatCode>
                <c:ptCount val="1"/>
                <c:pt idx="0">
                  <c:v>-0.47266048607995081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BCEE-487E-ACD9-0B6BD6F7D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4589792"/>
        <c:axId val="22842303"/>
      </c:barChart>
      <c:catAx>
        <c:axId val="78458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2842303"/>
        <c:crosses val="autoZero"/>
        <c:auto val="1"/>
        <c:lblAlgn val="ctr"/>
        <c:lblOffset val="100"/>
        <c:noMultiLvlLbl val="1"/>
      </c:catAx>
      <c:valAx>
        <c:axId val="228423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78458979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BN'!$P$55</c:f>
              <c:numCache>
                <c:formatCode>_-* #,##0_-;\-* #,##0_-;_-* "-"??_-;_-@</c:formatCode>
                <c:ptCount val="1"/>
                <c:pt idx="0">
                  <c:v>154314.65338013374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26F-4D64-A2CD-91AFAECF904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BN'!$P$56</c:f>
              <c:numCache>
                <c:formatCode>_-* #,##0_-;\-* #,##0_-;_-* "-"??_-;_-@</c:formatCode>
                <c:ptCount val="1"/>
                <c:pt idx="0">
                  <c:v>13681.960480063608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26F-4D64-A2CD-91AFAECF904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926F-4D64-A2CD-91AFAECF904D}"/>
              </c:ext>
            </c:extLst>
          </c:dPt>
          <c:val>
            <c:numRef>
              <c:f>'ICE-Bus BN'!$P$57</c:f>
              <c:numCache>
                <c:formatCode>_-* #,##0_-;\-* #,##0_-;_-* "-"??_-;_-@</c:formatCode>
                <c:ptCount val="1"/>
                <c:pt idx="0">
                  <c:v>33138.920321459707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926F-4D64-A2CD-91AFAECF904D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BN'!$P$58</c:f>
              <c:numCache>
                <c:formatCode>_-* #,##0_-;\-* #,##0_-;_-* "-"??_-;_-@</c:formatCode>
                <c:ptCount val="1"/>
                <c:pt idx="0">
                  <c:v>-35733.155621099533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926F-4D64-A2CD-91AFAECF9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37276749"/>
        <c:axId val="57185736"/>
      </c:barChart>
      <c:catAx>
        <c:axId val="11372767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57185736"/>
        <c:crosses val="autoZero"/>
        <c:auto val="1"/>
        <c:lblAlgn val="ctr"/>
        <c:lblOffset val="100"/>
        <c:noMultiLvlLbl val="1"/>
      </c:catAx>
      <c:valAx>
        <c:axId val="57185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3727674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buses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BN'!$R$55</c:f>
              <c:numCache>
                <c:formatCode>0.00</c:formatCode>
                <c:ptCount val="1"/>
                <c:pt idx="0">
                  <c:v>1.0287643558675583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32-45AC-BADB-CCAA60F5CDE0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BN'!$R$56</c:f>
              <c:numCache>
                <c:formatCode>0.00</c:formatCode>
                <c:ptCount val="1"/>
                <c:pt idx="0">
                  <c:v>9.1213069867090726E-2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832-45AC-BADB-CCAA60F5CDE0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BN'!$R$57</c:f>
              <c:numCache>
                <c:formatCode>0.00</c:formatCode>
                <c:ptCount val="1"/>
                <c:pt idx="0">
                  <c:v>0.22092613547639806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1832-45AC-BADB-CCAA60F5CDE0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'ICE-Bus BN'!$R$58</c:f>
              <c:numCache>
                <c:formatCode>0.00</c:formatCode>
                <c:ptCount val="1"/>
                <c:pt idx="0">
                  <c:v>-0.23822103747399689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1832-45AC-BADB-CCAA60F5C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9425277"/>
        <c:axId val="471385498"/>
      </c:barChart>
      <c:catAx>
        <c:axId val="1839425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71385498"/>
        <c:crosses val="autoZero"/>
        <c:auto val="1"/>
        <c:lblAlgn val="ctr"/>
        <c:lblOffset val="100"/>
        <c:noMultiLvlLbl val="1"/>
      </c:catAx>
      <c:valAx>
        <c:axId val="471385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3942527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BN'!$P$55</c:f>
              <c:numCache>
                <c:formatCode>_-* #,##0_-;\-* #,##0_-;_-* "-"??_-;_-@</c:formatCode>
                <c:ptCount val="1"/>
                <c:pt idx="0">
                  <c:v>76197.333363196056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95-4569-8B9D-5B11EC19A313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BN'!$P$56</c:f>
              <c:numCache>
                <c:formatCode>_-* #,##0_-;\-* #,##0_-;_-* "-"??_-;_-@</c:formatCode>
                <c:ptCount val="1"/>
                <c:pt idx="0">
                  <c:v>5844.7284908670645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95-4569-8B9D-5B11EC19A313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BN'!$P$57</c:f>
              <c:numCache>
                <c:formatCode>_-* #,##0_-;\-* #,##0_-;_-* "-"??_-;_-@</c:formatCode>
                <c:ptCount val="1"/>
                <c:pt idx="0">
                  <c:v>15885.265179056154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495-4569-8B9D-5B11EC19A313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BN'!$P$58</c:f>
              <c:numCache>
                <c:formatCode>_-* #,##0_-;\-* #,##0_-;_-* "-"??_-;_-@</c:formatCode>
                <c:ptCount val="1"/>
                <c:pt idx="0">
                  <c:v>11486.554757449074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495-4569-8B9D-5B11EC19A313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BN'!$P$59</c:f>
              <c:numCache>
                <c:formatCode>_-* #,##0_-;\-* #,##0_-;_-* "-"??_-;_-@</c:formatCode>
                <c:ptCount val="1"/>
                <c:pt idx="0">
                  <c:v>-15540.984938986971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495-4569-8B9D-5B11EC19A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0308427"/>
        <c:axId val="201111937"/>
      </c:barChart>
      <c:catAx>
        <c:axId val="620308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1111937"/>
        <c:crosses val="autoZero"/>
        <c:auto val="1"/>
        <c:lblAlgn val="ctr"/>
        <c:lblOffset val="100"/>
        <c:noMultiLvlLbl val="1"/>
      </c:catAx>
      <c:valAx>
        <c:axId val="201111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2030842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truck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BN'!$R$55</c:f>
              <c:numCache>
                <c:formatCode>0.00</c:formatCode>
                <c:ptCount val="1"/>
                <c:pt idx="0">
                  <c:v>0.21770666675198874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4AA-4470-80AC-DC42F8D99EAD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BN'!$R$56</c:f>
              <c:numCache>
                <c:formatCode>0.00</c:formatCode>
                <c:ptCount val="1"/>
                <c:pt idx="0">
                  <c:v>1.6699224259620185E-2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4AA-4470-80AC-DC42F8D99EAD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BN'!$R$57</c:f>
              <c:numCache>
                <c:formatCode>0.00</c:formatCode>
                <c:ptCount val="1"/>
                <c:pt idx="0">
                  <c:v>4.538647194016044E-2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4AA-4470-80AC-DC42F8D99EAD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BN'!$R$58</c:f>
              <c:numCache>
                <c:formatCode>0.00</c:formatCode>
                <c:ptCount val="1"/>
                <c:pt idx="0">
                  <c:v>3.2818727878425928E-2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4AA-4470-80AC-DC42F8D99EAD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'E-Truck BN'!$R$59</c:f>
              <c:numCache>
                <c:formatCode>0.00</c:formatCode>
                <c:ptCount val="1"/>
                <c:pt idx="0">
                  <c:v>-4.4402814111391346E-2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44AA-4470-80AC-DC42F8D99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68221667"/>
        <c:axId val="269776780"/>
      </c:barChart>
      <c:catAx>
        <c:axId val="1168221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69776780"/>
        <c:crosses val="autoZero"/>
        <c:auto val="1"/>
        <c:lblAlgn val="ctr"/>
        <c:lblOffset val="100"/>
        <c:noMultiLvlLbl val="1"/>
      </c:catAx>
      <c:valAx>
        <c:axId val="269776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6822166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BN'!$P$55</c:f>
              <c:numCache>
                <c:formatCode>_-* #,##0_-;\-* #,##0_-;_-* "-"??_-;_-@</c:formatCode>
                <c:ptCount val="1"/>
                <c:pt idx="0">
                  <c:v>14599.110647674452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D9-4318-BE74-77AA1BE02582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BN'!$P$56</c:f>
              <c:numCache>
                <c:formatCode>_-* #,##0_-;\-* #,##0_-;_-* "-"??_-;_-@</c:formatCode>
                <c:ptCount val="1"/>
                <c:pt idx="0">
                  <c:v>10171.878356035311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7D9-4318-BE74-77AA1BE02582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17D9-4318-BE74-77AA1BE02582}"/>
              </c:ext>
            </c:extLst>
          </c:dPt>
          <c:val>
            <c:numRef>
              <c:f>'ICE-Truck BN'!$P$57</c:f>
              <c:numCache>
                <c:formatCode>_-* #,##0_-;\-* #,##0_-;_-* "-"??_-;_-@</c:formatCode>
                <c:ptCount val="1"/>
                <c:pt idx="0">
                  <c:v>30825.514582587712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17D9-4318-BE74-77AA1BE02582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BN'!$P$58</c:f>
              <c:numCache>
                <c:formatCode>_-* #,##0_-;\-* #,##0_-;_-* "-"??_-;_-@</c:formatCode>
                <c:ptCount val="1"/>
                <c:pt idx="0">
                  <c:v>-3234.9974094211302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17D9-4318-BE74-77AA1BE02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3257669"/>
        <c:axId val="932876090"/>
      </c:barChart>
      <c:catAx>
        <c:axId val="1663257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32876090"/>
        <c:crosses val="autoZero"/>
        <c:auto val="1"/>
        <c:lblAlgn val="ctr"/>
        <c:lblOffset val="100"/>
        <c:noMultiLvlLbl val="1"/>
      </c:catAx>
      <c:valAx>
        <c:axId val="9328760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6325766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id-ID" sz="1400" b="0" i="0">
                <a:solidFill>
                  <a:srgbClr val="000000"/>
                </a:solidFill>
                <a:latin typeface="Times New Roman"/>
              </a:rPr>
              <a:t>ICE truck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BN'!$R$55</c:f>
              <c:numCache>
                <c:formatCode>0.00</c:formatCode>
                <c:ptCount val="1"/>
                <c:pt idx="0">
                  <c:v>4.1711744707641288E-2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165-4CE7-B712-CE1431E807CB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BN'!$R$56</c:f>
              <c:numCache>
                <c:formatCode>0.00</c:formatCode>
                <c:ptCount val="1"/>
                <c:pt idx="0">
                  <c:v>2.9062509588672319E-2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165-4CE7-B712-CE1431E807CB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BN'!$R$57</c:f>
              <c:numCache>
                <c:formatCode>0.00</c:formatCode>
                <c:ptCount val="1"/>
                <c:pt idx="0">
                  <c:v>8.8072898807393468E-2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165-4CE7-B712-CE1431E807CB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'ICE-Truck BN'!$R$58</c:f>
              <c:numCache>
                <c:formatCode>0.00</c:formatCode>
                <c:ptCount val="1"/>
                <c:pt idx="0">
                  <c:v>-9.2428497412032299E-3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165-4CE7-B712-CE1431E80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3239512"/>
        <c:axId val="2074924351"/>
      </c:barChart>
      <c:catAx>
        <c:axId val="1183239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id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2074924351"/>
        <c:crosses val="autoZero"/>
        <c:auto val="1"/>
        <c:lblAlgn val="ctr"/>
        <c:lblOffset val="100"/>
        <c:noMultiLvlLbl val="1"/>
      </c:catAx>
      <c:valAx>
        <c:axId val="20749243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id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1832395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ID'!$P$55</c:f>
              <c:numCache>
                <c:formatCode>_-* #,##0_-;\-* #,##0_-;_-* "-"??_-;_-@</c:formatCode>
                <c:ptCount val="1"/>
                <c:pt idx="0">
                  <c:v>24075.410466787514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A25-45B0-A4B8-193302D7DE66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ID'!$P$56</c:f>
              <c:numCache>
                <c:formatCode>_-* #,##0_-;\-* #,##0_-;_-* "-"??_-;_-@</c:formatCode>
                <c:ptCount val="1"/>
                <c:pt idx="0">
                  <c:v>4368.1655037006476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A25-45B0-A4B8-193302D7DE66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ID'!$P$57</c:f>
              <c:numCache>
                <c:formatCode>_-* #,##0_-;\-* #,##0_-;_-* "-"??_-;_-@</c:formatCode>
                <c:ptCount val="1"/>
                <c:pt idx="0">
                  <c:v>6625.2918486346043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FA25-45B0-A4B8-193302D7DE66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ID'!$P$58</c:f>
              <c:numCache>
                <c:formatCode>_-* #,##0_-;\-* #,##0_-;_-* "-"??_-;_-@</c:formatCode>
                <c:ptCount val="1"/>
                <c:pt idx="0">
                  <c:v>6433.3768576059974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FA25-45B0-A4B8-193302D7DE66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ID'!$P$59</c:f>
              <c:numCache>
                <c:formatCode>_-* #,##0_-;\-* #,##0_-;_-* "-"??_-;_-@</c:formatCode>
                <c:ptCount val="1"/>
                <c:pt idx="0">
                  <c:v>-4718.9817927999293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FA25-45B0-A4B8-193302D7D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0093522"/>
        <c:axId val="1686353220"/>
      </c:barChart>
      <c:catAx>
        <c:axId val="980093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686353220"/>
        <c:crosses val="autoZero"/>
        <c:auto val="1"/>
        <c:lblAlgn val="ctr"/>
        <c:lblOffset val="100"/>
        <c:noMultiLvlLbl val="1"/>
      </c:catAx>
      <c:valAx>
        <c:axId val="1686353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8009352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Electric cargo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3667786526684161"/>
          <c:y val="0.1299050076454176"/>
          <c:w val="0.83221102362204724"/>
          <c:h val="0.82942978465521655"/>
        </c:manualLayout>
      </c:layout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ID'!$R$55</c:f>
              <c:numCache>
                <c:formatCode>0.00</c:formatCode>
                <c:ptCount val="1"/>
                <c:pt idx="0">
                  <c:v>6.8786887047964332E-2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7AC-448C-B17E-B4EAA66F7FBA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ID'!$R$56</c:f>
              <c:numCache>
                <c:formatCode>0.00</c:formatCode>
                <c:ptCount val="1"/>
                <c:pt idx="0">
                  <c:v>1.2480472867716136E-2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7AC-448C-B17E-B4EAA66F7FBA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ID'!$R$57</c:f>
              <c:numCache>
                <c:formatCode>0.00</c:formatCode>
                <c:ptCount val="1"/>
                <c:pt idx="0">
                  <c:v>1.8929405281813156E-2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67AC-448C-B17E-B4EAA66F7FBA}"/>
            </c:ext>
          </c:extLst>
        </c:ser>
        <c:ser>
          <c:idx val="3"/>
          <c:order val="3"/>
          <c:tx>
            <c:v>Battery costs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ID'!$R$58</c:f>
              <c:numCache>
                <c:formatCode>0.00</c:formatCode>
                <c:ptCount val="1"/>
                <c:pt idx="0">
                  <c:v>1.8381076736017136E-2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67AC-448C-B17E-B4EAA66F7FBA}"/>
            </c:ext>
          </c:extLst>
        </c:ser>
        <c:ser>
          <c:idx val="4"/>
          <c:order val="4"/>
          <c:tx>
            <c:v>Resale value</c:v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'E-Cargo ID'!$R$59</c:f>
              <c:numCache>
                <c:formatCode>0.00</c:formatCode>
                <c:ptCount val="1"/>
                <c:pt idx="0">
                  <c:v>-1.3482805122285512E-2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67AC-448C-B17E-B4EAA66F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8774867"/>
        <c:axId val="995046100"/>
      </c:barChart>
      <c:catAx>
        <c:axId val="688774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995046100"/>
        <c:crosses val="autoZero"/>
        <c:auto val="1"/>
        <c:lblAlgn val="ctr"/>
        <c:lblOffset val="100"/>
        <c:noMultiLvlLbl val="1"/>
      </c:catAx>
      <c:valAx>
        <c:axId val="9950461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8877486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ID'!$P$55</c:f>
              <c:numCache>
                <c:formatCode>_-* #,##0_-;\-* #,##0_-;_-* "-"??_-;_-@</c:formatCode>
                <c:ptCount val="1"/>
                <c:pt idx="0">
                  <c:v>7061.1610322669494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689-4ECD-A3A8-4AD334031EF5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ID'!$P$56</c:f>
              <c:numCache>
                <c:formatCode>_-* #,##0_-;\-* #,##0_-;_-* "-"??_-;_-@</c:formatCode>
                <c:ptCount val="1"/>
                <c:pt idx="0">
                  <c:v>7880.1295530374373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689-4ECD-A3A8-4AD334031EF5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3-0689-4ECD-A3A8-4AD334031EF5}"/>
              </c:ext>
            </c:extLst>
          </c:dPt>
          <c:val>
            <c:numRef>
              <c:f>'ICE-Cargo ID'!$P$57</c:f>
              <c:numCache>
                <c:formatCode>_-* #,##0_-;\-* #,##0_-;_-* "-"??_-;_-@</c:formatCode>
                <c:ptCount val="1"/>
                <c:pt idx="0">
                  <c:v>9152.2527821995463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689-4ECD-A3A8-4AD334031EF5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ID'!$P$58</c:f>
              <c:numCache>
                <c:formatCode>_-* #,##0_-;\-* #,##0_-;_-* "-"??_-;_-@</c:formatCode>
                <c:ptCount val="1"/>
                <c:pt idx="0">
                  <c:v>-1552.7987565221424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0689-4ECD-A3A8-4AD334031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98869742"/>
        <c:axId val="407712735"/>
      </c:barChart>
      <c:catAx>
        <c:axId val="1898869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407712735"/>
        <c:crosses val="autoZero"/>
        <c:auto val="1"/>
        <c:lblAlgn val="ctr"/>
        <c:lblOffset val="100"/>
        <c:noMultiLvlLbl val="1"/>
      </c:catAx>
      <c:valAx>
        <c:axId val="407712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(US$)</a:t>
                </a:r>
              </a:p>
            </c:rich>
          </c:tx>
          <c:overlay val="0"/>
        </c:title>
        <c:numFmt formatCode="_-* #,##0_-;\-* #,##0_-;_-* &quot;-&quot;??_-;_-@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988697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000000"/>
                </a:solidFill>
                <a:latin typeface="Times New Roman"/>
              </a:defRPr>
            </a:pPr>
            <a:r>
              <a:rPr lang="en-ID" sz="1400" b="0" i="0">
                <a:solidFill>
                  <a:srgbClr val="000000"/>
                </a:solidFill>
                <a:latin typeface="Times New Roman"/>
              </a:rPr>
              <a:t>ICE cargo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Capital costs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ID'!$R$55</c:f>
              <c:numCache>
                <c:formatCode>0.00</c:formatCode>
                <c:ptCount val="1"/>
                <c:pt idx="0">
                  <c:v>2.0174745806476997E-2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A2C-4664-89AA-E611051CB1E7}"/>
            </c:ext>
          </c:extLst>
        </c:ser>
        <c:ser>
          <c:idx val="1"/>
          <c:order val="1"/>
          <c:tx>
            <c:v>Energy costs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ID'!$R$56</c:f>
              <c:numCache>
                <c:formatCode>0.00</c:formatCode>
                <c:ptCount val="1"/>
                <c:pt idx="0">
                  <c:v>2.251465586582125E-2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A2C-4664-89AA-E611051CB1E7}"/>
            </c:ext>
          </c:extLst>
        </c:ser>
        <c:ser>
          <c:idx val="2"/>
          <c:order val="2"/>
          <c:tx>
            <c:v>Yearly Cost + Taxes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ID'!$R$57</c:f>
              <c:numCache>
                <c:formatCode>0.00</c:formatCode>
                <c:ptCount val="1"/>
                <c:pt idx="0">
                  <c:v>2.6149293663427275E-2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A2C-4664-89AA-E611051CB1E7}"/>
            </c:ext>
          </c:extLst>
        </c:ser>
        <c:ser>
          <c:idx val="3"/>
          <c:order val="3"/>
          <c:tx>
            <c:v>Resale value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'ICE-Cargo ID'!$R$58</c:f>
              <c:numCache>
                <c:formatCode>0.00</c:formatCode>
                <c:ptCount val="1"/>
                <c:pt idx="0">
                  <c:v>-4.4365678757775501E-3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A2C-4664-89AA-E611051CB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669723"/>
        <c:axId val="635683946"/>
      </c:barChart>
      <c:catAx>
        <c:axId val="1863669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D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635683946"/>
        <c:crosses val="autoZero"/>
        <c:auto val="1"/>
        <c:lblAlgn val="ctr"/>
        <c:lblOffset val="100"/>
        <c:noMultiLvlLbl val="1"/>
      </c:catAx>
      <c:valAx>
        <c:axId val="6356839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ID" sz="1200" b="0" i="0">
                    <a:solidFill>
                      <a:srgbClr val="000000"/>
                    </a:solidFill>
                    <a:latin typeface="Times New Roman"/>
                  </a:rPr>
                  <a:t>TCO (US$/km)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id-ID"/>
          </a:p>
        </c:txPr>
        <c:crossAx val="18636697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 b="1"/>
              <a:t>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Sensitivity!$C$5:$C$15</c:f>
              <c:numCache>
                <c:formatCode>0</c:formatCode>
                <c:ptCount val="11"/>
                <c:pt idx="0">
                  <c:v>-52.321766486936014</c:v>
                </c:pt>
                <c:pt idx="1">
                  <c:v>-41.857413189548815</c:v>
                </c:pt>
                <c:pt idx="2">
                  <c:v>-31.393059892161627</c:v>
                </c:pt>
                <c:pt idx="3">
                  <c:v>-20.928706594774393</c:v>
                </c:pt>
                <c:pt idx="4">
                  <c:v>-10.464353297387188</c:v>
                </c:pt>
                <c:pt idx="5">
                  <c:v>0</c:v>
                </c:pt>
                <c:pt idx="6">
                  <c:v>10.464353297387204</c:v>
                </c:pt>
                <c:pt idx="7">
                  <c:v>20.928706594774425</c:v>
                </c:pt>
                <c:pt idx="8">
                  <c:v>31.393059892161627</c:v>
                </c:pt>
                <c:pt idx="9">
                  <c:v>41.857413189548851</c:v>
                </c:pt>
                <c:pt idx="10">
                  <c:v>52.321766486936106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54-44D3-83C3-BD37B0325542}"/>
            </c:ext>
          </c:extLst>
        </c:ser>
        <c:ser>
          <c:idx val="2"/>
          <c:order val="1"/>
          <c:tx>
            <c:strRef>
              <c:f>Sensitivity!$D$4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Sensitivity!$D$5:$D$15</c:f>
              <c:numCache>
                <c:formatCode>0</c:formatCode>
                <c:ptCount val="11"/>
                <c:pt idx="0">
                  <c:v>-1.8397361452799095</c:v>
                </c:pt>
                <c:pt idx="1">
                  <c:v>-1.4717889162239404</c:v>
                </c:pt>
                <c:pt idx="2">
                  <c:v>-1.1038416871679393</c:v>
                </c:pt>
                <c:pt idx="3">
                  <c:v>-0.73589445811193821</c:v>
                </c:pt>
                <c:pt idx="4">
                  <c:v>-0.36794722905595312</c:v>
                </c:pt>
                <c:pt idx="5">
                  <c:v>0</c:v>
                </c:pt>
                <c:pt idx="6">
                  <c:v>0.36794722905603316</c:v>
                </c:pt>
                <c:pt idx="7">
                  <c:v>0.73589445811201826</c:v>
                </c:pt>
                <c:pt idx="8">
                  <c:v>1.1038416871680032</c:v>
                </c:pt>
                <c:pt idx="9">
                  <c:v>1.4717889162239726</c:v>
                </c:pt>
                <c:pt idx="10">
                  <c:v>1.8397361452799414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54-44D3-83C3-BD37B0325542}"/>
            </c:ext>
          </c:extLst>
        </c:ser>
        <c:ser>
          <c:idx val="3"/>
          <c:order val="2"/>
          <c:tx>
            <c:strRef>
              <c:f>Sensitivity!$E$4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Sensitivity!$E$5:$E$15</c:f>
              <c:numCache>
                <c:formatCode>0</c:formatCode>
                <c:ptCount val="11"/>
                <c:pt idx="0">
                  <c:v>-6.7986603650406847</c:v>
                </c:pt>
                <c:pt idx="1">
                  <c:v>-5.4389282920325606</c:v>
                </c:pt>
                <c:pt idx="2">
                  <c:v>-4.0791962190244044</c:v>
                </c:pt>
                <c:pt idx="3">
                  <c:v>-2.7194641460162803</c:v>
                </c:pt>
                <c:pt idx="4">
                  <c:v>-1.3597320730081401</c:v>
                </c:pt>
                <c:pt idx="5">
                  <c:v>0</c:v>
                </c:pt>
                <c:pt idx="6">
                  <c:v>1.3597320730081564</c:v>
                </c:pt>
                <c:pt idx="7">
                  <c:v>2.7194641460162643</c:v>
                </c:pt>
                <c:pt idx="8">
                  <c:v>4.0791962190244044</c:v>
                </c:pt>
                <c:pt idx="9">
                  <c:v>5.4389282920325606</c:v>
                </c:pt>
                <c:pt idx="10">
                  <c:v>6.7986603650407016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54-44D3-83C3-BD37B0325542}"/>
            </c:ext>
          </c:extLst>
        </c:ser>
        <c:ser>
          <c:idx val="4"/>
          <c:order val="3"/>
          <c:tx>
            <c:strRef>
              <c:f>Sensitivity!$F$4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Sensitivity!$F$5:$F$15</c:f>
              <c:numCache>
                <c:formatCode>0</c:formatCode>
                <c:ptCount val="11"/>
                <c:pt idx="0">
                  <c:v>-7.4219796270267206</c:v>
                </c:pt>
                <c:pt idx="1">
                  <c:v>-5.9375837016213637</c:v>
                </c:pt>
                <c:pt idx="2">
                  <c:v>-4.4531877762160228</c:v>
                </c:pt>
                <c:pt idx="3">
                  <c:v>-2.9687918508106659</c:v>
                </c:pt>
                <c:pt idx="4">
                  <c:v>-1.4843959254053087</c:v>
                </c:pt>
                <c:pt idx="5">
                  <c:v>0</c:v>
                </c:pt>
                <c:pt idx="6">
                  <c:v>1.4843959254053729</c:v>
                </c:pt>
                <c:pt idx="7">
                  <c:v>2.9687918508107138</c:v>
                </c:pt>
                <c:pt idx="8">
                  <c:v>4.4531877762160708</c:v>
                </c:pt>
                <c:pt idx="9">
                  <c:v>5.9375837016213957</c:v>
                </c:pt>
                <c:pt idx="10">
                  <c:v>7.4219796270267206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54-44D3-83C3-BD37B0325542}"/>
            </c:ext>
          </c:extLst>
        </c:ser>
        <c:ser>
          <c:idx val="5"/>
          <c:order val="4"/>
          <c:tx>
            <c:strRef>
              <c:f>Sensitivity!$G$4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Sensitivity!$G$5:$G$15</c:f>
              <c:numCache>
                <c:formatCode>0</c:formatCode>
                <c:ptCount val="11"/>
                <c:pt idx="0">
                  <c:v>-5.5822434817467954</c:v>
                </c:pt>
                <c:pt idx="1">
                  <c:v>-4.4657947853974553</c:v>
                </c:pt>
                <c:pt idx="2">
                  <c:v>-3.3493460890480673</c:v>
                </c:pt>
                <c:pt idx="3">
                  <c:v>-2.2328973926986952</c:v>
                </c:pt>
                <c:pt idx="4">
                  <c:v>-1.1164486963493556</c:v>
                </c:pt>
                <c:pt idx="5">
                  <c:v>0</c:v>
                </c:pt>
                <c:pt idx="6">
                  <c:v>1.1164486963494198</c:v>
                </c:pt>
                <c:pt idx="7">
                  <c:v>2.2328973926987437</c:v>
                </c:pt>
                <c:pt idx="8">
                  <c:v>3.3493460890480988</c:v>
                </c:pt>
                <c:pt idx="9">
                  <c:v>4.4657947853974713</c:v>
                </c:pt>
                <c:pt idx="10">
                  <c:v>5.5822434817468434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4-44D3-83C3-BD37B0325542}"/>
            </c:ext>
          </c:extLst>
        </c:ser>
        <c:ser>
          <c:idx val="0"/>
          <c:order val="5"/>
          <c:tx>
            <c:strRef>
              <c:f>Sensitivity!$H$4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Sensitivity!$B$5:$B$15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Sensitivity!$H$5:$H$15</c:f>
              <c:numCache>
                <c:formatCode>0</c:formatCode>
                <c:ptCount val="11"/>
                <c:pt idx="0">
                  <c:v>1.8397361452799414</c:v>
                </c:pt>
                <c:pt idx="1">
                  <c:v>1.4717889162239726</c:v>
                </c:pt>
                <c:pt idx="2">
                  <c:v>1.1038416871680032</c:v>
                </c:pt>
                <c:pt idx="3">
                  <c:v>0.73589445811201826</c:v>
                </c:pt>
                <c:pt idx="4">
                  <c:v>0.36794722905603316</c:v>
                </c:pt>
                <c:pt idx="5">
                  <c:v>0</c:v>
                </c:pt>
                <c:pt idx="6">
                  <c:v>-0.36794722905595312</c:v>
                </c:pt>
                <c:pt idx="7">
                  <c:v>-0.73589445811193821</c:v>
                </c:pt>
                <c:pt idx="8">
                  <c:v>-1.1038416871679393</c:v>
                </c:pt>
                <c:pt idx="9">
                  <c:v>-1.4717889162239404</c:v>
                </c:pt>
                <c:pt idx="10">
                  <c:v>-1.8397361452799095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C54-44D3-83C3-BD37B0325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89275070103599"/>
              <c:y val="0.48419455380295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798793642239705"/>
              <c:y val="9.691319224969896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Sensitivity!$C$20:$C$30</c:f>
              <c:numCache>
                <c:formatCode>0</c:formatCode>
                <c:ptCount val="11"/>
                <c:pt idx="0">
                  <c:v>-40.585374436493957</c:v>
                </c:pt>
                <c:pt idx="1">
                  <c:v>-32.468299549195159</c:v>
                </c:pt>
                <c:pt idx="2">
                  <c:v>-24.351224661896378</c:v>
                </c:pt>
                <c:pt idx="3">
                  <c:v>-16.234149774597576</c:v>
                </c:pt>
                <c:pt idx="4">
                  <c:v>-8.1170748872988021</c:v>
                </c:pt>
                <c:pt idx="5">
                  <c:v>0</c:v>
                </c:pt>
                <c:pt idx="6">
                  <c:v>8.1170748872987399</c:v>
                </c:pt>
                <c:pt idx="7">
                  <c:v>16.234149774597544</c:v>
                </c:pt>
                <c:pt idx="8">
                  <c:v>24.351224661896318</c:v>
                </c:pt>
                <c:pt idx="9">
                  <c:v>32.468299549195088</c:v>
                </c:pt>
                <c:pt idx="10">
                  <c:v>40.585374436493922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2A-4A04-9609-6556F1BF9C20}"/>
            </c:ext>
          </c:extLst>
        </c:ser>
        <c:ser>
          <c:idx val="2"/>
          <c:order val="1"/>
          <c:tx>
            <c:strRef>
              <c:f>Sensitivity!$D$19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Sensitivity!$D$20:$D$30</c:f>
              <c:numCache>
                <c:formatCode>0</c:formatCode>
                <c:ptCount val="11"/>
                <c:pt idx="0">
                  <c:v>-3.1131075565442123</c:v>
                </c:pt>
                <c:pt idx="1">
                  <c:v>-2.4904860452353952</c:v>
                </c:pt>
                <c:pt idx="2">
                  <c:v>-1.8678645339265616</c:v>
                </c:pt>
                <c:pt idx="3">
                  <c:v>-1.2452430226177129</c:v>
                </c:pt>
                <c:pt idx="4">
                  <c:v>-0.6226215113088488</c:v>
                </c:pt>
                <c:pt idx="5">
                  <c:v>0</c:v>
                </c:pt>
                <c:pt idx="6">
                  <c:v>0.62262151130881771</c:v>
                </c:pt>
                <c:pt idx="7">
                  <c:v>1.2452430226176665</c:v>
                </c:pt>
                <c:pt idx="8">
                  <c:v>1.8678645339265152</c:v>
                </c:pt>
                <c:pt idx="9">
                  <c:v>2.4904860452353486</c:v>
                </c:pt>
                <c:pt idx="10">
                  <c:v>3.1131075565441817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2A-4A04-9609-6556F1BF9C20}"/>
            </c:ext>
          </c:extLst>
        </c:ser>
        <c:ser>
          <c:idx val="3"/>
          <c:order val="2"/>
          <c:tx>
            <c:strRef>
              <c:f>Sensitivity!$E$19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Sensitivity!$E$20:$E$30</c:f>
              <c:numCache>
                <c:formatCode>0</c:formatCode>
                <c:ptCount val="11"/>
                <c:pt idx="0">
                  <c:v>-5.6066126078217637</c:v>
                </c:pt>
                <c:pt idx="1">
                  <c:v>-4.4852900862574421</c:v>
                </c:pt>
                <c:pt idx="2">
                  <c:v>-3.3639675646930738</c:v>
                </c:pt>
                <c:pt idx="3">
                  <c:v>-2.242645043128721</c:v>
                </c:pt>
                <c:pt idx="4">
                  <c:v>-1.1213225215643683</c:v>
                </c:pt>
                <c:pt idx="5">
                  <c:v>0</c:v>
                </c:pt>
                <c:pt idx="6">
                  <c:v>1.1213225215643374</c:v>
                </c:pt>
                <c:pt idx="7">
                  <c:v>2.2426450431286749</c:v>
                </c:pt>
                <c:pt idx="8">
                  <c:v>3.3639675646930276</c:v>
                </c:pt>
                <c:pt idx="9">
                  <c:v>4.4852900862573648</c:v>
                </c:pt>
                <c:pt idx="10">
                  <c:v>5.6066126078217327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2A-4A04-9609-6556F1BF9C20}"/>
            </c:ext>
          </c:extLst>
        </c:ser>
        <c:ser>
          <c:idx val="4"/>
          <c:order val="3"/>
          <c:tx>
            <c:strRef>
              <c:f>Sensitivity!$F$19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Sensitivity!$F$20:$F$30</c:f>
              <c:numCache>
                <c:formatCode>0</c:formatCode>
                <c:ptCount val="11"/>
                <c:pt idx="0">
                  <c:v>-18.476407596424441</c:v>
                </c:pt>
                <c:pt idx="1">
                  <c:v>-15.568075498820766</c:v>
                </c:pt>
                <c:pt idx="2">
                  <c:v>-12.934540135865566</c:v>
                </c:pt>
                <c:pt idx="3">
                  <c:v>-10.283146485846476</c:v>
                </c:pt>
                <c:pt idx="4">
                  <c:v>-2.3088392345206588</c:v>
                </c:pt>
                <c:pt idx="5">
                  <c:v>0</c:v>
                </c:pt>
                <c:pt idx="6">
                  <c:v>3.2896037259138229</c:v>
                </c:pt>
                <c:pt idx="7">
                  <c:v>5.5984429604344657</c:v>
                </c:pt>
                <c:pt idx="8">
                  <c:v>14.572571436174634</c:v>
                </c:pt>
                <c:pt idx="9">
                  <c:v>16.88141067069526</c:v>
                </c:pt>
                <c:pt idx="10">
                  <c:v>19.190249905215889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2A-4A04-9609-6556F1BF9C20}"/>
            </c:ext>
          </c:extLst>
        </c:ser>
        <c:ser>
          <c:idx val="5"/>
          <c:order val="4"/>
          <c:tx>
            <c:strRef>
              <c:f>Sensitivity!$G$19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Sensitivity!$G$20:$G$30</c:f>
              <c:numCache>
                <c:formatCode>0</c:formatCode>
                <c:ptCount val="11"/>
                <c:pt idx="0">
                  <c:v>-8.4310886160589575</c:v>
                </c:pt>
                <c:pt idx="1">
                  <c:v>-6.744870892847163</c:v>
                </c:pt>
                <c:pt idx="2">
                  <c:v>-5.0586531696353836</c:v>
                </c:pt>
                <c:pt idx="3">
                  <c:v>-3.3724354464235731</c:v>
                </c:pt>
                <c:pt idx="4">
                  <c:v>-1.6862177232118098</c:v>
                </c:pt>
                <c:pt idx="5">
                  <c:v>0</c:v>
                </c:pt>
                <c:pt idx="6">
                  <c:v>1.6862177232117481</c:v>
                </c:pt>
                <c:pt idx="7">
                  <c:v>3.3724354464235264</c:v>
                </c:pt>
                <c:pt idx="8">
                  <c:v>5.0586531696353214</c:v>
                </c:pt>
                <c:pt idx="9">
                  <c:v>6.744870892847131</c:v>
                </c:pt>
                <c:pt idx="10">
                  <c:v>8.4310886160589256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2A-4A04-9609-6556F1BF9C20}"/>
            </c:ext>
          </c:extLst>
        </c:ser>
        <c:ser>
          <c:idx val="0"/>
          <c:order val="5"/>
          <c:tx>
            <c:strRef>
              <c:f>Sensitivity!$H$19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Sensitivity!$B$20:$B$30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Sensitivity!$H$20:$H$30</c:f>
              <c:numCache>
                <c:formatCode>0</c:formatCode>
                <c:ptCount val="11"/>
                <c:pt idx="0">
                  <c:v>3.1131075565441817</c:v>
                </c:pt>
                <c:pt idx="1">
                  <c:v>2.490486045235333</c:v>
                </c:pt>
                <c:pt idx="2">
                  <c:v>1.8678645339265152</c:v>
                </c:pt>
                <c:pt idx="3">
                  <c:v>1.2452430226176665</c:v>
                </c:pt>
                <c:pt idx="4">
                  <c:v>0.62262151130881771</c:v>
                </c:pt>
                <c:pt idx="5">
                  <c:v>0</c:v>
                </c:pt>
                <c:pt idx="6">
                  <c:v>-0.6226215113088488</c:v>
                </c:pt>
                <c:pt idx="7">
                  <c:v>-1.2452430226177129</c:v>
                </c:pt>
                <c:pt idx="8">
                  <c:v>-1.8678645339265616</c:v>
                </c:pt>
                <c:pt idx="9">
                  <c:v>-2.4904860452353952</c:v>
                </c:pt>
                <c:pt idx="10">
                  <c:v>-3.1131075565442123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2A-4A04-9609-6556F1BF9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575371243996611"/>
              <c:y val="0.48534828107634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7078366796508"/>
              <c:y val="6.825592113485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4045314648168978"/>
          <c:w val="0.93649009886074819"/>
          <c:h val="0.12988376452943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E-</a:t>
            </a:r>
            <a:r>
              <a:rPr lang="en-US"/>
              <a:t>van</a:t>
            </a:r>
            <a:endParaRPr lang="id-ID"/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0305023314883552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Sensitivity!$C$34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Sensitivity!$C$35:$C$45</c:f>
              <c:numCache>
                <c:formatCode>0</c:formatCode>
                <c:ptCount val="11"/>
                <c:pt idx="0">
                  <c:v>-32.726039751773115</c:v>
                </c:pt>
                <c:pt idx="1">
                  <c:v>-26.180831801418471</c:v>
                </c:pt>
                <c:pt idx="2">
                  <c:v>-19.635623851063865</c:v>
                </c:pt>
                <c:pt idx="3">
                  <c:v>-13.090415900709246</c:v>
                </c:pt>
                <c:pt idx="4">
                  <c:v>-6.5452079503546017</c:v>
                </c:pt>
                <c:pt idx="5">
                  <c:v>0</c:v>
                </c:pt>
                <c:pt idx="6">
                  <c:v>6.5452079503546425</c:v>
                </c:pt>
                <c:pt idx="7">
                  <c:v>13.090415900709246</c:v>
                </c:pt>
                <c:pt idx="8">
                  <c:v>19.635623851063887</c:v>
                </c:pt>
                <c:pt idx="9">
                  <c:v>26.180831801418492</c:v>
                </c:pt>
                <c:pt idx="10">
                  <c:v>32.726039751773087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EB-4A06-9BFB-03091B6DCA15}"/>
            </c:ext>
          </c:extLst>
        </c:ser>
        <c:ser>
          <c:idx val="2"/>
          <c:order val="1"/>
          <c:tx>
            <c:strRef>
              <c:f>Sensitivity!$D$34</c:f>
              <c:strCache>
                <c:ptCount val="1"/>
                <c:pt idx="0">
                  <c:v>Electricity tarrif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Sensitivity!$D$35:$D$45</c:f>
              <c:numCache>
                <c:formatCode>0</c:formatCode>
                <c:ptCount val="11"/>
                <c:pt idx="0">
                  <c:v>-5.9377080242779812</c:v>
                </c:pt>
                <c:pt idx="1">
                  <c:v>-4.750166419422432</c:v>
                </c:pt>
                <c:pt idx="2">
                  <c:v>-3.5626248145668047</c:v>
                </c:pt>
                <c:pt idx="3">
                  <c:v>-2.375083209711216</c:v>
                </c:pt>
                <c:pt idx="4">
                  <c:v>-1.187541604855608</c:v>
                </c:pt>
                <c:pt idx="5">
                  <c:v>0</c:v>
                </c:pt>
                <c:pt idx="6">
                  <c:v>1.1875416048556278</c:v>
                </c:pt>
                <c:pt idx="7">
                  <c:v>2.375083209711236</c:v>
                </c:pt>
                <c:pt idx="8">
                  <c:v>3.5626248145668638</c:v>
                </c:pt>
                <c:pt idx="9">
                  <c:v>4.750166419422432</c:v>
                </c:pt>
                <c:pt idx="10">
                  <c:v>5.9377080242780211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EB-4A06-9BFB-03091B6DCA15}"/>
            </c:ext>
          </c:extLst>
        </c:ser>
        <c:ser>
          <c:idx val="3"/>
          <c:order val="2"/>
          <c:tx>
            <c:strRef>
              <c:f>Sensitivity!$E$34</c:f>
              <c:strCache>
                <c:ptCount val="1"/>
                <c:pt idx="0">
                  <c:v>Battery cost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Sensitivity!$E$35:$E$45</c:f>
              <c:numCache>
                <c:formatCode>0</c:formatCode>
                <c:ptCount val="11"/>
                <c:pt idx="0">
                  <c:v>-7.4191609027127861</c:v>
                </c:pt>
                <c:pt idx="1">
                  <c:v>-5.9353287221702171</c:v>
                </c:pt>
                <c:pt idx="2">
                  <c:v>-4.4514965416276873</c:v>
                </c:pt>
                <c:pt idx="3">
                  <c:v>-2.9676643610850988</c:v>
                </c:pt>
                <c:pt idx="4">
                  <c:v>-1.4838321805425692</c:v>
                </c:pt>
                <c:pt idx="5">
                  <c:v>0</c:v>
                </c:pt>
                <c:pt idx="6">
                  <c:v>1.4838321805425494</c:v>
                </c:pt>
                <c:pt idx="7">
                  <c:v>2.9676643610851183</c:v>
                </c:pt>
                <c:pt idx="8">
                  <c:v>4.4514965416276473</c:v>
                </c:pt>
                <c:pt idx="9">
                  <c:v>5.9353287221702367</c:v>
                </c:pt>
                <c:pt idx="10">
                  <c:v>7.4191609027127665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EB-4A06-9BFB-03091B6DCA15}"/>
            </c:ext>
          </c:extLst>
        </c:ser>
        <c:ser>
          <c:idx val="4"/>
          <c:order val="3"/>
          <c:tx>
            <c:strRef>
              <c:f>Sensitivity!$F$34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Sensitivity!$F$35:$F$45</c:f>
              <c:numCache>
                <c:formatCode>0</c:formatCode>
                <c:ptCount val="11"/>
                <c:pt idx="0">
                  <c:v>-24.952204623364576</c:v>
                </c:pt>
                <c:pt idx="1">
                  <c:v>-21.141852265113862</c:v>
                </c:pt>
                <c:pt idx="2">
                  <c:v>-17.715134947447329</c:v>
                </c:pt>
                <c:pt idx="3">
                  <c:v>-7.2446721025370229</c:v>
                </c:pt>
                <c:pt idx="4">
                  <c:v>-4.271252792828462</c:v>
                </c:pt>
                <c:pt idx="5">
                  <c:v>0</c:v>
                </c:pt>
                <c:pt idx="6">
                  <c:v>2.9734193097085604</c:v>
                </c:pt>
                <c:pt idx="7">
                  <c:v>14.766933176108887</c:v>
                </c:pt>
                <c:pt idx="8">
                  <c:v>17.740352485817429</c:v>
                </c:pt>
                <c:pt idx="9">
                  <c:v>20.713771795526011</c:v>
                </c:pt>
                <c:pt idx="10">
                  <c:v>23.687191105234508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EB-4A06-9BFB-03091B6DCA15}"/>
            </c:ext>
          </c:extLst>
        </c:ser>
        <c:ser>
          <c:idx val="5"/>
          <c:order val="4"/>
          <c:tx>
            <c:strRef>
              <c:f>Sensitivity!$G$34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Sensitivity!$G$35:$G$45</c:f>
              <c:numCache>
                <c:formatCode>0</c:formatCode>
                <c:ptCount val="11"/>
                <c:pt idx="0">
                  <c:v>-8.9293885242646418</c:v>
                </c:pt>
                <c:pt idx="1">
                  <c:v>-7.1435108194117092</c:v>
                </c:pt>
                <c:pt idx="2">
                  <c:v>-5.357633114558757</c:v>
                </c:pt>
                <c:pt idx="3">
                  <c:v>-3.5717554097058448</c:v>
                </c:pt>
                <c:pt idx="4">
                  <c:v>-1.7858777048529124</c:v>
                </c:pt>
                <c:pt idx="5">
                  <c:v>0</c:v>
                </c:pt>
                <c:pt idx="6">
                  <c:v>1.7858777048529519</c:v>
                </c:pt>
                <c:pt idx="7">
                  <c:v>3.5717554097058644</c:v>
                </c:pt>
                <c:pt idx="8">
                  <c:v>5.357633114558797</c:v>
                </c:pt>
                <c:pt idx="9">
                  <c:v>7.1435108194117287</c:v>
                </c:pt>
                <c:pt idx="10">
                  <c:v>8.9293885242646418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EB-4A06-9BFB-03091B6DCA15}"/>
            </c:ext>
          </c:extLst>
        </c:ser>
        <c:ser>
          <c:idx val="0"/>
          <c:order val="5"/>
          <c:tx>
            <c:strRef>
              <c:f>Sensitivity!$H$34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Sensitivity!$B$35:$B$45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Sensitivity!$H$35:$H$45</c:f>
              <c:numCache>
                <c:formatCode>0</c:formatCode>
                <c:ptCount val="11"/>
                <c:pt idx="0">
                  <c:v>5.9377080242780211</c:v>
                </c:pt>
                <c:pt idx="1">
                  <c:v>4.750166419422432</c:v>
                </c:pt>
                <c:pt idx="2">
                  <c:v>3.5626248145668638</c:v>
                </c:pt>
                <c:pt idx="3">
                  <c:v>2.375083209711236</c:v>
                </c:pt>
                <c:pt idx="4">
                  <c:v>1.1875416048556278</c:v>
                </c:pt>
                <c:pt idx="5">
                  <c:v>0</c:v>
                </c:pt>
                <c:pt idx="6">
                  <c:v>-1.187541604855608</c:v>
                </c:pt>
                <c:pt idx="7">
                  <c:v>-2.375083209711216</c:v>
                </c:pt>
                <c:pt idx="8">
                  <c:v>-3.5626248145668047</c:v>
                </c:pt>
                <c:pt idx="9">
                  <c:v>-4.750166419422432</c:v>
                </c:pt>
                <c:pt idx="10">
                  <c:v>-5.9377080242779812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EB-4A06-9BFB-03091B6DC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688876220583397"/>
              <c:y val="0.50351757868330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2531261858585176"/>
              <c:y val="6.634176592546905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974890194164904E-2"/>
          <c:y val="0.85037360035678544"/>
          <c:w val="0.93649009886074819"/>
          <c:h val="0.1199632590961503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ICE-bus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Sensitivity!$P$5:$P$15</c:f>
              <c:numCache>
                <c:formatCode>0</c:formatCode>
                <c:ptCount val="11"/>
                <c:pt idx="0">
                  <c:v>-46.648257033267413</c:v>
                </c:pt>
                <c:pt idx="1">
                  <c:v>-37.31860562661393</c:v>
                </c:pt>
                <c:pt idx="2">
                  <c:v>-27.988954219960448</c:v>
                </c:pt>
                <c:pt idx="3">
                  <c:v>-18.659302813306962</c:v>
                </c:pt>
                <c:pt idx="4">
                  <c:v>-9.3296514066534808</c:v>
                </c:pt>
                <c:pt idx="5">
                  <c:v>0</c:v>
                </c:pt>
                <c:pt idx="6">
                  <c:v>9.3296514066535163</c:v>
                </c:pt>
                <c:pt idx="7">
                  <c:v>18.659302813306962</c:v>
                </c:pt>
                <c:pt idx="8">
                  <c:v>27.988954219960476</c:v>
                </c:pt>
                <c:pt idx="9">
                  <c:v>37.318605626613923</c:v>
                </c:pt>
                <c:pt idx="10">
                  <c:v>46.648257033267434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F-4B34-9C3A-FA3F820CBF46}"/>
            </c:ext>
          </c:extLst>
        </c:ser>
        <c:ser>
          <c:idx val="2"/>
          <c:order val="1"/>
          <c:tx>
            <c:strRef>
              <c:f>Sensitivity!$Q$4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Sensitivity!$Q$5:$Q$15</c:f>
              <c:numCache>
                <c:formatCode>0</c:formatCode>
                <c:ptCount val="11"/>
                <c:pt idx="0">
                  <c:v>-4.1359624326848179</c:v>
                </c:pt>
                <c:pt idx="1">
                  <c:v>-3.3087699461478368</c:v>
                </c:pt>
                <c:pt idx="2">
                  <c:v>-2.4815774596108735</c:v>
                </c:pt>
                <c:pt idx="3">
                  <c:v>-1.6543849730739275</c:v>
                </c:pt>
                <c:pt idx="4">
                  <c:v>-0.82719248653696376</c:v>
                </c:pt>
                <c:pt idx="5">
                  <c:v>0</c:v>
                </c:pt>
                <c:pt idx="6">
                  <c:v>0.82719248653698119</c:v>
                </c:pt>
                <c:pt idx="7">
                  <c:v>1.6543849730739448</c:v>
                </c:pt>
                <c:pt idx="8">
                  <c:v>2.4815774596109264</c:v>
                </c:pt>
                <c:pt idx="9">
                  <c:v>3.3087699461478897</c:v>
                </c:pt>
                <c:pt idx="10">
                  <c:v>4.1359624326848179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F-4B34-9C3A-FA3F820CBF46}"/>
            </c:ext>
          </c:extLst>
        </c:ser>
        <c:ser>
          <c:idx val="3"/>
          <c:order val="2"/>
          <c:tx>
            <c:strRef>
              <c:f>Sensitivity!$R$4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Sensitivity!$R$5:$R$15</c:f>
              <c:numCache>
                <c:formatCode>0</c:formatCode>
                <c:ptCount val="11"/>
                <c:pt idx="0">
                  <c:v>-7.2827891559721287</c:v>
                </c:pt>
                <c:pt idx="1">
                  <c:v>-5.8262313247777344</c:v>
                </c:pt>
                <c:pt idx="2">
                  <c:v>-4.3696734935832877</c:v>
                </c:pt>
                <c:pt idx="3">
                  <c:v>-2.9131156623888583</c:v>
                </c:pt>
                <c:pt idx="4">
                  <c:v>-1.4565578311944292</c:v>
                </c:pt>
                <c:pt idx="5">
                  <c:v>0</c:v>
                </c:pt>
                <c:pt idx="6">
                  <c:v>1.4565578311944645</c:v>
                </c:pt>
                <c:pt idx="7">
                  <c:v>2.9131156623888756</c:v>
                </c:pt>
                <c:pt idx="8">
                  <c:v>4.3696734935833232</c:v>
                </c:pt>
                <c:pt idx="9">
                  <c:v>5.8262313247777513</c:v>
                </c:pt>
                <c:pt idx="10">
                  <c:v>7.2827891559721634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F-4B34-9C3A-FA3F820CBF46}"/>
            </c:ext>
          </c:extLst>
        </c:ser>
        <c:ser>
          <c:idx val="4"/>
          <c:order val="3"/>
          <c:tx>
            <c:strRef>
              <c:f>Sensitivity!$S$4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Sensitivity!$S$5:$S$15</c:f>
              <c:numCache>
                <c:formatCode>0</c:formatCode>
                <c:ptCount val="11"/>
                <c:pt idx="0">
                  <c:v>-11.418751588656963</c:v>
                </c:pt>
                <c:pt idx="1">
                  <c:v>-9.1350012709255726</c:v>
                </c:pt>
                <c:pt idx="2">
                  <c:v>-6.8512509531941612</c:v>
                </c:pt>
                <c:pt idx="3">
                  <c:v>-4.5675006354628032</c:v>
                </c:pt>
                <c:pt idx="4">
                  <c:v>-2.2837503177313754</c:v>
                </c:pt>
                <c:pt idx="5">
                  <c:v>0</c:v>
                </c:pt>
                <c:pt idx="6">
                  <c:v>2.2837503177314105</c:v>
                </c:pt>
                <c:pt idx="7">
                  <c:v>4.5675006354628209</c:v>
                </c:pt>
                <c:pt idx="8">
                  <c:v>6.8512509531942305</c:v>
                </c:pt>
                <c:pt idx="9">
                  <c:v>9.1350012709256241</c:v>
                </c:pt>
                <c:pt idx="10">
                  <c:v>11.418751588657017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EF-4B34-9C3A-FA3F820CBF46}"/>
            </c:ext>
          </c:extLst>
        </c:ser>
        <c:ser>
          <c:idx val="5"/>
          <c:order val="4"/>
          <c:tx>
            <c:strRef>
              <c:f>Sensitivity!$T$4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Sensitivity!$O$5:$O$15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Sensitivity!$T$5:$T$15</c:f>
              <c:numCache>
                <c:formatCode>0</c:formatCode>
                <c:ptCount val="11"/>
                <c:pt idx="0">
                  <c:v>4.1359624326848179</c:v>
                </c:pt>
                <c:pt idx="1">
                  <c:v>3.3087699461478897</c:v>
                </c:pt>
                <c:pt idx="2">
                  <c:v>2.4815774596109264</c:v>
                </c:pt>
                <c:pt idx="3">
                  <c:v>1.6543849730739448</c:v>
                </c:pt>
                <c:pt idx="4">
                  <c:v>0.82719248653698119</c:v>
                </c:pt>
                <c:pt idx="5">
                  <c:v>0</c:v>
                </c:pt>
                <c:pt idx="6">
                  <c:v>-0.82719248653696376</c:v>
                </c:pt>
                <c:pt idx="7">
                  <c:v>-1.6543849730739275</c:v>
                </c:pt>
                <c:pt idx="8">
                  <c:v>-2.4815774596108735</c:v>
                </c:pt>
                <c:pt idx="9">
                  <c:v>-3.3087699461478368</c:v>
                </c:pt>
                <c:pt idx="10">
                  <c:v>-4.1359624326848179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EF-4B34-9C3A-FA3F820C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017322242378667"/>
              <c:y val="0.44719021196936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ICE-truck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Sensitivity!$P$19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Sensitivity!$P$20:$P$30</c:f>
              <c:numCache>
                <c:formatCode>0</c:formatCode>
                <c:ptCount val="11"/>
                <c:pt idx="0">
                  <c:v>-13.940690130607472</c:v>
                </c:pt>
                <c:pt idx="1">
                  <c:v>-11.152552104485975</c:v>
                </c:pt>
                <c:pt idx="2">
                  <c:v>-8.3644140783644776</c:v>
                </c:pt>
                <c:pt idx="3">
                  <c:v>-5.5762760522429948</c:v>
                </c:pt>
                <c:pt idx="4">
                  <c:v>-2.7881380261214836</c:v>
                </c:pt>
                <c:pt idx="5">
                  <c:v>0</c:v>
                </c:pt>
                <c:pt idx="6">
                  <c:v>2.7881380261215112</c:v>
                </c:pt>
                <c:pt idx="7">
                  <c:v>5.5762760522429948</c:v>
                </c:pt>
                <c:pt idx="8">
                  <c:v>8.3644140783644918</c:v>
                </c:pt>
                <c:pt idx="9">
                  <c:v>11.15255210448599</c:v>
                </c:pt>
                <c:pt idx="10">
                  <c:v>13.9406901306075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8-40BF-8B5F-4CFEA3C3CA1F}"/>
            </c:ext>
          </c:extLst>
        </c:ser>
        <c:ser>
          <c:idx val="2"/>
          <c:order val="1"/>
          <c:tx>
            <c:strRef>
              <c:f>Sensitivity!$Q$19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Sensitivity!$Q$20:$Q$30</c:f>
              <c:numCache>
                <c:formatCode>0</c:formatCode>
                <c:ptCount val="11"/>
                <c:pt idx="0">
                  <c:v>-9.7131262054178436</c:v>
                </c:pt>
                <c:pt idx="1">
                  <c:v>-7.7705009643342775</c:v>
                </c:pt>
                <c:pt idx="2">
                  <c:v>-5.8278757232506981</c:v>
                </c:pt>
                <c:pt idx="3">
                  <c:v>-3.8852504821671316</c:v>
                </c:pt>
                <c:pt idx="4">
                  <c:v>-1.9426252410835798</c:v>
                </c:pt>
                <c:pt idx="5">
                  <c:v>0</c:v>
                </c:pt>
                <c:pt idx="6">
                  <c:v>1.9426252410835936</c:v>
                </c:pt>
                <c:pt idx="7">
                  <c:v>3.8852504821671316</c:v>
                </c:pt>
                <c:pt idx="8">
                  <c:v>5.8278757232506839</c:v>
                </c:pt>
                <c:pt idx="9">
                  <c:v>7.7705009643342633</c:v>
                </c:pt>
                <c:pt idx="10">
                  <c:v>9.7131262054178293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8-40BF-8B5F-4CFEA3C3CA1F}"/>
            </c:ext>
          </c:extLst>
        </c:ser>
        <c:ser>
          <c:idx val="3"/>
          <c:order val="2"/>
          <c:tx>
            <c:strRef>
              <c:f>Sensitivity!$R$19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Sensitivity!$R$20:$R$30</c:f>
              <c:numCache>
                <c:formatCode>0</c:formatCode>
                <c:ptCount val="11"/>
                <c:pt idx="0">
                  <c:v>-25.191875030241128</c:v>
                </c:pt>
                <c:pt idx="1">
                  <c:v>-20.153500024192933</c:v>
                </c:pt>
                <c:pt idx="2">
                  <c:v>-15.115125018144681</c:v>
                </c:pt>
                <c:pt idx="3">
                  <c:v>-10.076750012096474</c:v>
                </c:pt>
                <c:pt idx="4">
                  <c:v>-5.0383750060482226</c:v>
                </c:pt>
                <c:pt idx="5">
                  <c:v>0</c:v>
                </c:pt>
                <c:pt idx="6">
                  <c:v>5.0383750060482502</c:v>
                </c:pt>
                <c:pt idx="7">
                  <c:v>10.076750012096431</c:v>
                </c:pt>
                <c:pt idx="8">
                  <c:v>15.115125018144695</c:v>
                </c:pt>
                <c:pt idx="9">
                  <c:v>20.153500024192919</c:v>
                </c:pt>
                <c:pt idx="10">
                  <c:v>25.191875030241157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D8-40BF-8B5F-4CFEA3C3CA1F}"/>
            </c:ext>
          </c:extLst>
        </c:ser>
        <c:ser>
          <c:idx val="4"/>
          <c:order val="3"/>
          <c:tx>
            <c:strRef>
              <c:f>Sensitivity!$S$19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Sensitivity!$S$20:$S$30</c:f>
              <c:numCache>
                <c:formatCode>0</c:formatCode>
                <c:ptCount val="11"/>
                <c:pt idx="0">
                  <c:v>-34.905001235658986</c:v>
                </c:pt>
                <c:pt idx="1">
                  <c:v>-27.924000988527197</c:v>
                </c:pt>
                <c:pt idx="2">
                  <c:v>-20.943000741395394</c:v>
                </c:pt>
                <c:pt idx="3">
                  <c:v>-13.962000494263604</c:v>
                </c:pt>
                <c:pt idx="4">
                  <c:v>-6.981000247131802</c:v>
                </c:pt>
                <c:pt idx="5">
                  <c:v>0</c:v>
                </c:pt>
                <c:pt idx="6">
                  <c:v>6.9810002471318162</c:v>
                </c:pt>
                <c:pt idx="7">
                  <c:v>13.962000494263618</c:v>
                </c:pt>
                <c:pt idx="8">
                  <c:v>20.943000741395394</c:v>
                </c:pt>
                <c:pt idx="9">
                  <c:v>27.924000988527197</c:v>
                </c:pt>
                <c:pt idx="10">
                  <c:v>34.905001235658986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D8-40BF-8B5F-4CFEA3C3CA1F}"/>
            </c:ext>
          </c:extLst>
        </c:ser>
        <c:ser>
          <c:idx val="5"/>
          <c:order val="4"/>
          <c:tx>
            <c:strRef>
              <c:f>Sensitivity!$T$19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Sensitivity!$O$20:$O$30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Sensitivity!$T$20:$T$30</c:f>
              <c:numCache>
                <c:formatCode>0</c:formatCode>
                <c:ptCount val="11"/>
                <c:pt idx="0">
                  <c:v>9.7131262054178293</c:v>
                </c:pt>
                <c:pt idx="1">
                  <c:v>7.7705009643342633</c:v>
                </c:pt>
                <c:pt idx="2">
                  <c:v>5.8278757232506839</c:v>
                </c:pt>
                <c:pt idx="3">
                  <c:v>3.8852504821671316</c:v>
                </c:pt>
                <c:pt idx="4">
                  <c:v>1.9426252410835936</c:v>
                </c:pt>
                <c:pt idx="5">
                  <c:v>0</c:v>
                </c:pt>
                <c:pt idx="6">
                  <c:v>-1.9426252410835798</c:v>
                </c:pt>
                <c:pt idx="7">
                  <c:v>-3.8852504821671316</c:v>
                </c:pt>
                <c:pt idx="8">
                  <c:v>-5.8278757232507115</c:v>
                </c:pt>
                <c:pt idx="9">
                  <c:v>-7.7705009643342775</c:v>
                </c:pt>
                <c:pt idx="10">
                  <c:v>-9.7131262054178436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D8-40BF-8B5F-4CFEA3C3C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1456332154786084"/>
              <c:y val="0.442511129299841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∆TCO (%)</a:t>
                </a:r>
              </a:p>
            </c:rich>
          </c:tx>
          <c:layout>
            <c:manualLayout>
              <c:xMode val="edge"/>
              <c:yMode val="edge"/>
              <c:x val="0.53335261534572731"/>
              <c:y val="6.337712713547610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681146643479378"/>
          <c:w val="0.94665685519593967"/>
          <c:h val="0.130292618714071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ICE-van</a:t>
            </a:r>
          </a:p>
        </c:rich>
      </c:tx>
      <c:layout>
        <c:manualLayout>
          <c:xMode val="edge"/>
          <c:yMode val="edge"/>
          <c:x val="0.12472607919278225"/>
          <c:y val="5.122950819672131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9.8730055940434117E-2"/>
          <c:y val="6.2613843351548265E-2"/>
          <c:w val="0.83755205515493014"/>
          <c:h val="0.7140144195932564"/>
        </c:manualLayout>
      </c:layout>
      <c:lineChart>
        <c:grouping val="standard"/>
        <c:varyColors val="0"/>
        <c:ser>
          <c:idx val="1"/>
          <c:order val="0"/>
          <c:tx>
            <c:strRef>
              <c:f>Sensitivity!$P$34</c:f>
              <c:strCache>
                <c:ptCount val="1"/>
                <c:pt idx="0">
                  <c:v>Vehicle Price</c:v>
                </c:pt>
              </c:strCache>
            </c:strRef>
          </c:tx>
          <c:spPr>
            <a:ln w="1270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Sensitivity!$P$35:$P$45</c:f>
              <c:numCache>
                <c:formatCode>0</c:formatCode>
                <c:ptCount val="11"/>
                <c:pt idx="0">
                  <c:v>-15.66310508843344</c:v>
                </c:pt>
                <c:pt idx="1">
                  <c:v>-12.530484070746741</c:v>
                </c:pt>
                <c:pt idx="2">
                  <c:v>-9.3978630530600604</c:v>
                </c:pt>
                <c:pt idx="3">
                  <c:v>-6.2652420353733627</c:v>
                </c:pt>
                <c:pt idx="4">
                  <c:v>-3.1326210176866653</c:v>
                </c:pt>
                <c:pt idx="5">
                  <c:v>0</c:v>
                </c:pt>
                <c:pt idx="6">
                  <c:v>3.1326210176866973</c:v>
                </c:pt>
                <c:pt idx="7">
                  <c:v>6.2652420353733795</c:v>
                </c:pt>
                <c:pt idx="8">
                  <c:v>9.3978630530600604</c:v>
                </c:pt>
                <c:pt idx="9">
                  <c:v>12.530484070746759</c:v>
                </c:pt>
                <c:pt idx="10">
                  <c:v>15.66310508843344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3-4AE3-851B-812143DBCCC8}"/>
            </c:ext>
          </c:extLst>
        </c:ser>
        <c:ser>
          <c:idx val="2"/>
          <c:order val="1"/>
          <c:tx>
            <c:strRef>
              <c:f>Sensitivity!$Q$34</c:f>
              <c:strCache>
                <c:ptCount val="1"/>
                <c:pt idx="0">
                  <c:v>Fuel price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Sensitivity!$Q$35:$Q$45</c:f>
              <c:numCache>
                <c:formatCode>0</c:formatCode>
                <c:ptCount val="11"/>
                <c:pt idx="0">
                  <c:v>-17.479745432185624</c:v>
                </c:pt>
                <c:pt idx="1">
                  <c:v>-13.983796345748525</c:v>
                </c:pt>
                <c:pt idx="2">
                  <c:v>-10.487847259311367</c:v>
                </c:pt>
                <c:pt idx="3">
                  <c:v>-6.9918981728742562</c:v>
                </c:pt>
                <c:pt idx="4">
                  <c:v>-3.4959490864371436</c:v>
                </c:pt>
                <c:pt idx="5">
                  <c:v>0</c:v>
                </c:pt>
                <c:pt idx="6">
                  <c:v>3.4959490864371112</c:v>
                </c:pt>
                <c:pt idx="7">
                  <c:v>6.9918981728742224</c:v>
                </c:pt>
                <c:pt idx="8">
                  <c:v>10.487847259311367</c:v>
                </c:pt>
                <c:pt idx="9">
                  <c:v>13.983796345748495</c:v>
                </c:pt>
                <c:pt idx="10">
                  <c:v>17.479745432185588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3-4AE3-851B-812143DBCCC8}"/>
            </c:ext>
          </c:extLst>
        </c:ser>
        <c:ser>
          <c:idx val="3"/>
          <c:order val="2"/>
          <c:tx>
            <c:strRef>
              <c:f>Sensitivity!$R$34</c:f>
              <c:strCache>
                <c:ptCount val="1"/>
                <c:pt idx="0">
                  <c:v>O&amp;M costs</c:v>
                </c:pt>
              </c:strCache>
            </c:strRef>
          </c:tx>
          <c:spPr>
            <a:ln w="12700" cap="rnd">
              <a:solidFill>
                <a:srgbClr val="5B9BD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5B9BD5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Sensitivity!$R$35:$R$45</c:f>
              <c:numCache>
                <c:formatCode>0</c:formatCode>
                <c:ptCount val="11"/>
                <c:pt idx="0">
                  <c:v>-18.492322037928201</c:v>
                </c:pt>
                <c:pt idx="1">
                  <c:v>-14.793857630342586</c:v>
                </c:pt>
                <c:pt idx="2">
                  <c:v>-11.09539322275695</c:v>
                </c:pt>
                <c:pt idx="3">
                  <c:v>-7.3969288151712842</c:v>
                </c:pt>
                <c:pt idx="4">
                  <c:v>-3.6984644075856665</c:v>
                </c:pt>
                <c:pt idx="5">
                  <c:v>0</c:v>
                </c:pt>
                <c:pt idx="6">
                  <c:v>3.6984644075856181</c:v>
                </c:pt>
                <c:pt idx="7">
                  <c:v>7.3969288151712682</c:v>
                </c:pt>
                <c:pt idx="8">
                  <c:v>11.095393222756918</c:v>
                </c:pt>
                <c:pt idx="9">
                  <c:v>14.793857630342536</c:v>
                </c:pt>
                <c:pt idx="10">
                  <c:v>18.492322037928155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3-4AE3-851B-812143DBCCC8}"/>
            </c:ext>
          </c:extLst>
        </c:ser>
        <c:ser>
          <c:idx val="4"/>
          <c:order val="3"/>
          <c:tx>
            <c:strRef>
              <c:f>Sensitivity!$S$34</c:f>
              <c:strCache>
                <c:ptCount val="1"/>
                <c:pt idx="0">
                  <c:v>AKT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Sensitivity!$S$35:$S$45</c:f>
              <c:numCache>
                <c:formatCode>0</c:formatCode>
                <c:ptCount val="11"/>
                <c:pt idx="0">
                  <c:v>-35.972067470113842</c:v>
                </c:pt>
                <c:pt idx="1">
                  <c:v>-28.777653976091059</c:v>
                </c:pt>
                <c:pt idx="2">
                  <c:v>-21.583240482068334</c:v>
                </c:pt>
                <c:pt idx="3">
                  <c:v>-14.388826988045523</c:v>
                </c:pt>
                <c:pt idx="4">
                  <c:v>-7.1944134940227613</c:v>
                </c:pt>
                <c:pt idx="5">
                  <c:v>0</c:v>
                </c:pt>
                <c:pt idx="6">
                  <c:v>7.1944134940227613</c:v>
                </c:pt>
                <c:pt idx="7">
                  <c:v>14.388826988045539</c:v>
                </c:pt>
                <c:pt idx="8">
                  <c:v>21.583240482068302</c:v>
                </c:pt>
                <c:pt idx="9">
                  <c:v>28.777653976091045</c:v>
                </c:pt>
                <c:pt idx="10">
                  <c:v>35.972067470113828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3-4AE3-851B-812143DBCCC8}"/>
            </c:ext>
          </c:extLst>
        </c:ser>
        <c:ser>
          <c:idx val="5"/>
          <c:order val="4"/>
          <c:tx>
            <c:strRef>
              <c:f>Sensitivity!$T$34</c:f>
              <c:strCache>
                <c:ptCount val="1"/>
                <c:pt idx="0">
                  <c:v>Energy Efficiency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Ref>
              <c:f>Sensitivity!$O$35:$O$45</c:f>
              <c:numCache>
                <c:formatCode>General</c:formatCode>
                <c:ptCount val="11"/>
                <c:pt idx="0">
                  <c:v>-50</c:v>
                </c:pt>
                <c:pt idx="1">
                  <c:v>-40</c:v>
                </c:pt>
                <c:pt idx="2">
                  <c:v>-30</c:v>
                </c:pt>
                <c:pt idx="3">
                  <c:v>-20</c:v>
                </c:pt>
                <c:pt idx="4">
                  <c:v>-10</c:v>
                </c:pt>
                <c:pt idx="5">
                  <c:v>0</c:v>
                </c:pt>
                <c:pt idx="6">
                  <c:v>10</c:v>
                </c:pt>
                <c:pt idx="7">
                  <c:v>20</c:v>
                </c:pt>
                <c:pt idx="8">
                  <c:v>30</c:v>
                </c:pt>
                <c:pt idx="9">
                  <c:v>40</c:v>
                </c:pt>
                <c:pt idx="10">
                  <c:v>50</c:v>
                </c:pt>
              </c:numCache>
            </c:numRef>
          </c:cat>
          <c:val>
            <c:numRef>
              <c:f>Sensitivity!$T$35:$T$45</c:f>
              <c:numCache>
                <c:formatCode>0</c:formatCode>
                <c:ptCount val="11"/>
                <c:pt idx="0">
                  <c:v>17.479745432185588</c:v>
                </c:pt>
                <c:pt idx="1">
                  <c:v>13.983796345748512</c:v>
                </c:pt>
                <c:pt idx="2">
                  <c:v>10.487847259311367</c:v>
                </c:pt>
                <c:pt idx="3">
                  <c:v>6.9918981728742562</c:v>
                </c:pt>
                <c:pt idx="4">
                  <c:v>3.4959490864370952</c:v>
                </c:pt>
                <c:pt idx="5">
                  <c:v>0</c:v>
                </c:pt>
                <c:pt idx="6">
                  <c:v>-3.4959490864371436</c:v>
                </c:pt>
                <c:pt idx="7">
                  <c:v>-6.9918981728742562</c:v>
                </c:pt>
                <c:pt idx="8">
                  <c:v>-10.487847259311367</c:v>
                </c:pt>
                <c:pt idx="9">
                  <c:v>-13.983796345748512</c:v>
                </c:pt>
                <c:pt idx="10">
                  <c:v>-17.479745432185624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E3-4AE3-851B-812143DBC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839615"/>
        <c:axId val="240840095"/>
      </c:lineChart>
      <c:catAx>
        <c:axId val="240839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∆Parameter (%)</a:t>
                </a:r>
              </a:p>
            </c:rich>
          </c:tx>
          <c:layout>
            <c:manualLayout>
              <c:xMode val="edge"/>
              <c:yMode val="edge"/>
              <c:x val="0.72215807039974622"/>
              <c:y val="0.439659336318922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40095"/>
        <c:crossesAt val="0"/>
        <c:auto val="1"/>
        <c:lblAlgn val="ctr"/>
        <c:lblOffset val="100"/>
        <c:tickLblSkip val="1"/>
        <c:noMultiLvlLbl val="0"/>
      </c:catAx>
      <c:valAx>
        <c:axId val="2408400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∆TCO (%)</a:t>
                </a:r>
              </a:p>
            </c:rich>
          </c:tx>
          <c:layout>
            <c:manualLayout>
              <c:xMode val="edge"/>
              <c:yMode val="edge"/>
              <c:x val="0.52920813154493507"/>
              <c:y val="6.383081575746381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40839615"/>
        <c:crossesAt val="6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050823694356817E-2"/>
          <c:y val="0.85182033803049384"/>
          <c:w val="0.94665685519593967"/>
          <c:h val="0.1352837259205838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>
          <a:solidFill>
            <a:sysClr val="windowText" lastClr="000000"/>
          </a:solidFill>
          <a:latin typeface="+mn-lt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947943555" name="Chart 1">
          <a:extLst>
            <a:ext uri="{FF2B5EF4-FFF2-40B4-BE49-F238E27FC236}">
              <a16:creationId xmlns:a16="http://schemas.microsoft.com/office/drawing/2014/main" id="{00000000-0008-0000-0000-000083788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91175" cy="4029075"/>
    <xdr:graphicFrame macro="">
      <xdr:nvGraphicFramePr>
        <xdr:cNvPr id="2062493276" name="Chart 2">
          <a:extLst>
            <a:ext uri="{FF2B5EF4-FFF2-40B4-BE49-F238E27FC236}">
              <a16:creationId xmlns:a16="http://schemas.microsoft.com/office/drawing/2014/main" id="{00000000-0008-0000-0000-00005C26E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53075" cy="4029075"/>
    <xdr:graphicFrame macro="">
      <xdr:nvGraphicFramePr>
        <xdr:cNvPr id="732078592" name="Chart 4">
          <a:extLst>
            <a:ext uri="{FF2B5EF4-FFF2-40B4-BE49-F238E27FC236}">
              <a16:creationId xmlns:a16="http://schemas.microsoft.com/office/drawing/2014/main" id="{00000000-0008-0000-0100-000000A2A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76775" cy="4029075"/>
    <xdr:graphicFrame macro="">
      <xdr:nvGraphicFramePr>
        <xdr:cNvPr id="1139749860" name="Chart 5">
          <a:extLst>
            <a:ext uri="{FF2B5EF4-FFF2-40B4-BE49-F238E27FC236}">
              <a16:creationId xmlns:a16="http://schemas.microsoft.com/office/drawing/2014/main" id="{00000000-0008-0000-0100-0000E433E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1356722638" name="Chart 7">
          <a:extLst>
            <a:ext uri="{FF2B5EF4-FFF2-40B4-BE49-F238E27FC236}">
              <a16:creationId xmlns:a16="http://schemas.microsoft.com/office/drawing/2014/main" id="{00000000-0008-0000-0200-0000CEF1D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91175" cy="4029075"/>
    <xdr:graphicFrame macro="">
      <xdr:nvGraphicFramePr>
        <xdr:cNvPr id="2102171730" name="Chart 8">
          <a:extLst>
            <a:ext uri="{FF2B5EF4-FFF2-40B4-BE49-F238E27FC236}">
              <a16:creationId xmlns:a16="http://schemas.microsoft.com/office/drawing/2014/main" id="{00000000-0008-0000-0200-000052984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53075" cy="4029075"/>
    <xdr:graphicFrame macro="">
      <xdr:nvGraphicFramePr>
        <xdr:cNvPr id="1350040461" name="Chart 10">
          <a:extLst>
            <a:ext uri="{FF2B5EF4-FFF2-40B4-BE49-F238E27FC236}">
              <a16:creationId xmlns:a16="http://schemas.microsoft.com/office/drawing/2014/main" id="{00000000-0008-0000-0300-00008DFB7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76775" cy="4029075"/>
    <xdr:graphicFrame macro="">
      <xdr:nvGraphicFramePr>
        <xdr:cNvPr id="713136424" name="Chart 11">
          <a:extLst>
            <a:ext uri="{FF2B5EF4-FFF2-40B4-BE49-F238E27FC236}">
              <a16:creationId xmlns:a16="http://schemas.microsoft.com/office/drawing/2014/main" id="{00000000-0008-0000-0300-000028998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62600" cy="4029075"/>
    <xdr:graphicFrame macro="">
      <xdr:nvGraphicFramePr>
        <xdr:cNvPr id="739729990" name="Chart 13">
          <a:extLst>
            <a:ext uri="{FF2B5EF4-FFF2-40B4-BE49-F238E27FC236}">
              <a16:creationId xmlns:a16="http://schemas.microsoft.com/office/drawing/2014/main" id="{00000000-0008-0000-0400-000046621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5591175" cy="4029075"/>
    <xdr:graphicFrame macro="">
      <xdr:nvGraphicFramePr>
        <xdr:cNvPr id="336247841" name="Chart 14">
          <a:extLst>
            <a:ext uri="{FF2B5EF4-FFF2-40B4-BE49-F238E27FC236}">
              <a16:creationId xmlns:a16="http://schemas.microsoft.com/office/drawing/2014/main" id="{00000000-0008-0000-0400-000021BC0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333375</xdr:colOff>
      <xdr:row>62</xdr:row>
      <xdr:rowOff>123825</xdr:rowOff>
    </xdr:from>
    <xdr:ext cx="5553075" cy="4029075"/>
    <xdr:graphicFrame macro="">
      <xdr:nvGraphicFramePr>
        <xdr:cNvPr id="1884526489" name="Chart 16">
          <a:extLst>
            <a:ext uri="{FF2B5EF4-FFF2-40B4-BE49-F238E27FC236}">
              <a16:creationId xmlns:a16="http://schemas.microsoft.com/office/drawing/2014/main" id="{00000000-0008-0000-0500-000099975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38100</xdr:colOff>
      <xdr:row>62</xdr:row>
      <xdr:rowOff>66675</xdr:rowOff>
    </xdr:from>
    <xdr:ext cx="4676775" cy="4029075"/>
    <xdr:graphicFrame macro="">
      <xdr:nvGraphicFramePr>
        <xdr:cNvPr id="1659601554" name="Chart 17">
          <a:extLst>
            <a:ext uri="{FF2B5EF4-FFF2-40B4-BE49-F238E27FC236}">
              <a16:creationId xmlns:a16="http://schemas.microsoft.com/office/drawing/2014/main" id="{00000000-0008-0000-0500-00009282E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13</xdr:col>
      <xdr:colOff>439073</xdr:colOff>
      <xdr:row>15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057EC5-9AF1-404D-BFA6-885D7EF403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17</xdr:row>
      <xdr:rowOff>0</xdr:rowOff>
    </xdr:from>
    <xdr:to>
      <xdr:col>13</xdr:col>
      <xdr:colOff>436231</xdr:colOff>
      <xdr:row>30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9E9C95-7EF2-4FB0-BACC-F0D955B83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0</xdr:colOff>
      <xdr:row>32</xdr:row>
      <xdr:rowOff>0</xdr:rowOff>
    </xdr:from>
    <xdr:to>
      <xdr:col>13</xdr:col>
      <xdr:colOff>436231</xdr:colOff>
      <xdr:row>45</xdr:row>
      <xdr:rowOff>83820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1EE37CB-65F7-4699-884A-6241D2D0A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0</xdr:colOff>
      <xdr:row>2</xdr:row>
      <xdr:rowOff>0</xdr:rowOff>
    </xdr:from>
    <xdr:to>
      <xdr:col>25</xdr:col>
      <xdr:colOff>438567</xdr:colOff>
      <xdr:row>15</xdr:row>
      <xdr:rowOff>83820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7B408A1-3404-4D74-A692-3670D0E8A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0</xdr:colOff>
      <xdr:row>17</xdr:row>
      <xdr:rowOff>0</xdr:rowOff>
    </xdr:from>
    <xdr:to>
      <xdr:col>25</xdr:col>
      <xdr:colOff>438567</xdr:colOff>
      <xdr:row>30</xdr:row>
      <xdr:rowOff>83820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BBC1F4C-EE8F-49E6-9473-5E9D9BE3A5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0</xdr:colOff>
      <xdr:row>32</xdr:row>
      <xdr:rowOff>0</xdr:rowOff>
    </xdr:from>
    <xdr:to>
      <xdr:col>25</xdr:col>
      <xdr:colOff>438567</xdr:colOff>
      <xdr:row>45</xdr:row>
      <xdr:rowOff>83820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1E32D43-1E87-4587-98B7-184B2D7AE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908e728f1b34df/Paper%20ERIA/Xls%20baru%2029092024/TCO_Thailand%2025092024.xlsx" TargetMode="External"/><Relationship Id="rId1" Type="http://schemas.openxmlformats.org/officeDocument/2006/relationships/externalLinkPath" Target="TCO_Thailand%202509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-Bus TH"/>
      <sheetName val="ICE-Bus TH"/>
      <sheetName val="E-Truck TH"/>
      <sheetName val="ICE-Truck TH"/>
      <sheetName val="E-Cargo TH"/>
      <sheetName val="ICE-Cargo TH"/>
      <sheetName val="Sensitivity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Vehicle Price</v>
          </cell>
          <cell r="D4" t="str">
            <v>Electricity tarrif</v>
          </cell>
          <cell r="E4" t="str">
            <v>Battery cost</v>
          </cell>
          <cell r="F4" t="str">
            <v>AKT</v>
          </cell>
          <cell r="G4" t="str">
            <v>O&amp;M costs</v>
          </cell>
          <cell r="H4" t="str">
            <v>Energy Efficiency</v>
          </cell>
          <cell r="P4" t="str">
            <v>Vehicle Price</v>
          </cell>
          <cell r="Q4" t="str">
            <v>Fuel price</v>
          </cell>
          <cell r="R4" t="str">
            <v>O&amp;M costs</v>
          </cell>
          <cell r="S4" t="str">
            <v>AKT</v>
          </cell>
          <cell r="T4" t="str">
            <v>Energy Efficiency</v>
          </cell>
        </row>
        <row r="5">
          <cell r="B5">
            <v>-50</v>
          </cell>
          <cell r="C5">
            <v>-33.91886901865854</v>
          </cell>
          <cell r="D5">
            <v>-8.6848791959787892</v>
          </cell>
          <cell r="E5">
            <v>-3.9335217890154777</v>
          </cell>
          <cell r="F5">
            <v>-22.706613958277778</v>
          </cell>
          <cell r="G5">
            <v>-14.021734762298971</v>
          </cell>
          <cell r="H5">
            <v>8.6848791959788212</v>
          </cell>
          <cell r="O5">
            <v>-50</v>
          </cell>
          <cell r="P5">
            <v>-15.854368027842799</v>
          </cell>
          <cell r="Q5">
            <v>-29.202684266710367</v>
          </cell>
          <cell r="R5">
            <v>-9.252787616740612</v>
          </cell>
          <cell r="S5">
            <v>-38.455471883450983</v>
          </cell>
          <cell r="T5">
            <v>29.202684266710367</v>
          </cell>
        </row>
        <row r="6">
          <cell r="B6">
            <v>-40</v>
          </cell>
          <cell r="C6">
            <v>-27.135095214926842</v>
          </cell>
          <cell r="D6">
            <v>-6.9479033567830477</v>
          </cell>
          <cell r="E6">
            <v>-3.1468174312123667</v>
          </cell>
          <cell r="F6">
            <v>-18.165291166622222</v>
          </cell>
          <cell r="G6">
            <v>-11.217387809839174</v>
          </cell>
          <cell r="H6">
            <v>6.9479033567830788</v>
          </cell>
          <cell r="O6">
            <v>-40</v>
          </cell>
          <cell r="P6">
            <v>-12.683494422274244</v>
          </cell>
          <cell r="Q6">
            <v>-23.362147413368277</v>
          </cell>
          <cell r="R6">
            <v>-7.402230093392502</v>
          </cell>
          <cell r="S6">
            <v>-30.764377506760798</v>
          </cell>
          <cell r="T6">
            <v>23.362147413368277</v>
          </cell>
        </row>
        <row r="7">
          <cell r="B7">
            <v>-30</v>
          </cell>
          <cell r="C7">
            <v>-20.35132141119513</v>
          </cell>
          <cell r="D7">
            <v>-5.2109275175872742</v>
          </cell>
          <cell r="E7">
            <v>-2.3601130734092868</v>
          </cell>
          <cell r="F7">
            <v>-13.623968374966635</v>
          </cell>
          <cell r="G7">
            <v>-8.4130408573793929</v>
          </cell>
          <cell r="H7">
            <v>5.2109275175873053</v>
          </cell>
          <cell r="O7">
            <v>-30</v>
          </cell>
          <cell r="P7">
            <v>-9.512620816705688</v>
          </cell>
          <cell r="Q7">
            <v>-17.521610560026208</v>
          </cell>
          <cell r="R7">
            <v>-5.5516725700443592</v>
          </cell>
          <cell r="S7">
            <v>-23.073283130070585</v>
          </cell>
          <cell r="T7">
            <v>17.521610560026208</v>
          </cell>
        </row>
        <row r="8">
          <cell r="B8">
            <v>-20</v>
          </cell>
          <cell r="C8">
            <v>-13.567547607463407</v>
          </cell>
          <cell r="D8">
            <v>-3.4739516783915008</v>
          </cell>
          <cell r="E8">
            <v>-1.5734087156061911</v>
          </cell>
          <cell r="F8">
            <v>-9.0826455833110806</v>
          </cell>
          <cell r="G8">
            <v>-5.6086939049195639</v>
          </cell>
          <cell r="H8">
            <v>3.4739516783915318</v>
          </cell>
          <cell r="O8">
            <v>-20</v>
          </cell>
          <cell r="P8">
            <v>-6.3417472111371138</v>
          </cell>
          <cell r="Q8">
            <v>-11.681073706684156</v>
          </cell>
          <cell r="R8">
            <v>-3.701115046696251</v>
          </cell>
          <cell r="S8">
            <v>-15.38218875338039</v>
          </cell>
          <cell r="T8">
            <v>11.681073706684138</v>
          </cell>
        </row>
        <row r="9">
          <cell r="B9">
            <v>-10</v>
          </cell>
          <cell r="C9">
            <v>-6.7837738037316946</v>
          </cell>
          <cell r="D9">
            <v>-1.7369758391957268</v>
          </cell>
          <cell r="E9">
            <v>-0.78670435780309556</v>
          </cell>
          <cell r="F9">
            <v>-4.5413227916555243</v>
          </cell>
          <cell r="G9">
            <v>-2.8043469524597819</v>
          </cell>
          <cell r="H9">
            <v>1.7369758391957892</v>
          </cell>
          <cell r="O9">
            <v>-10</v>
          </cell>
          <cell r="P9">
            <v>-3.1708736055685569</v>
          </cell>
          <cell r="Q9">
            <v>-5.8405368533420523</v>
          </cell>
          <cell r="R9">
            <v>-1.8505575233481255</v>
          </cell>
          <cell r="S9">
            <v>-7.691094376690212</v>
          </cell>
          <cell r="T9">
            <v>5.8405368533420869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B11">
            <v>10</v>
          </cell>
          <cell r="C11">
            <v>6.7837738037317266</v>
          </cell>
          <cell r="D11">
            <v>1.7369758391957892</v>
          </cell>
          <cell r="E11">
            <v>0.78670435780309556</v>
          </cell>
          <cell r="F11">
            <v>4.5413227916556025</v>
          </cell>
          <cell r="G11">
            <v>2.8043469524598286</v>
          </cell>
          <cell r="H11">
            <v>-1.7369758391957268</v>
          </cell>
          <cell r="O11">
            <v>10</v>
          </cell>
          <cell r="P11">
            <v>3.1708736055685569</v>
          </cell>
          <cell r="Q11">
            <v>5.8405368533420869</v>
          </cell>
          <cell r="R11">
            <v>1.8505575233481428</v>
          </cell>
          <cell r="S11">
            <v>7.691094376690212</v>
          </cell>
          <cell r="T11">
            <v>-5.8405368533420523</v>
          </cell>
        </row>
        <row r="12">
          <cell r="B12">
            <v>20</v>
          </cell>
          <cell r="C12">
            <v>13.567547607463421</v>
          </cell>
          <cell r="D12">
            <v>3.4739516783915318</v>
          </cell>
          <cell r="E12">
            <v>1.5734087156062067</v>
          </cell>
          <cell r="F12">
            <v>11.867236970441136</v>
          </cell>
          <cell r="G12">
            <v>5.608693904919611</v>
          </cell>
          <cell r="H12">
            <v>-3.4739516783915008</v>
          </cell>
          <cell r="O12">
            <v>20</v>
          </cell>
          <cell r="P12">
            <v>6.3417472111371307</v>
          </cell>
          <cell r="Q12">
            <v>11.681073706684138</v>
          </cell>
          <cell r="R12">
            <v>3.701115046696251</v>
          </cell>
          <cell r="S12">
            <v>15.38218875338039</v>
          </cell>
          <cell r="T12">
            <v>-11.681073706684156</v>
          </cell>
        </row>
        <row r="13">
          <cell r="B13">
            <v>30</v>
          </cell>
          <cell r="C13">
            <v>20.35132141119513</v>
          </cell>
          <cell r="D13">
            <v>5.2109275175873053</v>
          </cell>
          <cell r="E13">
            <v>2.3601130734093023</v>
          </cell>
          <cell r="F13">
            <v>16.547789331453181</v>
          </cell>
          <cell r="G13">
            <v>8.4130408573794391</v>
          </cell>
          <cell r="H13">
            <v>-5.2109275175872742</v>
          </cell>
          <cell r="O13">
            <v>30</v>
          </cell>
          <cell r="P13">
            <v>9.512620816705688</v>
          </cell>
          <cell r="Q13">
            <v>17.521610560026208</v>
          </cell>
          <cell r="R13">
            <v>5.551672570044377</v>
          </cell>
          <cell r="S13">
            <v>23.073283130070603</v>
          </cell>
          <cell r="T13">
            <v>-17.521610560026208</v>
          </cell>
        </row>
        <row r="14">
          <cell r="B14">
            <v>40</v>
          </cell>
          <cell r="C14">
            <v>27.135095214926842</v>
          </cell>
          <cell r="D14">
            <v>6.9479033567830788</v>
          </cell>
          <cell r="E14">
            <v>3.1468174312123667</v>
          </cell>
          <cell r="F14">
            <v>21.23530317093309</v>
          </cell>
          <cell r="G14">
            <v>11.217387809839236</v>
          </cell>
          <cell r="H14">
            <v>-6.9479033567830477</v>
          </cell>
          <cell r="O14">
            <v>40</v>
          </cell>
          <cell r="P14">
            <v>12.683494422274244</v>
          </cell>
          <cell r="Q14">
            <v>23.362147413368277</v>
          </cell>
          <cell r="R14">
            <v>7.4022300933924852</v>
          </cell>
          <cell r="S14">
            <v>30.764377506760766</v>
          </cell>
          <cell r="T14">
            <v>-23.362147413368277</v>
          </cell>
        </row>
        <row r="15">
          <cell r="B15">
            <v>50</v>
          </cell>
          <cell r="C15">
            <v>33.918869018658555</v>
          </cell>
          <cell r="D15">
            <v>8.6848791959788212</v>
          </cell>
          <cell r="E15">
            <v>3.9335217890154621</v>
          </cell>
          <cell r="F15">
            <v>25.776625962588611</v>
          </cell>
          <cell r="G15">
            <v>14.021734762298987</v>
          </cell>
          <cell r="H15">
            <v>-8.6848791959787892</v>
          </cell>
          <cell r="O15">
            <v>50</v>
          </cell>
          <cell r="P15">
            <v>15.854368027842819</v>
          </cell>
          <cell r="Q15">
            <v>29.202684266710367</v>
          </cell>
          <cell r="R15">
            <v>9.252787616740628</v>
          </cell>
          <cell r="S15">
            <v>38.45547188345099</v>
          </cell>
          <cell r="T15">
            <v>-29.202684266710367</v>
          </cell>
        </row>
        <row r="19">
          <cell r="C19" t="str">
            <v>Vehicle Price</v>
          </cell>
          <cell r="D19" t="str">
            <v>Electricity tarrif</v>
          </cell>
          <cell r="E19" t="str">
            <v>Battery cost</v>
          </cell>
          <cell r="F19" t="str">
            <v>AKT</v>
          </cell>
          <cell r="G19" t="str">
            <v>O&amp;M costs</v>
          </cell>
          <cell r="H19" t="str">
            <v>Energy Efficiency</v>
          </cell>
          <cell r="P19" t="str">
            <v>Vehicle Price</v>
          </cell>
          <cell r="Q19" t="str">
            <v>Fuel price</v>
          </cell>
          <cell r="R19" t="str">
            <v>O&amp;M costs</v>
          </cell>
          <cell r="S19" t="str">
            <v>AKT</v>
          </cell>
          <cell r="T19" t="str">
            <v>Energy Efficiency</v>
          </cell>
        </row>
        <row r="20">
          <cell r="B20">
            <v>-50</v>
          </cell>
          <cell r="C20">
            <v>-31.334378733128059</v>
          </cell>
          <cell r="D20">
            <v>-6.013814651953564</v>
          </cell>
          <cell r="E20">
            <v>-4.5180452752601878</v>
          </cell>
          <cell r="F20">
            <v>-27.020026746178566</v>
          </cell>
          <cell r="G20">
            <v>-8.6627693469554448</v>
          </cell>
          <cell r="H20">
            <v>6.0138146519535107</v>
          </cell>
          <cell r="O20">
            <v>-50</v>
          </cell>
          <cell r="P20">
            <v>-6.1609276276644458</v>
          </cell>
          <cell r="Q20">
            <v>-30.826878875146811</v>
          </cell>
          <cell r="R20">
            <v>-14.381101091813321</v>
          </cell>
          <cell r="S20">
            <v>-45.207979966960146</v>
          </cell>
          <cell r="T20">
            <v>30.826878875146889</v>
          </cell>
        </row>
        <row r="21">
          <cell r="B21">
            <v>-40</v>
          </cell>
          <cell r="C21">
            <v>-25.067502986502443</v>
          </cell>
          <cell r="D21">
            <v>-4.8110517215628406</v>
          </cell>
          <cell r="E21">
            <v>-3.6144362202081322</v>
          </cell>
          <cell r="F21">
            <v>-23.552773794971479</v>
          </cell>
          <cell r="G21">
            <v>-6.9302154775643485</v>
          </cell>
          <cell r="H21">
            <v>4.8110517215628219</v>
          </cell>
          <cell r="O21">
            <v>-40</v>
          </cell>
          <cell r="P21">
            <v>-4.9287421021315598</v>
          </cell>
          <cell r="Q21">
            <v>-24.661503100117454</v>
          </cell>
          <cell r="R21">
            <v>-11.504880873450658</v>
          </cell>
          <cell r="S21">
            <v>-36.166383973568124</v>
          </cell>
          <cell r="T21">
            <v>24.6615031001175</v>
          </cell>
        </row>
        <row r="22">
          <cell r="B22">
            <v>-30</v>
          </cell>
          <cell r="C22">
            <v>-18.800627239876842</v>
          </cell>
          <cell r="D22">
            <v>-3.6082887911721344</v>
          </cell>
          <cell r="E22">
            <v>-2.7108271651561129</v>
          </cell>
          <cell r="F22">
            <v>-20.617456995189677</v>
          </cell>
          <cell r="G22">
            <v>-5.1976616081732878</v>
          </cell>
          <cell r="H22">
            <v>3.6082887911721344</v>
          </cell>
          <cell r="O22">
            <v>-30</v>
          </cell>
          <cell r="P22">
            <v>-3.6965565765986743</v>
          </cell>
          <cell r="Q22">
            <v>-18.496127325088089</v>
          </cell>
          <cell r="R22">
            <v>-8.6286606550879803</v>
          </cell>
          <cell r="S22">
            <v>-27.12478798017608</v>
          </cell>
          <cell r="T22">
            <v>18.496127325088125</v>
          </cell>
        </row>
        <row r="23">
          <cell r="B23">
            <v>-20</v>
          </cell>
          <cell r="C23">
            <v>-12.533751493251263</v>
          </cell>
          <cell r="D23">
            <v>-2.4055258607813936</v>
          </cell>
          <cell r="E23">
            <v>-1.8072181101040752</v>
          </cell>
          <cell r="F23">
            <v>-13.748093589337598</v>
          </cell>
          <cell r="G23">
            <v>-3.4651077387821743</v>
          </cell>
          <cell r="H23">
            <v>2.4055258607814292</v>
          </cell>
          <cell r="O23">
            <v>-20</v>
          </cell>
          <cell r="P23">
            <v>-2.4643710510657715</v>
          </cell>
          <cell r="Q23">
            <v>-12.330751550058695</v>
          </cell>
          <cell r="R23">
            <v>-5.7524404367253208</v>
          </cell>
          <cell r="S23">
            <v>-18.083191986784033</v>
          </cell>
          <cell r="T23">
            <v>12.33075155005875</v>
          </cell>
        </row>
        <row r="24">
          <cell r="B24">
            <v>-10</v>
          </cell>
          <cell r="C24">
            <v>-6.2668757466256135</v>
          </cell>
          <cell r="D24">
            <v>-1.2027629303907412</v>
          </cell>
          <cell r="E24">
            <v>-0.90360905505205547</v>
          </cell>
          <cell r="F24">
            <v>-10.812776789555814</v>
          </cell>
          <cell r="G24">
            <v>-1.7325538693910958</v>
          </cell>
          <cell r="H24">
            <v>1.2027629303906879</v>
          </cell>
          <cell r="O24">
            <v>-10</v>
          </cell>
          <cell r="P24">
            <v>-1.2321855255328857</v>
          </cell>
          <cell r="Q24">
            <v>-6.1653757750293563</v>
          </cell>
          <cell r="R24">
            <v>-2.8762202183626422</v>
          </cell>
          <cell r="S24">
            <v>-9.0415959933919989</v>
          </cell>
          <cell r="T24">
            <v>6.1653757750293918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B26">
            <v>10</v>
          </cell>
          <cell r="C26">
            <v>6.2668757466256135</v>
          </cell>
          <cell r="D26">
            <v>1.2027629303906879</v>
          </cell>
          <cell r="E26">
            <v>0.90360905505201972</v>
          </cell>
          <cell r="F26">
            <v>2.9353167997817837</v>
          </cell>
          <cell r="G26">
            <v>1.732553869391078</v>
          </cell>
          <cell r="H26">
            <v>-1.2027629303907412</v>
          </cell>
          <cell r="O26">
            <v>10</v>
          </cell>
          <cell r="P26">
            <v>1.2321855255329033</v>
          </cell>
          <cell r="Q26">
            <v>6.1653757750293918</v>
          </cell>
          <cell r="R26">
            <v>2.8762202183626782</v>
          </cell>
          <cell r="S26">
            <v>9.0415959933920522</v>
          </cell>
          <cell r="T26">
            <v>-6.1653757750293563</v>
          </cell>
        </row>
        <row r="27">
          <cell r="B27">
            <v>20</v>
          </cell>
          <cell r="C27">
            <v>12.533751493251227</v>
          </cell>
          <cell r="D27">
            <v>2.405525860781411</v>
          </cell>
          <cell r="E27">
            <v>1.8072181101040574</v>
          </cell>
          <cell r="F27">
            <v>5.8706335995635861</v>
          </cell>
          <cell r="G27">
            <v>3.4651077387821561</v>
          </cell>
          <cell r="H27">
            <v>-2.4055258607813936</v>
          </cell>
          <cell r="O27">
            <v>20</v>
          </cell>
          <cell r="P27">
            <v>2.4643710510657888</v>
          </cell>
          <cell r="Q27">
            <v>12.33075155005875</v>
          </cell>
          <cell r="R27">
            <v>5.7524404367253563</v>
          </cell>
          <cell r="S27">
            <v>18.083191986784069</v>
          </cell>
          <cell r="T27">
            <v>-12.330751550058713</v>
          </cell>
        </row>
        <row r="28">
          <cell r="B28">
            <v>30</v>
          </cell>
          <cell r="C28">
            <v>18.800627239876803</v>
          </cell>
          <cell r="D28">
            <v>3.6082887911721344</v>
          </cell>
          <cell r="E28">
            <v>2.7108271651560951</v>
          </cell>
          <cell r="F28">
            <v>8.8059503993453507</v>
          </cell>
          <cell r="G28">
            <v>5.1976616081732523</v>
          </cell>
          <cell r="H28">
            <v>-3.6082887911721344</v>
          </cell>
          <cell r="O28">
            <v>30</v>
          </cell>
          <cell r="P28">
            <v>3.6965565765986925</v>
          </cell>
          <cell r="Q28">
            <v>18.496127325088125</v>
          </cell>
          <cell r="R28">
            <v>8.6286606550880336</v>
          </cell>
          <cell r="S28">
            <v>27.124787980176141</v>
          </cell>
          <cell r="T28">
            <v>-18.496127325088089</v>
          </cell>
        </row>
        <row r="29">
          <cell r="B29">
            <v>40</v>
          </cell>
          <cell r="C29">
            <v>25.067502986502422</v>
          </cell>
          <cell r="D29">
            <v>4.8110517215628219</v>
          </cell>
          <cell r="E29">
            <v>3.6144362202081148</v>
          </cell>
          <cell r="F29">
            <v>11.741267199127188</v>
          </cell>
          <cell r="G29">
            <v>6.9302154775643485</v>
          </cell>
          <cell r="H29">
            <v>-4.8110517215628406</v>
          </cell>
          <cell r="O29">
            <v>40</v>
          </cell>
          <cell r="P29">
            <v>4.9287421021315776</v>
          </cell>
          <cell r="Q29">
            <v>24.6615031001175</v>
          </cell>
          <cell r="R29">
            <v>11.504880873450677</v>
          </cell>
          <cell r="S29">
            <v>36.166383973568159</v>
          </cell>
          <cell r="T29">
            <v>-24.661503100117447</v>
          </cell>
        </row>
        <row r="30">
          <cell r="B30">
            <v>50</v>
          </cell>
          <cell r="C30">
            <v>31.334378733128066</v>
          </cell>
          <cell r="D30">
            <v>6.0138146519535107</v>
          </cell>
          <cell r="E30">
            <v>4.5180452752601523</v>
          </cell>
          <cell r="F30">
            <v>35.281640598553594</v>
          </cell>
          <cell r="G30">
            <v>8.6627693469554075</v>
          </cell>
          <cell r="H30">
            <v>-6.013814651953564</v>
          </cell>
          <cell r="O30">
            <v>50</v>
          </cell>
          <cell r="P30">
            <v>6.1609276276644636</v>
          </cell>
          <cell r="Q30">
            <v>30.826878875146889</v>
          </cell>
          <cell r="R30">
            <v>14.381101091813337</v>
          </cell>
          <cell r="S30">
            <v>45.207979966960195</v>
          </cell>
          <cell r="T30">
            <v>-30.826878875146811</v>
          </cell>
        </row>
        <row r="34">
          <cell r="C34" t="str">
            <v>Vehicle Price</v>
          </cell>
          <cell r="D34" t="str">
            <v>Electricity tarrif</v>
          </cell>
          <cell r="E34" t="str">
            <v>Battery cost</v>
          </cell>
          <cell r="F34" t="str">
            <v>AKT</v>
          </cell>
          <cell r="G34" t="str">
            <v>O&amp;M costs</v>
          </cell>
          <cell r="H34" t="str">
            <v>Energy Efficiency</v>
          </cell>
          <cell r="P34" t="str">
            <v>Vehicle Price</v>
          </cell>
          <cell r="Q34" t="str">
            <v>Fuel price</v>
          </cell>
          <cell r="R34" t="str">
            <v>O&amp;M costs</v>
          </cell>
          <cell r="S34" t="str">
            <v>AKT</v>
          </cell>
          <cell r="T34" t="str">
            <v>Energy Efficiency</v>
          </cell>
        </row>
        <row r="35">
          <cell r="B35">
            <v>-50</v>
          </cell>
          <cell r="C35">
            <v>-38.484104622912902</v>
          </cell>
          <cell r="D35">
            <v>-8.1857231243426618</v>
          </cell>
          <cell r="E35">
            <v>-10.527463801339621</v>
          </cell>
          <cell r="F35">
            <v>-23.7918429107831</v>
          </cell>
          <cell r="G35">
            <v>-6.5475242627844752</v>
          </cell>
          <cell r="H35">
            <v>8.1857231243427009</v>
          </cell>
          <cell r="O35">
            <v>-50</v>
          </cell>
          <cell r="P35">
            <v>-15.090338283968252</v>
          </cell>
          <cell r="Q35">
            <v>-28.871783746588232</v>
          </cell>
          <cell r="R35">
            <v>-9.3930202369186802</v>
          </cell>
          <cell r="S35">
            <v>-38.264803983506887</v>
          </cell>
          <cell r="T35">
            <v>28.871783746588207</v>
          </cell>
        </row>
        <row r="36">
          <cell r="B36">
            <v>-40</v>
          </cell>
          <cell r="C36">
            <v>-30.787283698330327</v>
          </cell>
          <cell r="D36">
            <v>-6.5485784994741651</v>
          </cell>
          <cell r="E36">
            <v>-8.4219710410717283</v>
          </cell>
          <cell r="F36">
            <v>-13.392664477907257</v>
          </cell>
          <cell r="G36">
            <v>-5.2380194102275679</v>
          </cell>
          <cell r="H36">
            <v>6.5485784994741252</v>
          </cell>
          <cell r="O36">
            <v>-40</v>
          </cell>
          <cell r="P36">
            <v>-12.072270627174603</v>
          </cell>
          <cell r="Q36">
            <v>-23.097426997270585</v>
          </cell>
          <cell r="R36">
            <v>-7.5144161895349351</v>
          </cell>
          <cell r="S36">
            <v>-30.611843186805523</v>
          </cell>
          <cell r="T36">
            <v>23.097426997270549</v>
          </cell>
        </row>
        <row r="37">
          <cell r="B37">
            <v>-30</v>
          </cell>
          <cell r="C37">
            <v>-23.090462773747749</v>
          </cell>
          <cell r="D37">
            <v>-4.911433874605609</v>
          </cell>
          <cell r="E37">
            <v>-6.3164782808037767</v>
          </cell>
          <cell r="F37">
            <v>-10.073388552709297</v>
          </cell>
          <cell r="G37">
            <v>-3.928514557670701</v>
          </cell>
          <cell r="H37">
            <v>4.911433874605609</v>
          </cell>
          <cell r="O37">
            <v>-30</v>
          </cell>
          <cell r="P37">
            <v>-9.0542029703809543</v>
          </cell>
          <cell r="Q37">
            <v>-17.323070247952938</v>
          </cell>
          <cell r="R37">
            <v>-5.6358121421512131</v>
          </cell>
          <cell r="S37">
            <v>-22.958882390104161</v>
          </cell>
          <cell r="T37">
            <v>17.323070247952916</v>
          </cell>
        </row>
        <row r="38">
          <cell r="B38">
            <v>-20</v>
          </cell>
          <cell r="C38">
            <v>-15.393641849165151</v>
          </cell>
          <cell r="D38">
            <v>-3.2742892497370328</v>
          </cell>
          <cell r="E38">
            <v>-4.2109855205358437</v>
          </cell>
          <cell r="F38">
            <v>-6.7354813051226774</v>
          </cell>
          <cell r="G38">
            <v>-2.6190097051137942</v>
          </cell>
          <cell r="H38">
            <v>3.2742892497370528</v>
          </cell>
          <cell r="O38">
            <v>-20</v>
          </cell>
          <cell r="P38">
            <v>-6.0361353135872955</v>
          </cell>
          <cell r="Q38">
            <v>-11.548713498635292</v>
          </cell>
          <cell r="R38">
            <v>-3.7572080947674786</v>
          </cell>
          <cell r="S38">
            <v>-15.305921593402761</v>
          </cell>
          <cell r="T38">
            <v>11.548713498635257</v>
          </cell>
        </row>
        <row r="39">
          <cell r="B39">
            <v>-10</v>
          </cell>
          <cell r="C39">
            <v>-7.6968209245825969</v>
          </cell>
          <cell r="D39">
            <v>-1.6371446248685366</v>
          </cell>
          <cell r="E39">
            <v>-2.1054927602678921</v>
          </cell>
          <cell r="F39">
            <v>-3.3780111690280958</v>
          </cell>
          <cell r="G39">
            <v>-1.3095048525568871</v>
          </cell>
          <cell r="H39">
            <v>1.6371446248685366</v>
          </cell>
          <cell r="O39">
            <v>-10</v>
          </cell>
          <cell r="P39">
            <v>-3.0180676567936593</v>
          </cell>
          <cell r="Q39">
            <v>-5.7743567493176231</v>
          </cell>
          <cell r="R39">
            <v>-1.8786040473837338</v>
          </cell>
          <cell r="S39">
            <v>-7.6529607967013913</v>
          </cell>
          <cell r="T39">
            <v>5.7743567493176462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B41">
            <v>10</v>
          </cell>
          <cell r="C41">
            <v>7.6968209245825969</v>
          </cell>
          <cell r="D41">
            <v>1.6371446248685366</v>
          </cell>
          <cell r="E41">
            <v>2.1054927602679121</v>
          </cell>
          <cell r="F41">
            <v>10.852108209058626</v>
          </cell>
          <cell r="G41">
            <v>1.3095048525568871</v>
          </cell>
          <cell r="H41">
            <v>-1.6371446248685366</v>
          </cell>
          <cell r="O41">
            <v>10</v>
          </cell>
          <cell r="P41">
            <v>3.0180676567936366</v>
          </cell>
          <cell r="Q41">
            <v>5.7743567493176462</v>
          </cell>
          <cell r="R41">
            <v>1.8786040473837224</v>
          </cell>
          <cell r="S41">
            <v>7.6529607967013673</v>
          </cell>
          <cell r="T41">
            <v>-5.7743567493176231</v>
          </cell>
        </row>
        <row r="42">
          <cell r="B42">
            <v>20</v>
          </cell>
          <cell r="C42">
            <v>15.393641849165112</v>
          </cell>
          <cell r="D42">
            <v>3.2742892497370528</v>
          </cell>
          <cell r="E42">
            <v>4.2109855205358437</v>
          </cell>
          <cell r="F42">
            <v>13.79875768648405</v>
          </cell>
          <cell r="G42">
            <v>2.6190097051137542</v>
          </cell>
          <cell r="H42">
            <v>-3.2742892497370328</v>
          </cell>
          <cell r="O42">
            <v>20</v>
          </cell>
          <cell r="P42">
            <v>6.0361353135873079</v>
          </cell>
          <cell r="Q42">
            <v>11.548713498635257</v>
          </cell>
          <cell r="R42">
            <v>3.7572080947674564</v>
          </cell>
          <cell r="S42">
            <v>15.305921593402724</v>
          </cell>
          <cell r="T42">
            <v>-11.548713498635292</v>
          </cell>
        </row>
        <row r="43">
          <cell r="B43">
            <v>30</v>
          </cell>
          <cell r="C43">
            <v>23.090462773747749</v>
          </cell>
          <cell r="D43">
            <v>4.911433874605609</v>
          </cell>
          <cell r="E43">
            <v>6.3164782808037971</v>
          </cell>
          <cell r="F43">
            <v>17.984867646835145</v>
          </cell>
          <cell r="G43">
            <v>3.928514557670701</v>
          </cell>
          <cell r="H43">
            <v>-4.911433874605609</v>
          </cell>
          <cell r="O43">
            <v>30</v>
          </cell>
          <cell r="P43">
            <v>9.054202970380933</v>
          </cell>
          <cell r="Q43">
            <v>17.323070247952916</v>
          </cell>
          <cell r="R43">
            <v>5.6358121421511784</v>
          </cell>
          <cell r="S43">
            <v>22.958882390104126</v>
          </cell>
          <cell r="T43">
            <v>-17.323070247952938</v>
          </cell>
        </row>
        <row r="44">
          <cell r="B44">
            <v>40</v>
          </cell>
          <cell r="C44">
            <v>30.787283698330302</v>
          </cell>
          <cell r="D44">
            <v>6.5485784994741252</v>
          </cell>
          <cell r="E44">
            <v>8.4219710410716484</v>
          </cell>
          <cell r="F44">
            <v>20.93151712426053</v>
          </cell>
          <cell r="G44">
            <v>5.2380194102275679</v>
          </cell>
          <cell r="H44">
            <v>-6.5485784994741651</v>
          </cell>
          <cell r="O44">
            <v>40</v>
          </cell>
          <cell r="P44">
            <v>12.072270627174559</v>
          </cell>
          <cell r="Q44">
            <v>23.097426997270549</v>
          </cell>
          <cell r="R44">
            <v>7.5144161895349466</v>
          </cell>
          <cell r="S44">
            <v>30.611843186805487</v>
          </cell>
          <cell r="T44">
            <v>-23.097426997270585</v>
          </cell>
        </row>
        <row r="45">
          <cell r="B45">
            <v>50</v>
          </cell>
          <cell r="C45">
            <v>38.484104622912859</v>
          </cell>
          <cell r="D45">
            <v>8.1857231243427009</v>
          </cell>
          <cell r="E45">
            <v>10.527463801339602</v>
          </cell>
          <cell r="F45">
            <v>23.878166601685951</v>
          </cell>
          <cell r="G45">
            <v>6.5475242627844557</v>
          </cell>
          <cell r="H45">
            <v>-8.1857231243426618</v>
          </cell>
          <cell r="O45">
            <v>50</v>
          </cell>
          <cell r="P45">
            <v>15.090338283968229</v>
          </cell>
          <cell r="Q45">
            <v>28.871783746588207</v>
          </cell>
          <cell r="R45">
            <v>9.3930202369186464</v>
          </cell>
          <cell r="S45">
            <v>38.264803983506887</v>
          </cell>
          <cell r="T45">
            <v>-28.871783746588232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0563C1"/>
    </a:folHlink>
  </a:clrScheme>
  <a:fontScheme name="Sheets">
    <a:majorFont>
      <a:latin typeface="Calibri"/>
      <a:ea typeface="Calibri"/>
      <a:cs typeface="Calibri"/>
    </a:majorFont>
    <a:minorFont>
      <a:latin typeface="Calibri"/>
      <a:ea typeface="Calibri"/>
      <a:cs typeface="Calibri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AY1000"/>
  <sheetViews>
    <sheetView zoomScale="70" zoomScaleNormal="70" workbookViewId="0">
      <selection activeCell="J8" sqref="J8:J26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42578125" customWidth="1"/>
    <col min="9" max="9" width="50.5703125" bestFit="1" customWidth="1"/>
    <col min="10" max="10" width="17.5703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33.5703125" customWidth="1"/>
    <col min="19" max="19" width="16.5703125" customWidth="1"/>
    <col min="20" max="20" width="11.140625" customWidth="1"/>
    <col min="21" max="22" width="31.42578125" customWidth="1"/>
    <col min="23" max="23" width="23.85546875" customWidth="1"/>
    <col min="24" max="25" width="13.42578125" customWidth="1"/>
    <col min="26" max="26" width="19.5703125" customWidth="1"/>
    <col min="27" max="27" width="12.42578125" customWidth="1"/>
    <col min="28" max="28" width="29.140625" customWidth="1"/>
    <col min="29" max="29" width="19.42578125" customWidth="1"/>
    <col min="30" max="30" width="12.85546875" customWidth="1"/>
    <col min="31" max="31" width="19" customWidth="1"/>
    <col min="32" max="32" width="4.5703125" customWidth="1"/>
    <col min="33" max="33" width="20.140625" customWidth="1"/>
    <col min="34" max="34" width="19.42578125" customWidth="1"/>
    <col min="35" max="35" width="11.42578125" customWidth="1"/>
    <col min="36" max="36" width="17.85546875" customWidth="1"/>
    <col min="37" max="38" width="8.85546875" customWidth="1"/>
    <col min="39" max="39" width="17.5703125" customWidth="1"/>
    <col min="40" max="40" width="9.5703125" customWidth="1"/>
    <col min="41" max="41" width="15.5703125" customWidth="1"/>
    <col min="42" max="42" width="8.85546875" customWidth="1"/>
    <col min="43" max="44" width="12.570312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363522.64927626611</v>
      </c>
      <c r="C2" s="1" t="s">
        <v>3</v>
      </c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6">
        <f>B2/J34</f>
        <v>2.4234843285084406</v>
      </c>
      <c r="C3" s="1" t="s">
        <v>4</v>
      </c>
      <c r="D3" s="3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142</v>
      </c>
      <c r="X7" s="14" t="s">
        <v>21</v>
      </c>
      <c r="Y7" s="1"/>
      <c r="Z7" s="3"/>
      <c r="AA7" s="3"/>
      <c r="AB7" s="3" t="s">
        <v>22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293070.96774193546</v>
      </c>
      <c r="K8" s="3" t="s">
        <v>26</v>
      </c>
      <c r="L8" s="17"/>
      <c r="M8" s="3"/>
      <c r="N8" s="13">
        <v>0</v>
      </c>
      <c r="O8" s="19">
        <f>F31</f>
        <v>106375.51321148292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106375.51321148292</v>
      </c>
      <c r="Y8" s="4"/>
      <c r="Z8" s="8"/>
      <c r="AA8" s="3"/>
      <c r="AB8" s="3" t="s">
        <v>27</v>
      </c>
      <c r="AC8" s="21">
        <f>F36</f>
        <v>0.11194029850746268</v>
      </c>
      <c r="AD8" s="3" t="s">
        <v>28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7"/>
      <c r="G9" s="3"/>
      <c r="H9" s="17"/>
      <c r="I9" s="18" t="s">
        <v>29</v>
      </c>
      <c r="J9" s="8">
        <v>105</v>
      </c>
      <c r="K9" s="3" t="s">
        <v>28</v>
      </c>
      <c r="L9" s="17"/>
      <c r="M9" s="3"/>
      <c r="N9" s="13">
        <v>1</v>
      </c>
      <c r="O9" s="13"/>
      <c r="P9" s="22">
        <f t="shared" ref="P9:P48" si="1">IF(N9&gt;0,IF(N9&lt;=$J$20,(($F$32+$F$33)/$J$20)/((1+($F$11/100))^N9),0),0)</f>
        <v>60279.457486506995</v>
      </c>
      <c r="Q9" s="23">
        <f t="shared" ref="Q9:Q48" si="2">IF(N9&gt;0,($F$41*((1+($F$14/100))^(N9-1)))/((1+($F$11/100))^N9),0)</f>
        <v>1583.1556503198292</v>
      </c>
      <c r="R9" s="23">
        <f t="shared" ref="R9:R48" si="3">IF(N9&gt;0,$F$40/((1+($F$11/100))^N9),0)</f>
        <v>0</v>
      </c>
      <c r="S9" s="23">
        <f>IF(N9&gt;0,$J$37/((1+($F$11/100))^N9),0)</f>
        <v>5012.8216062544425</v>
      </c>
      <c r="T9" s="23"/>
      <c r="U9" s="23">
        <f t="shared" ref="U9:U48" si="4">IF(AND(MOD(N9,$J$31)=0,N9&gt;0),$B$44/((1+($F$11/100))^N9),0)</f>
        <v>0</v>
      </c>
      <c r="V9" s="23">
        <f t="shared" ref="V9:V48" si="5">IF(N9&gt;0,$J$32/((1+($F$11/100))^N9),0)</f>
        <v>0</v>
      </c>
      <c r="W9" s="22">
        <f t="shared" ref="W9:W18" si="6">IF(N9=$B$5,((((1-$J$15/100)^N9)*$B$45+((1-$J$16/100)^N9)*$B$46)/((1+($F$11/100))^N9))*-1,0)</f>
        <v>0</v>
      </c>
      <c r="X9" s="20">
        <f t="shared" si="0"/>
        <v>66875.434743081263</v>
      </c>
      <c r="Y9" s="4"/>
      <c r="Z9" s="8"/>
      <c r="AA9" s="3"/>
      <c r="AB9" s="3" t="s">
        <v>30</v>
      </c>
      <c r="AC9" s="5">
        <f>B48</f>
        <v>38881.5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33</v>
      </c>
      <c r="J10" s="8">
        <v>322</v>
      </c>
      <c r="K10" s="3" t="s">
        <v>34</v>
      </c>
      <c r="L10" s="17"/>
      <c r="M10" s="3"/>
      <c r="N10" s="13">
        <f t="shared" ref="N10:N48" si="7">IF((N9+1)&gt;$B$5,,IF(N9=0,,N9+1))</f>
        <v>2</v>
      </c>
      <c r="O10" s="13"/>
      <c r="P10" s="22">
        <f t="shared" si="1"/>
        <v>57409.007130006663</v>
      </c>
      <c r="Q10" s="23">
        <f t="shared" si="2"/>
        <v>1522.8449588790738</v>
      </c>
      <c r="R10" s="23">
        <f t="shared" si="3"/>
        <v>0</v>
      </c>
      <c r="S10" s="23">
        <f t="shared" ref="S10:S48" si="8">IF(N10&gt;0,$J$37/((1+($F$11/100))^N10),0)</f>
        <v>4774.1158154804207</v>
      </c>
      <c r="T10" s="23"/>
      <c r="U10" s="23">
        <f t="shared" si="4"/>
        <v>0</v>
      </c>
      <c r="V10" s="23">
        <f t="shared" si="5"/>
        <v>0</v>
      </c>
      <c r="W10" s="22">
        <f t="shared" si="6"/>
        <v>0</v>
      </c>
      <c r="X10" s="20">
        <f t="shared" si="0"/>
        <v>63705.96790436616</v>
      </c>
      <c r="Y10" s="4"/>
      <c r="Z10" s="8"/>
      <c r="AA10" s="3"/>
      <c r="AB10" s="3" t="s">
        <v>146</v>
      </c>
      <c r="AC10" s="25">
        <f>B52</f>
        <v>354585.04403827642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</v>
      </c>
      <c r="G11" s="3" t="s">
        <v>35</v>
      </c>
      <c r="H11" s="17"/>
      <c r="I11" s="18" t="s">
        <v>37</v>
      </c>
      <c r="J11" s="8">
        <v>4000</v>
      </c>
      <c r="K11" s="3" t="s">
        <v>38</v>
      </c>
      <c r="L11" s="17"/>
      <c r="M11" s="3"/>
      <c r="N11" s="13">
        <f t="shared" si="7"/>
        <v>3</v>
      </c>
      <c r="O11" s="13"/>
      <c r="P11" s="22">
        <f t="shared" si="1"/>
        <v>54675.244885720625</v>
      </c>
      <c r="Q11" s="23">
        <f t="shared" si="2"/>
        <v>1464.8318175884424</v>
      </c>
      <c r="R11" s="23">
        <f t="shared" si="3"/>
        <v>0</v>
      </c>
      <c r="S11" s="23">
        <f t="shared" si="8"/>
        <v>4546.7769671242104</v>
      </c>
      <c r="T11" s="23"/>
      <c r="U11" s="23">
        <f t="shared" si="4"/>
        <v>0</v>
      </c>
      <c r="V11" s="23">
        <f t="shared" si="5"/>
        <v>0</v>
      </c>
      <c r="W11" s="22">
        <f t="shared" si="6"/>
        <v>0</v>
      </c>
      <c r="X11" s="20">
        <f t="shared" si="0"/>
        <v>60686.85367043328</v>
      </c>
      <c r="Y11" s="4"/>
      <c r="Z11" s="8"/>
      <c r="AA11" s="3"/>
      <c r="AB11" s="3" t="s">
        <v>39</v>
      </c>
      <c r="AC11" s="8">
        <f>F12</f>
        <v>15000</v>
      </c>
      <c r="AD11" s="3" t="s">
        <v>40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15000</v>
      </c>
      <c r="G12" s="3" t="s">
        <v>40</v>
      </c>
      <c r="H12" s="17"/>
      <c r="I12" s="18" t="s">
        <v>43</v>
      </c>
      <c r="J12" s="8">
        <v>235</v>
      </c>
      <c r="K12" s="3" t="s">
        <v>44</v>
      </c>
      <c r="L12" s="17"/>
      <c r="M12" s="3"/>
      <c r="N12" s="13">
        <f t="shared" si="7"/>
        <v>4</v>
      </c>
      <c r="O12" s="13"/>
      <c r="P12" s="22">
        <f t="shared" si="1"/>
        <v>52071.66179592441</v>
      </c>
      <c r="Q12" s="23">
        <f t="shared" si="2"/>
        <v>1409.0287007279303</v>
      </c>
      <c r="R12" s="23">
        <f t="shared" si="3"/>
        <v>0</v>
      </c>
      <c r="S12" s="23">
        <f t="shared" si="8"/>
        <v>4330.2637782135344</v>
      </c>
      <c r="T12" s="23"/>
      <c r="U12" s="23">
        <f t="shared" si="4"/>
        <v>0</v>
      </c>
      <c r="V12" s="23">
        <f t="shared" si="5"/>
        <v>0</v>
      </c>
      <c r="W12" s="22">
        <f t="shared" si="6"/>
        <v>0</v>
      </c>
      <c r="X12" s="20">
        <f t="shared" si="0"/>
        <v>57810.954274865879</v>
      </c>
      <c r="Y12" s="4"/>
      <c r="Z12" s="8"/>
      <c r="AA12" s="3"/>
      <c r="AB12" s="18" t="s">
        <v>45</v>
      </c>
      <c r="AC12" s="25">
        <f>J42</f>
        <v>5256</v>
      </c>
      <c r="AD12" s="3" t="s">
        <v>46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6" t="s">
        <v>47</v>
      </c>
      <c r="B13" s="3">
        <v>0</v>
      </c>
      <c r="C13" s="3" t="s">
        <v>35</v>
      </c>
      <c r="D13" s="3"/>
      <c r="E13" s="18" t="s">
        <v>27</v>
      </c>
      <c r="F13" s="16">
        <v>0.15</v>
      </c>
      <c r="G13" s="3" t="s">
        <v>48</v>
      </c>
      <c r="H13" s="17"/>
      <c r="I13" s="18" t="s">
        <v>49</v>
      </c>
      <c r="J13" s="3">
        <v>30</v>
      </c>
      <c r="K13" s="3" t="s">
        <v>50</v>
      </c>
      <c r="L13" s="17"/>
      <c r="M13" s="3"/>
      <c r="N13" s="13">
        <f t="shared" si="7"/>
        <v>5</v>
      </c>
      <c r="O13" s="13"/>
      <c r="P13" s="22">
        <f t="shared" si="1"/>
        <v>49592.05885326134</v>
      </c>
      <c r="Q13" s="23">
        <f t="shared" si="2"/>
        <v>1355.3514168906756</v>
      </c>
      <c r="R13" s="23">
        <f t="shared" si="3"/>
        <v>0</v>
      </c>
      <c r="S13" s="23">
        <f t="shared" si="8"/>
        <v>4124.0607411557467</v>
      </c>
      <c r="T13" s="23"/>
      <c r="U13" s="23">
        <f t="shared" si="4"/>
        <v>0</v>
      </c>
      <c r="V13" s="23">
        <f t="shared" si="5"/>
        <v>0</v>
      </c>
      <c r="W13" s="22">
        <f t="shared" si="6"/>
        <v>0</v>
      </c>
      <c r="X13" s="20">
        <f t="shared" si="0"/>
        <v>55071.47101130776</v>
      </c>
      <c r="Y13" s="4"/>
      <c r="Z13" s="8"/>
      <c r="AA13" s="3"/>
      <c r="AB13" s="3" t="s">
        <v>137</v>
      </c>
      <c r="AC13" s="8">
        <f>J26</f>
        <v>117.5</v>
      </c>
      <c r="AD13" s="3" t="s">
        <v>128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6"/>
      <c r="B14" s="3"/>
      <c r="C14" s="3"/>
      <c r="D14" s="3"/>
      <c r="E14" s="18" t="s">
        <v>51</v>
      </c>
      <c r="F14" s="3">
        <v>1</v>
      </c>
      <c r="G14" s="3" t="s">
        <v>52</v>
      </c>
      <c r="H14" s="17"/>
      <c r="I14" s="18" t="s">
        <v>53</v>
      </c>
      <c r="J14" s="5">
        <v>20</v>
      </c>
      <c r="K14" s="3" t="s">
        <v>35</v>
      </c>
      <c r="L14" s="17"/>
      <c r="M14" s="3"/>
      <c r="N14" s="13">
        <f t="shared" si="7"/>
        <v>6</v>
      </c>
      <c r="O14" s="13"/>
      <c r="P14" s="22">
        <f t="shared" si="1"/>
        <v>0</v>
      </c>
      <c r="Q14" s="23">
        <f t="shared" si="2"/>
        <v>1303.7189819615071</v>
      </c>
      <c r="R14" s="23">
        <f t="shared" si="3"/>
        <v>0</v>
      </c>
      <c r="S14" s="23">
        <f t="shared" si="8"/>
        <v>3927.6768963388063</v>
      </c>
      <c r="T14" s="23"/>
      <c r="U14" s="23">
        <f t="shared" si="4"/>
        <v>0</v>
      </c>
      <c r="V14" s="23">
        <f t="shared" si="5"/>
        <v>0</v>
      </c>
      <c r="W14" s="22">
        <f t="shared" si="6"/>
        <v>0</v>
      </c>
      <c r="X14" s="20">
        <f t="shared" si="0"/>
        <v>5231.3958783003136</v>
      </c>
      <c r="Y14" s="4"/>
      <c r="Z14" s="8"/>
      <c r="AA14" s="3"/>
      <c r="AB14" s="3" t="s">
        <v>172</v>
      </c>
      <c r="AC14" s="16">
        <f>J17</f>
        <v>0.99</v>
      </c>
      <c r="AD14" s="3" t="s">
        <v>63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8" t="s">
        <v>54</v>
      </c>
      <c r="B15" s="3">
        <v>18.5</v>
      </c>
      <c r="C15" s="3" t="s">
        <v>35</v>
      </c>
      <c r="D15" s="3"/>
      <c r="E15" s="18" t="s">
        <v>55</v>
      </c>
      <c r="F15" s="3">
        <v>0</v>
      </c>
      <c r="G15" s="3"/>
      <c r="H15" s="17"/>
      <c r="I15" s="18" t="s">
        <v>56</v>
      </c>
      <c r="J15" s="3">
        <v>7.08</v>
      </c>
      <c r="K15" s="3" t="s">
        <v>57</v>
      </c>
      <c r="L15" s="17"/>
      <c r="M15" s="3"/>
      <c r="N15" s="13">
        <f t="shared" si="7"/>
        <v>7</v>
      </c>
      <c r="O15" s="13"/>
      <c r="P15" s="22">
        <f t="shared" si="1"/>
        <v>0</v>
      </c>
      <c r="Q15" s="23">
        <f t="shared" si="2"/>
        <v>1254.0534969344023</v>
      </c>
      <c r="R15" s="23">
        <f t="shared" si="3"/>
        <v>0</v>
      </c>
      <c r="S15" s="23">
        <f t="shared" si="8"/>
        <v>3740.6446631798149</v>
      </c>
      <c r="T15" s="23"/>
      <c r="U15" s="23">
        <f t="shared" si="4"/>
        <v>0</v>
      </c>
      <c r="V15" s="23">
        <f t="shared" si="5"/>
        <v>0</v>
      </c>
      <c r="W15" s="22">
        <f t="shared" si="6"/>
        <v>0</v>
      </c>
      <c r="X15" s="20">
        <f t="shared" si="0"/>
        <v>4994.698160114217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6" t="s">
        <v>58</v>
      </c>
      <c r="B16" s="3">
        <v>15</v>
      </c>
      <c r="C16" s="3" t="s">
        <v>35</v>
      </c>
      <c r="D16" s="3"/>
      <c r="E16" s="18" t="s">
        <v>140</v>
      </c>
      <c r="F16" s="3">
        <v>10</v>
      </c>
      <c r="G16" s="3" t="s">
        <v>59</v>
      </c>
      <c r="H16" s="17"/>
      <c r="I16" s="18" t="s">
        <v>60</v>
      </c>
      <c r="J16" s="3">
        <v>11</v>
      </c>
      <c r="K16" s="3" t="s">
        <v>57</v>
      </c>
      <c r="L16" s="17"/>
      <c r="M16" s="3"/>
      <c r="N16" s="13">
        <f t="shared" si="7"/>
        <v>8</v>
      </c>
      <c r="O16" s="13"/>
      <c r="P16" s="22">
        <f t="shared" si="1"/>
        <v>0</v>
      </c>
      <c r="Q16" s="23">
        <f t="shared" si="2"/>
        <v>1206.2800303845199</v>
      </c>
      <c r="R16" s="23">
        <f t="shared" si="3"/>
        <v>0</v>
      </c>
      <c r="S16" s="23">
        <f t="shared" si="8"/>
        <v>3562.5187268379195</v>
      </c>
      <c r="T16" s="23"/>
      <c r="U16" s="23">
        <f t="shared" si="4"/>
        <v>0</v>
      </c>
      <c r="V16" s="23">
        <f t="shared" si="5"/>
        <v>0</v>
      </c>
      <c r="W16" s="22">
        <f t="shared" si="6"/>
        <v>0</v>
      </c>
      <c r="X16" s="20">
        <f t="shared" si="0"/>
        <v>4768.7987572224392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6" t="s">
        <v>156</v>
      </c>
      <c r="B17" s="3">
        <v>100</v>
      </c>
      <c r="C17" s="3" t="s">
        <v>26</v>
      </c>
      <c r="D17" s="3"/>
      <c r="E17" s="18" t="s">
        <v>138</v>
      </c>
      <c r="F17" s="8"/>
      <c r="G17" s="3" t="s">
        <v>59</v>
      </c>
      <c r="H17" s="17"/>
      <c r="I17" s="18" t="s">
        <v>62</v>
      </c>
      <c r="J17" s="16">
        <v>0.99</v>
      </c>
      <c r="K17" s="3" t="s">
        <v>63</v>
      </c>
      <c r="L17" s="17"/>
      <c r="M17" s="3"/>
      <c r="N17" s="13">
        <f t="shared" si="7"/>
        <v>9</v>
      </c>
      <c r="O17" s="13"/>
      <c r="P17" s="22">
        <f t="shared" si="1"/>
        <v>0</v>
      </c>
      <c r="Q17" s="23">
        <f t="shared" si="2"/>
        <v>1160.326505417491</v>
      </c>
      <c r="R17" s="23">
        <f t="shared" si="3"/>
        <v>0</v>
      </c>
      <c r="S17" s="23">
        <f t="shared" si="8"/>
        <v>3392.8749779408754</v>
      </c>
      <c r="T17" s="23"/>
      <c r="U17" s="23">
        <f t="shared" si="4"/>
        <v>0</v>
      </c>
      <c r="V17" s="23">
        <f t="shared" si="5"/>
        <v>0</v>
      </c>
      <c r="W17" s="22">
        <f t="shared" si="6"/>
        <v>0</v>
      </c>
      <c r="X17" s="20">
        <f t="shared" si="0"/>
        <v>4553.2014833583662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3"/>
      <c r="J18" s="3"/>
      <c r="K18" s="3"/>
      <c r="L18" s="17"/>
      <c r="M18" s="3"/>
      <c r="N18" s="13">
        <f t="shared" si="7"/>
        <v>10</v>
      </c>
      <c r="O18" s="13"/>
      <c r="P18" s="22">
        <f t="shared" si="1"/>
        <v>0</v>
      </c>
      <c r="Q18" s="23">
        <f t="shared" si="2"/>
        <v>1116.1235909253962</v>
      </c>
      <c r="R18" s="23">
        <f t="shared" si="3"/>
        <v>0</v>
      </c>
      <c r="S18" s="23">
        <f t="shared" si="8"/>
        <v>3231.3095028008338</v>
      </c>
      <c r="T18" s="23"/>
      <c r="U18" s="23">
        <f t="shared" si="4"/>
        <v>0</v>
      </c>
      <c r="V18" s="23">
        <f t="shared" si="5"/>
        <v>0</v>
      </c>
      <c r="W18" s="22">
        <f t="shared" si="6"/>
        <v>-70899.072911992625</v>
      </c>
      <c r="X18" s="20">
        <f t="shared" si="0"/>
        <v>-66551.639818266398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6" t="s">
        <v>64</v>
      </c>
      <c r="B19" s="27">
        <f>4%*J8</f>
        <v>11722.838709677419</v>
      </c>
      <c r="C19" s="3" t="s">
        <v>26</v>
      </c>
      <c r="D19" s="3"/>
      <c r="E19" s="18"/>
      <c r="F19" s="3"/>
      <c r="G19" s="3"/>
      <c r="H19" s="17"/>
      <c r="I19" s="1" t="s">
        <v>67</v>
      </c>
      <c r="J19" s="3"/>
      <c r="K19" s="3"/>
      <c r="L19" s="17"/>
      <c r="M19" s="3"/>
      <c r="N19" s="13">
        <f t="shared" si="7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>
        <f t="shared" si="8"/>
        <v>0</v>
      </c>
      <c r="T19" s="23"/>
      <c r="U19" s="23">
        <f t="shared" si="4"/>
        <v>0</v>
      </c>
      <c r="V19" s="23">
        <f t="shared" si="5"/>
        <v>0</v>
      </c>
      <c r="W19" s="22">
        <f t="shared" ref="W19:W48" si="9">IF(N19=$B$5,((((1-$J$15/100)^N19)*$B$50+((1-$J$16/100)^N19)*$B$46)/((1+($F$11/100))^N19))*-1,0)</f>
        <v>0</v>
      </c>
      <c r="X19" s="20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3" t="s">
        <v>65</v>
      </c>
      <c r="B20" s="3">
        <v>5</v>
      </c>
      <c r="C20" s="3" t="s">
        <v>26</v>
      </c>
      <c r="D20" s="3"/>
      <c r="E20" s="18"/>
      <c r="F20" s="8"/>
      <c r="G20" s="3"/>
      <c r="H20" s="17"/>
      <c r="I20" s="18" t="s">
        <v>73</v>
      </c>
      <c r="J20" s="3">
        <v>5</v>
      </c>
      <c r="K20" s="3" t="s">
        <v>50</v>
      </c>
      <c r="L20" s="17"/>
      <c r="M20" s="3"/>
      <c r="N20" s="13">
        <f t="shared" si="7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>
        <f t="shared" si="8"/>
        <v>0</v>
      </c>
      <c r="T20" s="23"/>
      <c r="U20" s="23">
        <f t="shared" si="4"/>
        <v>0</v>
      </c>
      <c r="V20" s="23">
        <f t="shared" si="5"/>
        <v>0</v>
      </c>
      <c r="W20" s="22">
        <f t="shared" si="9"/>
        <v>0</v>
      </c>
      <c r="X20" s="20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6"/>
      <c r="B21" s="3"/>
      <c r="C21" s="3"/>
      <c r="D21" s="3"/>
      <c r="E21" s="18" t="s">
        <v>66</v>
      </c>
      <c r="F21" s="8">
        <v>0</v>
      </c>
      <c r="G21" s="3"/>
      <c r="H21" s="17"/>
      <c r="I21" s="18" t="s">
        <v>76</v>
      </c>
      <c r="J21" s="3">
        <v>30</v>
      </c>
      <c r="K21" s="3" t="s">
        <v>77</v>
      </c>
      <c r="L21" s="17"/>
      <c r="M21" s="3"/>
      <c r="N21" s="13">
        <f t="shared" si="7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>
        <f t="shared" si="8"/>
        <v>0</v>
      </c>
      <c r="T21" s="23"/>
      <c r="U21" s="23">
        <f t="shared" si="4"/>
        <v>0</v>
      </c>
      <c r="V21" s="23">
        <f t="shared" si="5"/>
        <v>0</v>
      </c>
      <c r="W21" s="22">
        <f t="shared" si="9"/>
        <v>0</v>
      </c>
      <c r="X21" s="20">
        <f t="shared" si="0"/>
        <v>0</v>
      </c>
      <c r="Y21" s="4"/>
      <c r="Z21" s="8"/>
      <c r="AA21" s="3"/>
      <c r="AB21" s="28" t="s">
        <v>27</v>
      </c>
      <c r="AC21" s="29"/>
      <c r="AD21" s="29"/>
      <c r="AE21" s="29"/>
      <c r="AF21" s="3"/>
      <c r="AG21" s="28" t="s">
        <v>157</v>
      </c>
      <c r="AH21" s="29"/>
      <c r="AI21" s="29"/>
      <c r="AJ21" s="29"/>
      <c r="AK21" s="3"/>
      <c r="AL21" s="81" t="s">
        <v>160</v>
      </c>
      <c r="AM21" s="81" t="s">
        <v>162</v>
      </c>
      <c r="AN21" s="81" t="s">
        <v>163</v>
      </c>
      <c r="AO21" s="81" t="s">
        <v>30</v>
      </c>
      <c r="AP21" s="81" t="s">
        <v>164</v>
      </c>
      <c r="AQ21" s="81" t="s">
        <v>165</v>
      </c>
      <c r="AR21" s="86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6"/>
      <c r="B22" s="3"/>
      <c r="C22" s="3"/>
      <c r="D22" s="3"/>
      <c r="E22" s="18" t="s">
        <v>45</v>
      </c>
      <c r="F22" s="27">
        <v>0.46953600000000001</v>
      </c>
      <c r="G22" s="3" t="s">
        <v>121</v>
      </c>
      <c r="H22" s="17"/>
      <c r="I22" s="65"/>
      <c r="J22" s="65"/>
      <c r="K22" s="65"/>
      <c r="L22" s="17"/>
      <c r="M22" s="3"/>
      <c r="N22" s="13">
        <f t="shared" si="7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>
        <f t="shared" si="8"/>
        <v>0</v>
      </c>
      <c r="T22" s="23"/>
      <c r="U22" s="23">
        <f t="shared" si="4"/>
        <v>0</v>
      </c>
      <c r="V22" s="23">
        <f t="shared" si="5"/>
        <v>0</v>
      </c>
      <c r="W22" s="22">
        <f t="shared" si="9"/>
        <v>0</v>
      </c>
      <c r="X22" s="20">
        <f t="shared" si="0"/>
        <v>0</v>
      </c>
      <c r="Y22" s="4"/>
      <c r="Z22" s="8"/>
      <c r="AA22" s="3"/>
      <c r="AB22" s="29" t="s">
        <v>68</v>
      </c>
      <c r="AC22" s="29" t="s">
        <v>69</v>
      </c>
      <c r="AD22" s="29" t="s">
        <v>21</v>
      </c>
      <c r="AE22" s="29" t="s">
        <v>70</v>
      </c>
      <c r="AF22" s="3"/>
      <c r="AG22" s="29" t="s">
        <v>68</v>
      </c>
      <c r="AH22" s="29" t="s">
        <v>71</v>
      </c>
      <c r="AI22" s="29" t="s">
        <v>21</v>
      </c>
      <c r="AJ22" s="29" t="s">
        <v>70</v>
      </c>
      <c r="AK22" s="3"/>
      <c r="AL22" s="82">
        <v>-50</v>
      </c>
      <c r="AM22" s="83">
        <f>AJ24</f>
        <v>-52.321766486936014</v>
      </c>
      <c r="AN22" s="83">
        <f>AE24</f>
        <v>-1.8397361452799095</v>
      </c>
      <c r="AO22" s="84">
        <f t="shared" ref="AO22:AO32" si="10">AE39</f>
        <v>-6.7986603650406847</v>
      </c>
      <c r="AP22" s="84">
        <f t="shared" ref="AP22:AP32" si="11">AJ39</f>
        <v>-7.4219796270267206</v>
      </c>
      <c r="AQ22" s="84">
        <f>AE54</f>
        <v>-5.5822434817467954</v>
      </c>
      <c r="AR22" s="34">
        <f>AE69</f>
        <v>1.8397361452799414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18" t="s">
        <v>72</v>
      </c>
      <c r="F23" s="3">
        <v>5.5</v>
      </c>
      <c r="G23" s="3" t="s">
        <v>57</v>
      </c>
      <c r="H23" s="17"/>
      <c r="I23" s="59" t="s">
        <v>123</v>
      </c>
      <c r="J23" s="60"/>
      <c r="K23" s="60"/>
      <c r="L23" s="61"/>
      <c r="M23" s="3"/>
      <c r="N23" s="13">
        <f t="shared" si="7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>
        <f t="shared" si="8"/>
        <v>0</v>
      </c>
      <c r="T23" s="23"/>
      <c r="U23" s="23">
        <f t="shared" si="4"/>
        <v>0</v>
      </c>
      <c r="V23" s="23">
        <f t="shared" si="5"/>
        <v>0</v>
      </c>
      <c r="W23" s="22">
        <f t="shared" si="9"/>
        <v>0</v>
      </c>
      <c r="X23" s="20">
        <f t="shared" si="0"/>
        <v>0</v>
      </c>
      <c r="Y23" s="4"/>
      <c r="Z23" s="8"/>
      <c r="AA23" s="3"/>
      <c r="AB23" s="29" t="s">
        <v>74</v>
      </c>
      <c r="AC23" s="30">
        <v>0.11194029850746268</v>
      </c>
      <c r="AD23" s="31">
        <f>X49</f>
        <v>363522.64927626611</v>
      </c>
      <c r="AE23" s="29"/>
      <c r="AF23" s="3"/>
      <c r="AG23" s="29" t="s">
        <v>75</v>
      </c>
      <c r="AH23" s="32">
        <v>354585.04403827642</v>
      </c>
      <c r="AI23" s="31">
        <f>X49</f>
        <v>363522.64927626611</v>
      </c>
      <c r="AJ23" s="29"/>
      <c r="AK23" s="3"/>
      <c r="AL23" s="82">
        <v>-40</v>
      </c>
      <c r="AM23" s="83">
        <f>AJ25</f>
        <v>-41.857413189548815</v>
      </c>
      <c r="AN23" s="83">
        <f t="shared" ref="AN23:AN32" si="12">AE25</f>
        <v>-1.4717889162239404</v>
      </c>
      <c r="AO23" s="84">
        <f t="shared" si="10"/>
        <v>-5.4389282920325606</v>
      </c>
      <c r="AP23" s="84">
        <f t="shared" si="11"/>
        <v>-5.9375837016213637</v>
      </c>
      <c r="AQ23" s="84">
        <f t="shared" ref="AQ23:AQ32" si="13">AE55</f>
        <v>-4.4657947853974553</v>
      </c>
      <c r="AR23" s="34">
        <f t="shared" ref="AR23:AR32" si="14">AE70</f>
        <v>1.4717889162239726</v>
      </c>
      <c r="AS23" s="27"/>
      <c r="AT23" s="27"/>
      <c r="AU23" s="27"/>
      <c r="AV23" s="27"/>
      <c r="AW23" s="27"/>
      <c r="AX23" s="27"/>
      <c r="AY23" s="27"/>
    </row>
    <row r="24" spans="1:51" ht="15.75" customHeight="1" x14ac:dyDescent="0.25">
      <c r="A24" s="15"/>
      <c r="B24" s="3"/>
      <c r="C24" s="3"/>
      <c r="D24" s="3"/>
      <c r="E24" s="3"/>
      <c r="F24" s="5"/>
      <c r="G24" s="3"/>
      <c r="H24" s="17"/>
      <c r="I24" s="60" t="s">
        <v>124</v>
      </c>
      <c r="J24" s="62" t="s">
        <v>122</v>
      </c>
      <c r="K24" s="60"/>
      <c r="L24" s="61"/>
      <c r="M24" s="3"/>
      <c r="N24" s="13">
        <f t="shared" si="7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>
        <f t="shared" si="8"/>
        <v>0</v>
      </c>
      <c r="T24" s="23"/>
      <c r="U24" s="23">
        <f t="shared" si="4"/>
        <v>0</v>
      </c>
      <c r="V24" s="23">
        <f t="shared" si="5"/>
        <v>0</v>
      </c>
      <c r="W24" s="22">
        <f t="shared" si="9"/>
        <v>0</v>
      </c>
      <c r="X24" s="20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5.5970149253731338E-2</v>
      </c>
      <c r="AD24" s="31">
        <f t="dataTable" ref="AD24:AD34" dt2D="0" dtr="0" r1="F36"/>
        <v>356834.79170125152</v>
      </c>
      <c r="AE24" s="33">
        <f t="shared" ref="AE24:AE34" si="17">100*((AD24-$AD$29)/$AD$29)</f>
        <v>-1.8397361452799095</v>
      </c>
      <c r="AF24" s="3"/>
      <c r="AG24" s="29">
        <f t="shared" ref="AG24:AG28" si="18">AG25-10</f>
        <v>-50</v>
      </c>
      <c r="AH24" s="32">
        <f t="shared" ref="AH24:AH34" si="19">$AH$23*(1+(AG24/100))</f>
        <v>177292.52201913821</v>
      </c>
      <c r="AI24" s="31">
        <f t="dataTable" ref="AI24:AI34" dt2D="0" dtr="0" r1="B52" ca="1"/>
        <v>173321.17759481474</v>
      </c>
      <c r="AJ24" s="33">
        <f t="shared" ref="AJ24:AJ34" si="20">100*((AI24-$AI$29)/$AI$29)</f>
        <v>-52.321766486936014</v>
      </c>
      <c r="AK24" s="3"/>
      <c r="AL24" s="82">
        <v>-30</v>
      </c>
      <c r="AM24" s="83">
        <f t="shared" ref="AM24:AM32" si="21">AJ26</f>
        <v>-31.393059892161627</v>
      </c>
      <c r="AN24" s="83">
        <f t="shared" si="12"/>
        <v>-1.1038416871679393</v>
      </c>
      <c r="AO24" s="84">
        <f t="shared" si="10"/>
        <v>-4.0791962190244044</v>
      </c>
      <c r="AP24" s="84">
        <f t="shared" si="11"/>
        <v>-4.4531877762160228</v>
      </c>
      <c r="AQ24" s="84">
        <f t="shared" si="13"/>
        <v>-3.3493460890480673</v>
      </c>
      <c r="AR24" s="34">
        <f t="shared" si="14"/>
        <v>1.1038416871680032</v>
      </c>
      <c r="AS24" s="27"/>
      <c r="AT24" s="27"/>
      <c r="AU24" s="27"/>
      <c r="AV24" s="27"/>
      <c r="AW24" s="27"/>
      <c r="AX24" s="27"/>
      <c r="AY24" s="27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7"/>
      <c r="I25" s="63" t="s">
        <v>125</v>
      </c>
      <c r="J25" s="63">
        <v>1.3</v>
      </c>
      <c r="K25" s="63" t="s">
        <v>126</v>
      </c>
      <c r="L25" s="61"/>
      <c r="M25" s="3"/>
      <c r="N25" s="13">
        <f t="shared" si="7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>
        <f t="shared" si="8"/>
        <v>0</v>
      </c>
      <c r="T25" s="23"/>
      <c r="U25" s="23">
        <f t="shared" si="4"/>
        <v>0</v>
      </c>
      <c r="V25" s="23">
        <f t="shared" si="5"/>
        <v>0</v>
      </c>
      <c r="W25" s="22">
        <f t="shared" si="9"/>
        <v>0</v>
      </c>
      <c r="X25" s="20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6.7164179104477598E-2</v>
      </c>
      <c r="AD25" s="31">
        <v>358172.36321625439</v>
      </c>
      <c r="AE25" s="33">
        <f t="shared" si="17"/>
        <v>-1.4717889162239404</v>
      </c>
      <c r="AF25" s="3"/>
      <c r="AG25" s="29">
        <f t="shared" si="18"/>
        <v>-40</v>
      </c>
      <c r="AH25" s="32">
        <f t="shared" si="19"/>
        <v>212751.02642296584</v>
      </c>
      <c r="AI25" s="31">
        <v>211361.47193110501</v>
      </c>
      <c r="AJ25" s="33">
        <f t="shared" si="20"/>
        <v>-41.857413189548815</v>
      </c>
      <c r="AK25" s="3"/>
      <c r="AL25" s="82">
        <v>-20</v>
      </c>
      <c r="AM25" s="83">
        <f t="shared" si="21"/>
        <v>-20.928706594774393</v>
      </c>
      <c r="AN25" s="83">
        <f t="shared" si="12"/>
        <v>-0.73589445811193821</v>
      </c>
      <c r="AO25" s="84">
        <f t="shared" si="10"/>
        <v>-2.7194641460162803</v>
      </c>
      <c r="AP25" s="84">
        <f t="shared" si="11"/>
        <v>-2.9687918508106659</v>
      </c>
      <c r="AQ25" s="84">
        <f t="shared" si="13"/>
        <v>-2.2328973926986952</v>
      </c>
      <c r="AR25" s="34">
        <f t="shared" si="14"/>
        <v>0.73589445811201826</v>
      </c>
      <c r="AS25" s="27"/>
      <c r="AT25" s="27"/>
      <c r="AU25" s="27"/>
      <c r="AV25" s="27"/>
      <c r="AW25" s="27"/>
      <c r="AX25" s="27"/>
      <c r="AY25" s="27"/>
    </row>
    <row r="26" spans="1:5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 t="s">
        <v>127</v>
      </c>
      <c r="J26" s="64">
        <f>J12/2</f>
        <v>117.5</v>
      </c>
      <c r="K26" s="36" t="s">
        <v>128</v>
      </c>
      <c r="L26" s="37"/>
      <c r="M26" s="3"/>
      <c r="N26" s="13">
        <f t="shared" si="7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>
        <f t="shared" si="8"/>
        <v>0</v>
      </c>
      <c r="T26" s="23"/>
      <c r="U26" s="23">
        <f t="shared" si="4"/>
        <v>0</v>
      </c>
      <c r="V26" s="23">
        <f t="shared" si="5"/>
        <v>0</v>
      </c>
      <c r="W26" s="22">
        <f t="shared" si="9"/>
        <v>0</v>
      </c>
      <c r="X26" s="20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7.8358208955223871E-2</v>
      </c>
      <c r="AD26" s="31">
        <v>359509.93473125738</v>
      </c>
      <c r="AE26" s="33">
        <f t="shared" si="17"/>
        <v>-1.1038416871679393</v>
      </c>
      <c r="AF26" s="3"/>
      <c r="AG26" s="29">
        <f t="shared" si="18"/>
        <v>-30</v>
      </c>
      <c r="AH26" s="32">
        <f t="shared" si="19"/>
        <v>248209.53082679349</v>
      </c>
      <c r="AI26" s="31">
        <v>249401.76626739523</v>
      </c>
      <c r="AJ26" s="33">
        <f t="shared" si="20"/>
        <v>-31.393059892161627</v>
      </c>
      <c r="AK26" s="3"/>
      <c r="AL26" s="82">
        <v>-10</v>
      </c>
      <c r="AM26" s="83">
        <f t="shared" si="21"/>
        <v>-10.464353297387188</v>
      </c>
      <c r="AN26" s="83">
        <f t="shared" si="12"/>
        <v>-0.36794722905595312</v>
      </c>
      <c r="AO26" s="84">
        <f t="shared" si="10"/>
        <v>-1.3597320730081401</v>
      </c>
      <c r="AP26" s="84">
        <f t="shared" si="11"/>
        <v>-1.4843959254053087</v>
      </c>
      <c r="AQ26" s="84">
        <f t="shared" si="13"/>
        <v>-1.1164486963493556</v>
      </c>
      <c r="AR26" s="34">
        <f t="shared" si="14"/>
        <v>0.36794722905603316</v>
      </c>
      <c r="AS26" s="27"/>
      <c r="AT26" s="27"/>
      <c r="AU26" s="27"/>
      <c r="AV26" s="27"/>
      <c r="AW26" s="27"/>
      <c r="AX26" s="27"/>
      <c r="AY26" s="2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7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>
        <f t="shared" si="8"/>
        <v>0</v>
      </c>
      <c r="T27" s="23"/>
      <c r="U27" s="23">
        <f t="shared" si="4"/>
        <v>0</v>
      </c>
      <c r="V27" s="23">
        <f t="shared" si="5"/>
        <v>0</v>
      </c>
      <c r="W27" s="22">
        <f t="shared" si="9"/>
        <v>0</v>
      </c>
      <c r="X27" s="20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8.9552238805970144E-2</v>
      </c>
      <c r="AD27" s="31">
        <v>360847.50624626037</v>
      </c>
      <c r="AE27" s="33">
        <f t="shared" si="17"/>
        <v>-0.73589445811193821</v>
      </c>
      <c r="AF27" s="3"/>
      <c r="AG27" s="29">
        <f t="shared" si="18"/>
        <v>-20</v>
      </c>
      <c r="AH27" s="32">
        <f t="shared" si="19"/>
        <v>283668.03523062117</v>
      </c>
      <c r="AI27" s="31">
        <v>287442.06060368562</v>
      </c>
      <c r="AJ27" s="33">
        <f t="shared" si="20"/>
        <v>-20.928706594774393</v>
      </c>
      <c r="AK27" s="3"/>
      <c r="AL27" s="82">
        <v>0</v>
      </c>
      <c r="AM27" s="83">
        <f t="shared" si="21"/>
        <v>0</v>
      </c>
      <c r="AN27" s="83">
        <f t="shared" si="12"/>
        <v>0</v>
      </c>
      <c r="AO27" s="84">
        <f t="shared" si="10"/>
        <v>0</v>
      </c>
      <c r="AP27" s="84">
        <f t="shared" si="11"/>
        <v>0</v>
      </c>
      <c r="AQ27" s="84">
        <f t="shared" si="13"/>
        <v>0</v>
      </c>
      <c r="AR27" s="34">
        <f t="shared" si="14"/>
        <v>0</v>
      </c>
      <c r="AS27" s="27"/>
      <c r="AT27" s="27"/>
      <c r="AU27" s="27"/>
      <c r="AV27" s="27"/>
      <c r="AW27" s="27"/>
      <c r="AX27" s="27"/>
      <c r="AY27" s="27"/>
    </row>
    <row r="28" spans="1:5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7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>
        <f t="shared" si="8"/>
        <v>0</v>
      </c>
      <c r="T28" s="23"/>
      <c r="U28" s="23">
        <f t="shared" si="4"/>
        <v>0</v>
      </c>
      <c r="V28" s="23">
        <f t="shared" si="5"/>
        <v>0</v>
      </c>
      <c r="W28" s="22">
        <f t="shared" si="9"/>
        <v>0</v>
      </c>
      <c r="X28" s="20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0.10074626865671642</v>
      </c>
      <c r="AD28" s="31">
        <v>362185.0777612633</v>
      </c>
      <c r="AE28" s="33">
        <f t="shared" si="17"/>
        <v>-0.36794722905595312</v>
      </c>
      <c r="AF28" s="3"/>
      <c r="AG28" s="29">
        <f t="shared" si="18"/>
        <v>-10</v>
      </c>
      <c r="AH28" s="32">
        <f t="shared" si="19"/>
        <v>319126.53963444877</v>
      </c>
      <c r="AI28" s="31">
        <v>325482.35493997589</v>
      </c>
      <c r="AJ28" s="33">
        <f t="shared" si="20"/>
        <v>-10.464353297387188</v>
      </c>
      <c r="AK28" s="3"/>
      <c r="AL28" s="82">
        <v>10</v>
      </c>
      <c r="AM28" s="83">
        <f t="shared" si="21"/>
        <v>10.464353297387204</v>
      </c>
      <c r="AN28" s="83">
        <f t="shared" si="12"/>
        <v>0.36794722905603316</v>
      </c>
      <c r="AO28" s="84">
        <f t="shared" si="10"/>
        <v>1.3597320730081564</v>
      </c>
      <c r="AP28" s="84">
        <f t="shared" si="11"/>
        <v>1.4843959254053729</v>
      </c>
      <c r="AQ28" s="84">
        <f t="shared" si="13"/>
        <v>1.1164486963494198</v>
      </c>
      <c r="AR28" s="34">
        <f t="shared" si="14"/>
        <v>-0.36794722905595312</v>
      </c>
      <c r="AS28" s="27"/>
      <c r="AT28" s="27"/>
      <c r="AU28" s="27"/>
      <c r="AV28" s="27"/>
      <c r="AW28" s="27"/>
      <c r="AX28" s="27"/>
      <c r="AY28" s="2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7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>
        <f t="shared" si="8"/>
        <v>0</v>
      </c>
      <c r="T29" s="23"/>
      <c r="U29" s="23">
        <f t="shared" si="4"/>
        <v>0</v>
      </c>
      <c r="V29" s="23">
        <f t="shared" si="5"/>
        <v>0</v>
      </c>
      <c r="W29" s="22">
        <f t="shared" si="9"/>
        <v>0</v>
      </c>
      <c r="X29" s="20">
        <f t="shared" si="0"/>
        <v>0</v>
      </c>
      <c r="Y29" s="4"/>
      <c r="Z29" s="8"/>
      <c r="AA29" s="3"/>
      <c r="AB29" s="52">
        <v>0</v>
      </c>
      <c r="AC29" s="53">
        <f t="shared" si="16"/>
        <v>0.11194029850746268</v>
      </c>
      <c r="AD29" s="54">
        <v>363522.64927626611</v>
      </c>
      <c r="AE29" s="55">
        <f t="shared" si="17"/>
        <v>0</v>
      </c>
      <c r="AF29" s="3"/>
      <c r="AG29" s="52">
        <v>0</v>
      </c>
      <c r="AH29" s="56">
        <f t="shared" si="19"/>
        <v>354585.04403827642</v>
      </c>
      <c r="AI29" s="54">
        <v>363522.64927626611</v>
      </c>
      <c r="AJ29" s="55">
        <f t="shared" si="20"/>
        <v>0</v>
      </c>
      <c r="AK29" s="3"/>
      <c r="AL29" s="82">
        <v>20</v>
      </c>
      <c r="AM29" s="83">
        <f t="shared" si="21"/>
        <v>20.928706594774425</v>
      </c>
      <c r="AN29" s="83">
        <f t="shared" si="12"/>
        <v>0.73589445811201826</v>
      </c>
      <c r="AO29" s="84">
        <f t="shared" si="10"/>
        <v>2.7194641460162643</v>
      </c>
      <c r="AP29" s="84">
        <f t="shared" si="11"/>
        <v>2.9687918508107138</v>
      </c>
      <c r="AQ29" s="84">
        <f t="shared" si="13"/>
        <v>2.2328973926987437</v>
      </c>
      <c r="AR29" s="34">
        <f t="shared" si="14"/>
        <v>-0.73589445811193821</v>
      </c>
      <c r="AS29" s="27"/>
      <c r="AT29" s="27"/>
      <c r="AU29" s="27"/>
      <c r="AV29" s="27"/>
      <c r="AW29" s="27"/>
      <c r="AX29" s="27"/>
      <c r="AY29" s="27"/>
    </row>
    <row r="30" spans="1:5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 t="s">
        <v>81</v>
      </c>
      <c r="J30" s="40"/>
      <c r="K30" s="10"/>
      <c r="L30" s="11"/>
      <c r="M30" s="3"/>
      <c r="N30" s="13">
        <f t="shared" si="7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>
        <f t="shared" si="8"/>
        <v>0</v>
      </c>
      <c r="T30" s="23"/>
      <c r="U30" s="23">
        <f t="shared" si="4"/>
        <v>0</v>
      </c>
      <c r="V30" s="23">
        <f t="shared" si="5"/>
        <v>0</v>
      </c>
      <c r="W30" s="22">
        <f t="shared" si="9"/>
        <v>0</v>
      </c>
      <c r="X30" s="20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0.12313432835820895</v>
      </c>
      <c r="AD30" s="31">
        <v>364860.22079126921</v>
      </c>
      <c r="AE30" s="33">
        <f t="shared" si="17"/>
        <v>0.36794722905603316</v>
      </c>
      <c r="AF30" s="3"/>
      <c r="AG30" s="29">
        <f t="shared" ref="AG30:AG34" si="23">AG29+10</f>
        <v>10</v>
      </c>
      <c r="AH30" s="32">
        <f t="shared" si="19"/>
        <v>390043.54844210407</v>
      </c>
      <c r="AI30" s="31">
        <v>401562.94361255638</v>
      </c>
      <c r="AJ30" s="33">
        <f t="shared" si="20"/>
        <v>10.464353297387204</v>
      </c>
      <c r="AK30" s="3"/>
      <c r="AL30" s="82">
        <v>30</v>
      </c>
      <c r="AM30" s="83">
        <f t="shared" si="21"/>
        <v>31.393059892161627</v>
      </c>
      <c r="AN30" s="83">
        <f t="shared" si="12"/>
        <v>1.1038416871680032</v>
      </c>
      <c r="AO30" s="84">
        <f t="shared" si="10"/>
        <v>4.0791962190244044</v>
      </c>
      <c r="AP30" s="84">
        <f t="shared" si="11"/>
        <v>4.4531877762160708</v>
      </c>
      <c r="AQ30" s="84">
        <f t="shared" si="13"/>
        <v>3.3493460890480988</v>
      </c>
      <c r="AR30" s="34">
        <f t="shared" si="14"/>
        <v>-1.1038416871679393</v>
      </c>
      <c r="AS30" s="27"/>
      <c r="AT30" s="27"/>
      <c r="AU30" s="27"/>
      <c r="AV30" s="27"/>
      <c r="AW30" s="27"/>
      <c r="AX30" s="27"/>
      <c r="AY30" s="27"/>
    </row>
    <row r="31" spans="1:51" ht="15.75" customHeight="1" x14ac:dyDescent="0.25">
      <c r="A31" s="26" t="s">
        <v>151</v>
      </c>
      <c r="B31" s="8">
        <f t="shared" ref="B31:B32" si="24">IF(B11=0,0,-(B11/100)*$B$48)</f>
        <v>0</v>
      </c>
      <c r="C31" s="3" t="s">
        <v>3</v>
      </c>
      <c r="D31" s="3"/>
      <c r="E31" s="18" t="s">
        <v>82</v>
      </c>
      <c r="F31" s="25">
        <f>(J21/100)*B52</f>
        <v>106375.51321148292</v>
      </c>
      <c r="G31" s="3" t="s">
        <v>3</v>
      </c>
      <c r="H31" s="3"/>
      <c r="I31" s="18" t="s">
        <v>83</v>
      </c>
      <c r="J31" s="27">
        <f>ROUNDDOWN(J11/(F12/J12),0)</f>
        <v>62</v>
      </c>
      <c r="K31" s="3" t="s">
        <v>50</v>
      </c>
      <c r="L31" s="17"/>
      <c r="M31" s="3"/>
      <c r="N31" s="13">
        <f t="shared" si="7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>
        <f t="shared" si="8"/>
        <v>0</v>
      </c>
      <c r="T31" s="23"/>
      <c r="U31" s="23">
        <f t="shared" si="4"/>
        <v>0</v>
      </c>
      <c r="V31" s="23">
        <f t="shared" si="5"/>
        <v>0</v>
      </c>
      <c r="W31" s="22">
        <f t="shared" si="9"/>
        <v>0</v>
      </c>
      <c r="X31" s="20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0.1343283582089552</v>
      </c>
      <c r="AD31" s="31">
        <v>366197.79230627214</v>
      </c>
      <c r="AE31" s="33">
        <f t="shared" si="17"/>
        <v>0.73589445811201826</v>
      </c>
      <c r="AF31" s="3"/>
      <c r="AG31" s="29">
        <f t="shared" si="23"/>
        <v>20</v>
      </c>
      <c r="AH31" s="32">
        <f t="shared" si="19"/>
        <v>425502.05284593167</v>
      </c>
      <c r="AI31" s="31">
        <v>439603.23794884671</v>
      </c>
      <c r="AJ31" s="33">
        <f t="shared" si="20"/>
        <v>20.928706594774425</v>
      </c>
      <c r="AK31" s="3"/>
      <c r="AL31" s="82">
        <v>40</v>
      </c>
      <c r="AM31" s="83">
        <f t="shared" si="21"/>
        <v>41.857413189548851</v>
      </c>
      <c r="AN31" s="83">
        <f t="shared" si="12"/>
        <v>1.4717889162239726</v>
      </c>
      <c r="AO31" s="84">
        <f t="shared" si="10"/>
        <v>5.4389282920325606</v>
      </c>
      <c r="AP31" s="84">
        <f t="shared" si="11"/>
        <v>5.9375837016213957</v>
      </c>
      <c r="AQ31" s="84">
        <f t="shared" si="13"/>
        <v>4.4657947853974713</v>
      </c>
      <c r="AR31" s="34">
        <f t="shared" si="14"/>
        <v>-1.4717889162239404</v>
      </c>
      <c r="AS31" s="27"/>
      <c r="AT31" s="27"/>
      <c r="AU31" s="27"/>
      <c r="AV31" s="27"/>
      <c r="AW31" s="27"/>
      <c r="AX31" s="27"/>
      <c r="AY31" s="27"/>
    </row>
    <row r="32" spans="1:51" ht="15.75" customHeight="1" x14ac:dyDescent="0.25">
      <c r="A32" s="26" t="s">
        <v>41</v>
      </c>
      <c r="B32" s="8">
        <f t="shared" si="24"/>
        <v>0</v>
      </c>
      <c r="C32" s="3" t="s">
        <v>3</v>
      </c>
      <c r="D32" s="3"/>
      <c r="E32" s="18" t="s">
        <v>84</v>
      </c>
      <c r="F32" s="8">
        <f>B52-F31</f>
        <v>248209.53082679352</v>
      </c>
      <c r="G32" s="3" t="s">
        <v>3</v>
      </c>
      <c r="H32" s="3"/>
      <c r="I32" s="18" t="s">
        <v>55</v>
      </c>
      <c r="J32" s="16">
        <f>IF(J24="Yes",SUM(F50:F51),0)</f>
        <v>0</v>
      </c>
      <c r="K32" s="3" t="s">
        <v>46</v>
      </c>
      <c r="L32" s="17"/>
      <c r="M32" s="3"/>
      <c r="N32" s="13">
        <f t="shared" si="7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>
        <f t="shared" si="8"/>
        <v>0</v>
      </c>
      <c r="T32" s="23"/>
      <c r="U32" s="23">
        <f t="shared" si="4"/>
        <v>0</v>
      </c>
      <c r="V32" s="23">
        <f t="shared" si="5"/>
        <v>0</v>
      </c>
      <c r="W32" s="22">
        <f t="shared" si="9"/>
        <v>0</v>
      </c>
      <c r="X32" s="20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0.1455223880597015</v>
      </c>
      <c r="AD32" s="31">
        <v>367535.36382127507</v>
      </c>
      <c r="AE32" s="33">
        <f t="shared" si="17"/>
        <v>1.1038416871680032</v>
      </c>
      <c r="AF32" s="3"/>
      <c r="AG32" s="29">
        <f t="shared" si="23"/>
        <v>30</v>
      </c>
      <c r="AH32" s="32">
        <f t="shared" si="19"/>
        <v>460960.55724975938</v>
      </c>
      <c r="AI32" s="31">
        <v>477643.53228513699</v>
      </c>
      <c r="AJ32" s="33">
        <f t="shared" si="20"/>
        <v>31.393059892161627</v>
      </c>
      <c r="AK32" s="3"/>
      <c r="AL32" s="82">
        <v>50</v>
      </c>
      <c r="AM32" s="83">
        <f t="shared" si="21"/>
        <v>52.321766486936106</v>
      </c>
      <c r="AN32" s="83">
        <f t="shared" si="12"/>
        <v>1.8397361452799414</v>
      </c>
      <c r="AO32" s="84">
        <f t="shared" si="10"/>
        <v>6.7986603650407016</v>
      </c>
      <c r="AP32" s="84">
        <f t="shared" si="11"/>
        <v>7.4219796270267206</v>
      </c>
      <c r="AQ32" s="84">
        <f t="shared" si="13"/>
        <v>5.5822434817468434</v>
      </c>
      <c r="AR32" s="34">
        <f t="shared" si="14"/>
        <v>-1.8397361452799095</v>
      </c>
      <c r="AS32" s="27"/>
      <c r="AT32" s="27"/>
      <c r="AU32" s="27"/>
      <c r="AV32" s="27"/>
      <c r="AW32" s="27"/>
      <c r="AX32" s="27"/>
      <c r="AY32" s="27"/>
    </row>
    <row r="33" spans="1:51" ht="15.75" customHeight="1" x14ac:dyDescent="0.25">
      <c r="A33" s="26" t="s">
        <v>47</v>
      </c>
      <c r="B33" s="8">
        <f>IF(B13=0,0,(B13/100)*B47)</f>
        <v>0</v>
      </c>
      <c r="C33" s="3" t="s">
        <v>3</v>
      </c>
      <c r="D33" s="3"/>
      <c r="E33" s="18" t="s">
        <v>85</v>
      </c>
      <c r="F33" s="25">
        <f>F32*(F23/100)*J20</f>
        <v>68257.62097736822</v>
      </c>
      <c r="G33" s="3" t="s">
        <v>3</v>
      </c>
      <c r="H33" s="3"/>
      <c r="I33" s="3"/>
      <c r="J33" s="3"/>
      <c r="K33" s="3"/>
      <c r="L33" s="17"/>
      <c r="M33" s="3"/>
      <c r="N33" s="13">
        <f t="shared" si="7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>
        <f t="shared" si="8"/>
        <v>0</v>
      </c>
      <c r="T33" s="23"/>
      <c r="U33" s="23">
        <f t="shared" si="4"/>
        <v>0</v>
      </c>
      <c r="V33" s="23">
        <f t="shared" si="5"/>
        <v>0</v>
      </c>
      <c r="W33" s="22">
        <f t="shared" si="9"/>
        <v>0</v>
      </c>
      <c r="X33" s="20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0.15671641791044774</v>
      </c>
      <c r="AD33" s="31">
        <v>368872.93533627794</v>
      </c>
      <c r="AE33" s="33">
        <f t="shared" si="17"/>
        <v>1.4717889162239726</v>
      </c>
      <c r="AF33" s="3"/>
      <c r="AG33" s="29">
        <f t="shared" si="23"/>
        <v>40</v>
      </c>
      <c r="AH33" s="32">
        <f t="shared" si="19"/>
        <v>496419.06165358698</v>
      </c>
      <c r="AI33" s="31">
        <v>515683.82662142732</v>
      </c>
      <c r="AJ33" s="33">
        <f t="shared" si="20"/>
        <v>41.857413189548851</v>
      </c>
      <c r="AK33" s="3"/>
      <c r="AL33" s="3"/>
      <c r="AM33" s="7"/>
      <c r="AN33" s="8"/>
      <c r="AO33" s="34"/>
      <c r="AP33" s="3"/>
      <c r="AQ33" s="27"/>
      <c r="AR33" s="27"/>
      <c r="AS33" s="27"/>
      <c r="AT33" s="27"/>
      <c r="AU33" s="27"/>
      <c r="AV33" s="27"/>
      <c r="AW33" s="27"/>
      <c r="AX33" s="27"/>
      <c r="AY33" s="27"/>
    </row>
    <row r="34" spans="1:51" ht="15.75" customHeight="1" x14ac:dyDescent="0.25">
      <c r="A34" s="26"/>
      <c r="B34" s="8"/>
      <c r="C34" s="3"/>
      <c r="D34" s="3"/>
      <c r="E34" s="3"/>
      <c r="F34" s="27"/>
      <c r="G34" s="3"/>
      <c r="H34" s="3"/>
      <c r="I34" s="18" t="s">
        <v>86</v>
      </c>
      <c r="J34" s="8">
        <f>F12*B5</f>
        <v>150000</v>
      </c>
      <c r="K34" s="3" t="s">
        <v>87</v>
      </c>
      <c r="L34" s="17"/>
      <c r="M34" s="3"/>
      <c r="N34" s="13">
        <f t="shared" si="7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>
        <f t="shared" si="8"/>
        <v>0</v>
      </c>
      <c r="T34" s="23"/>
      <c r="U34" s="23">
        <f t="shared" si="4"/>
        <v>0</v>
      </c>
      <c r="V34" s="23">
        <f t="shared" si="5"/>
        <v>0</v>
      </c>
      <c r="W34" s="22">
        <f t="shared" si="9"/>
        <v>0</v>
      </c>
      <c r="X34" s="20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0.16791044776119401</v>
      </c>
      <c r="AD34" s="31">
        <v>370210.50685128081</v>
      </c>
      <c r="AE34" s="33">
        <f t="shared" si="17"/>
        <v>1.8397361452799414</v>
      </c>
      <c r="AF34" s="3"/>
      <c r="AG34" s="29">
        <f t="shared" si="23"/>
        <v>50</v>
      </c>
      <c r="AH34" s="32">
        <f t="shared" si="19"/>
        <v>531877.56605741463</v>
      </c>
      <c r="AI34" s="31">
        <v>553724.12095771777</v>
      </c>
      <c r="AJ34" s="33">
        <f t="shared" si="20"/>
        <v>52.321766486936106</v>
      </c>
      <c r="AK34" s="3"/>
      <c r="AL34" s="3"/>
      <c r="AM34" s="7"/>
      <c r="AN34" s="8"/>
      <c r="AO34" s="34"/>
      <c r="AP34" s="3"/>
      <c r="AQ34" s="27"/>
      <c r="AR34" s="27"/>
      <c r="AS34" s="27"/>
      <c r="AT34" s="27"/>
      <c r="AU34" s="27"/>
      <c r="AV34" s="27"/>
      <c r="AW34" s="27"/>
      <c r="AX34" s="27"/>
      <c r="AY34" s="27"/>
    </row>
    <row r="35" spans="1:51" ht="15.75" customHeight="1" x14ac:dyDescent="0.25">
      <c r="A35" s="18" t="s">
        <v>54</v>
      </c>
      <c r="B35" s="5">
        <f t="shared" ref="B35:B36" si="25">IF(B15=0,0,(B15/100)*$B$49)</f>
        <v>55342.012983870962</v>
      </c>
      <c r="C35" s="3" t="s">
        <v>3</v>
      </c>
      <c r="D35" s="3"/>
      <c r="E35" s="1" t="s">
        <v>88</v>
      </c>
      <c r="F35" s="3"/>
      <c r="G35" s="3"/>
      <c r="H35" s="3"/>
      <c r="I35" s="3"/>
      <c r="J35" s="3"/>
      <c r="K35" s="3"/>
      <c r="L35" s="17"/>
      <c r="M35" s="3"/>
      <c r="N35" s="13">
        <f t="shared" si="7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>
        <f t="shared" si="8"/>
        <v>0</v>
      </c>
      <c r="T35" s="23"/>
      <c r="U35" s="23">
        <f t="shared" si="4"/>
        <v>0</v>
      </c>
      <c r="V35" s="23">
        <f t="shared" si="5"/>
        <v>0</v>
      </c>
      <c r="W35" s="22">
        <f t="shared" si="9"/>
        <v>0</v>
      </c>
      <c r="X35" s="20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6" t="s">
        <v>58</v>
      </c>
      <c r="B36" s="5">
        <f t="shared" si="25"/>
        <v>44871.902419354832</v>
      </c>
      <c r="C36" s="3" t="s">
        <v>3</v>
      </c>
      <c r="D36" s="3"/>
      <c r="E36" s="18" t="s">
        <v>27</v>
      </c>
      <c r="F36" s="21">
        <f>F13/$B$8</f>
        <v>0.11194029850746268</v>
      </c>
      <c r="G36" s="3" t="s">
        <v>28</v>
      </c>
      <c r="H36" s="3"/>
      <c r="I36" s="3"/>
      <c r="J36" s="3"/>
      <c r="K36" s="3"/>
      <c r="L36" s="17"/>
      <c r="M36" s="3"/>
      <c r="N36" s="13">
        <f t="shared" si="7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>
        <f t="shared" si="8"/>
        <v>0</v>
      </c>
      <c r="T36" s="23"/>
      <c r="U36" s="23">
        <f t="shared" si="4"/>
        <v>0</v>
      </c>
      <c r="V36" s="23">
        <f t="shared" si="5"/>
        <v>0</v>
      </c>
      <c r="W36" s="22">
        <f t="shared" si="9"/>
        <v>0</v>
      </c>
      <c r="X36" s="20">
        <f t="shared" si="0"/>
        <v>0</v>
      </c>
      <c r="Y36" s="4"/>
      <c r="Z36" s="8"/>
      <c r="AA36" s="3"/>
      <c r="AB36" s="28" t="s">
        <v>30</v>
      </c>
      <c r="AC36" s="29"/>
      <c r="AD36" s="29"/>
      <c r="AE36" s="29"/>
      <c r="AF36" s="3"/>
      <c r="AG36" s="28" t="s">
        <v>89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90</v>
      </c>
      <c r="F37" s="41">
        <f>(F21/((1-J14%)*J10))/B8</f>
        <v>0</v>
      </c>
      <c r="G37" s="3" t="s">
        <v>28</v>
      </c>
      <c r="H37" s="3"/>
      <c r="I37" s="1" t="s">
        <v>153</v>
      </c>
      <c r="J37" s="42">
        <f>SUM(J38:J42)</f>
        <v>5263.4626865671644</v>
      </c>
      <c r="K37" s="1" t="s">
        <v>46</v>
      </c>
      <c r="L37" s="17"/>
      <c r="M37" s="3"/>
      <c r="N37" s="13">
        <f t="shared" si="7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>
        <f t="shared" si="8"/>
        <v>0</v>
      </c>
      <c r="T37" s="23"/>
      <c r="U37" s="23">
        <f t="shared" si="4"/>
        <v>0</v>
      </c>
      <c r="V37" s="23">
        <f t="shared" si="5"/>
        <v>0</v>
      </c>
      <c r="W37" s="22">
        <f t="shared" si="9"/>
        <v>0</v>
      </c>
      <c r="X37" s="20">
        <f t="shared" si="0"/>
        <v>0</v>
      </c>
      <c r="Y37" s="4"/>
      <c r="Z37" s="8"/>
      <c r="AA37" s="3"/>
      <c r="AB37" s="29" t="s">
        <v>68</v>
      </c>
      <c r="AC37" s="29" t="s">
        <v>91</v>
      </c>
      <c r="AD37" s="29" t="s">
        <v>21</v>
      </c>
      <c r="AE37" s="29" t="s">
        <v>70</v>
      </c>
      <c r="AF37" s="3"/>
      <c r="AG37" s="29" t="s">
        <v>68</v>
      </c>
      <c r="AH37" s="29" t="s">
        <v>92</v>
      </c>
      <c r="AI37" s="29" t="s">
        <v>21</v>
      </c>
      <c r="AJ37" s="29" t="s">
        <v>70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93</v>
      </c>
      <c r="F38" s="41">
        <f>F36*J17</f>
        <v>0.11082089552238805</v>
      </c>
      <c r="G38" s="3" t="s">
        <v>4</v>
      </c>
      <c r="H38" s="3"/>
      <c r="I38" s="18" t="s">
        <v>138</v>
      </c>
      <c r="J38" s="16">
        <f>F17/$B$8</f>
        <v>0</v>
      </c>
      <c r="K38" s="3" t="s">
        <v>46</v>
      </c>
      <c r="L38" s="17"/>
      <c r="M38" s="3"/>
      <c r="N38" s="13">
        <f t="shared" si="7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>
        <f t="shared" si="8"/>
        <v>0</v>
      </c>
      <c r="T38" s="23"/>
      <c r="U38" s="23">
        <f t="shared" si="4"/>
        <v>0</v>
      </c>
      <c r="V38" s="23">
        <f t="shared" si="5"/>
        <v>0</v>
      </c>
      <c r="W38" s="22">
        <f t="shared" si="9"/>
        <v>0</v>
      </c>
      <c r="X38" s="20">
        <f t="shared" si="0"/>
        <v>0</v>
      </c>
      <c r="Y38" s="4"/>
      <c r="Z38" s="8"/>
      <c r="AA38" s="3"/>
      <c r="AB38" s="29" t="s">
        <v>74</v>
      </c>
      <c r="AC38" s="32">
        <v>38881.5</v>
      </c>
      <c r="AD38" s="31">
        <f>X49</f>
        <v>363522.64927626611</v>
      </c>
      <c r="AE38" s="29"/>
      <c r="AF38" s="3"/>
      <c r="AG38" s="29" t="s">
        <v>74</v>
      </c>
      <c r="AH38" s="32">
        <v>15000</v>
      </c>
      <c r="AI38" s="31">
        <f>X49</f>
        <v>363522.64927626611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6" t="s">
        <v>64</v>
      </c>
      <c r="B39" s="8">
        <f>B19/B8</f>
        <v>8748.3870967741932</v>
      </c>
      <c r="C39" s="3" t="s">
        <v>3</v>
      </c>
      <c r="D39" s="3"/>
      <c r="E39" s="3"/>
      <c r="F39" s="3"/>
      <c r="G39" s="3"/>
      <c r="H39" s="3"/>
      <c r="I39" s="18" t="s">
        <v>141</v>
      </c>
      <c r="J39" s="16">
        <f>F16/B8</f>
        <v>7.4626865671641784</v>
      </c>
      <c r="K39" s="3" t="s">
        <v>46</v>
      </c>
      <c r="L39" s="17"/>
      <c r="M39" s="3"/>
      <c r="N39" s="13">
        <f t="shared" si="7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>
        <f t="shared" si="8"/>
        <v>0</v>
      </c>
      <c r="T39" s="23"/>
      <c r="U39" s="23">
        <f t="shared" si="4"/>
        <v>0</v>
      </c>
      <c r="V39" s="23">
        <f t="shared" si="5"/>
        <v>0</v>
      </c>
      <c r="W39" s="22">
        <f t="shared" si="9"/>
        <v>0</v>
      </c>
      <c r="X39" s="20">
        <f t="shared" si="0"/>
        <v>0</v>
      </c>
      <c r="Y39" s="4"/>
      <c r="Z39" s="8"/>
      <c r="AA39" s="3"/>
      <c r="AB39" s="29">
        <f t="shared" ref="AB39:AB43" si="26">AB40-10</f>
        <v>-50</v>
      </c>
      <c r="AC39" s="32">
        <f t="shared" ref="AC39:AC49" si="27">$AC$38*(1+(AB39/100))</f>
        <v>19440.75</v>
      </c>
      <c r="AD39" s="31">
        <f t="dataTable" ref="AD39:AD49" dt2D="0" dtr="0" r1="B48" ca="1"/>
        <v>338807.97900197475</v>
      </c>
      <c r="AE39" s="33">
        <f t="shared" ref="AE39:AE49" si="28">100*((AD39-$AD$44)/$AD$44)</f>
        <v>-6.7986603650406847</v>
      </c>
      <c r="AF39" s="3"/>
      <c r="AG39" s="29">
        <f t="shared" ref="AG39:AG43" si="29">AG40-10</f>
        <v>-50</v>
      </c>
      <c r="AH39" s="32">
        <f t="shared" ref="AH39:AH49" si="30">$AH$38*(1+(AG39/100))</f>
        <v>7500</v>
      </c>
      <c r="AI39" s="31">
        <f t="dataTable" ref="AI39:AI49" dt2D="0" dtr="0" r1="F12" ca="1"/>
        <v>336542.07230735384</v>
      </c>
      <c r="AJ39" s="33">
        <f t="shared" ref="AJ39:AJ49" si="31">100*((AI39-$AI$44)/$AI$44)</f>
        <v>-7.4219796270267206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18" t="s">
        <v>94</v>
      </c>
      <c r="F40" s="16">
        <f>F37*F12*J17</f>
        <v>0</v>
      </c>
      <c r="G40" s="3" t="s">
        <v>46</v>
      </c>
      <c r="H40" s="3"/>
      <c r="I40" s="18"/>
      <c r="J40" s="16"/>
      <c r="K40" s="3"/>
      <c r="L40" s="17"/>
      <c r="M40" s="3"/>
      <c r="N40" s="13">
        <f t="shared" si="7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>
        <f t="shared" si="8"/>
        <v>0</v>
      </c>
      <c r="T40" s="23"/>
      <c r="U40" s="23">
        <f t="shared" si="4"/>
        <v>0</v>
      </c>
      <c r="V40" s="23">
        <f t="shared" si="5"/>
        <v>0</v>
      </c>
      <c r="W40" s="22">
        <f t="shared" si="9"/>
        <v>0</v>
      </c>
      <c r="X40" s="20">
        <f t="shared" si="0"/>
        <v>0</v>
      </c>
      <c r="Y40" s="4"/>
      <c r="Z40" s="8"/>
      <c r="AA40" s="3"/>
      <c r="AB40" s="29">
        <f t="shared" si="26"/>
        <v>-40</v>
      </c>
      <c r="AC40" s="32">
        <f t="shared" si="27"/>
        <v>23328.899999999998</v>
      </c>
      <c r="AD40" s="31">
        <v>343750.91305683297</v>
      </c>
      <c r="AE40" s="33">
        <f t="shared" si="28"/>
        <v>-5.4389282920325606</v>
      </c>
      <c r="AF40" s="3"/>
      <c r="AG40" s="29">
        <f t="shared" si="29"/>
        <v>-40</v>
      </c>
      <c r="AH40" s="32">
        <f t="shared" si="30"/>
        <v>9000</v>
      </c>
      <c r="AI40" s="31">
        <v>341938.18770113634</v>
      </c>
      <c r="AJ40" s="33">
        <f t="shared" si="31"/>
        <v>-5.9375837016213637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95</v>
      </c>
      <c r="F41" s="27">
        <f>F38*F12</f>
        <v>1662.3134328358208</v>
      </c>
      <c r="G41" s="3" t="s">
        <v>46</v>
      </c>
      <c r="H41" s="3"/>
      <c r="I41" s="3"/>
      <c r="J41" s="27"/>
      <c r="K41" s="3"/>
      <c r="L41" s="17"/>
      <c r="M41" s="3"/>
      <c r="N41" s="13">
        <f t="shared" si="7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>
        <f t="shared" si="8"/>
        <v>0</v>
      </c>
      <c r="T41" s="23"/>
      <c r="U41" s="23">
        <f t="shared" si="4"/>
        <v>0</v>
      </c>
      <c r="V41" s="23">
        <f t="shared" si="5"/>
        <v>0</v>
      </c>
      <c r="W41" s="22">
        <f t="shared" si="9"/>
        <v>0</v>
      </c>
      <c r="X41" s="20">
        <f t="shared" si="0"/>
        <v>0</v>
      </c>
      <c r="Y41" s="4"/>
      <c r="Z41" s="8"/>
      <c r="AA41" s="3"/>
      <c r="AB41" s="29">
        <f t="shared" si="26"/>
        <v>-30</v>
      </c>
      <c r="AC41" s="32">
        <f t="shared" si="27"/>
        <v>27217.05</v>
      </c>
      <c r="AD41" s="31">
        <v>348693.84711169131</v>
      </c>
      <c r="AE41" s="33">
        <f t="shared" si="28"/>
        <v>-4.0791962190244044</v>
      </c>
      <c r="AF41" s="3"/>
      <c r="AG41" s="29">
        <f t="shared" si="29"/>
        <v>-30</v>
      </c>
      <c r="AH41" s="32">
        <f t="shared" si="30"/>
        <v>10500</v>
      </c>
      <c r="AI41" s="31">
        <v>347334.30309491878</v>
      </c>
      <c r="AJ41" s="33">
        <f t="shared" si="31"/>
        <v>-4.4531877762160228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18" t="s">
        <v>45</v>
      </c>
      <c r="J42" s="43">
        <f>F22*F12/$B$8</f>
        <v>5256</v>
      </c>
      <c r="K42" s="3" t="s">
        <v>46</v>
      </c>
      <c r="L42" s="17"/>
      <c r="M42" s="3"/>
      <c r="N42" s="13">
        <f t="shared" si="7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>
        <f t="shared" si="8"/>
        <v>0</v>
      </c>
      <c r="T42" s="23"/>
      <c r="U42" s="23">
        <f t="shared" si="4"/>
        <v>0</v>
      </c>
      <c r="V42" s="23">
        <f t="shared" si="5"/>
        <v>0</v>
      </c>
      <c r="W42" s="22">
        <f t="shared" si="9"/>
        <v>0</v>
      </c>
      <c r="X42" s="20">
        <f t="shared" si="0"/>
        <v>0</v>
      </c>
      <c r="Y42" s="4"/>
      <c r="Z42" s="8"/>
      <c r="AA42" s="3"/>
      <c r="AB42" s="29">
        <f t="shared" si="26"/>
        <v>-20</v>
      </c>
      <c r="AC42" s="32">
        <f t="shared" si="27"/>
        <v>31105.200000000001</v>
      </c>
      <c r="AD42" s="31">
        <v>353636.78116654954</v>
      </c>
      <c r="AE42" s="33">
        <f t="shared" si="28"/>
        <v>-2.7194641460162803</v>
      </c>
      <c r="AF42" s="3"/>
      <c r="AG42" s="29">
        <f t="shared" si="29"/>
        <v>-20</v>
      </c>
      <c r="AH42" s="32">
        <f t="shared" si="30"/>
        <v>12000</v>
      </c>
      <c r="AI42" s="31">
        <v>352730.41848870128</v>
      </c>
      <c r="AJ42" s="33">
        <f t="shared" si="31"/>
        <v>-2.9687918508106659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7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>
        <f t="shared" si="8"/>
        <v>0</v>
      </c>
      <c r="T43" s="23"/>
      <c r="U43" s="23">
        <f t="shared" si="4"/>
        <v>0</v>
      </c>
      <c r="V43" s="23">
        <f t="shared" si="5"/>
        <v>0</v>
      </c>
      <c r="W43" s="22">
        <f t="shared" si="9"/>
        <v>0</v>
      </c>
      <c r="X43" s="20">
        <f t="shared" si="0"/>
        <v>0</v>
      </c>
      <c r="Y43" s="4"/>
      <c r="Z43" s="8"/>
      <c r="AA43" s="3"/>
      <c r="AB43" s="29">
        <f t="shared" si="26"/>
        <v>-10</v>
      </c>
      <c r="AC43" s="32">
        <f t="shared" si="27"/>
        <v>34993.35</v>
      </c>
      <c r="AD43" s="31">
        <v>358579.71522140782</v>
      </c>
      <c r="AE43" s="33">
        <f t="shared" si="28"/>
        <v>-1.3597320730081401</v>
      </c>
      <c r="AF43" s="3"/>
      <c r="AG43" s="29">
        <f t="shared" si="29"/>
        <v>-10</v>
      </c>
      <c r="AH43" s="32">
        <f t="shared" si="30"/>
        <v>13500</v>
      </c>
      <c r="AI43" s="31">
        <v>358126.53388248378</v>
      </c>
      <c r="AJ43" s="33">
        <f t="shared" si="31"/>
        <v>-1.4843959254053087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4" t="s">
        <v>96</v>
      </c>
      <c r="B44" s="4"/>
      <c r="C44" s="1"/>
      <c r="D44" s="3"/>
      <c r="E44" s="1" t="s">
        <v>129</v>
      </c>
      <c r="F44" s="3"/>
      <c r="G44" s="3"/>
      <c r="H44" s="3"/>
      <c r="I44" s="3"/>
      <c r="J44" s="3"/>
      <c r="K44" s="3"/>
      <c r="L44" s="17"/>
      <c r="M44" s="3"/>
      <c r="N44" s="13">
        <f t="shared" si="7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>
        <f t="shared" si="8"/>
        <v>0</v>
      </c>
      <c r="T44" s="23"/>
      <c r="U44" s="23">
        <f t="shared" si="4"/>
        <v>0</v>
      </c>
      <c r="V44" s="23">
        <f t="shared" si="5"/>
        <v>0</v>
      </c>
      <c r="W44" s="22">
        <f t="shared" si="9"/>
        <v>0</v>
      </c>
      <c r="X44" s="20">
        <f t="shared" si="0"/>
        <v>0</v>
      </c>
      <c r="Y44" s="4"/>
      <c r="Z44" s="8"/>
      <c r="AA44" s="3"/>
      <c r="AB44" s="52">
        <v>0</v>
      </c>
      <c r="AC44" s="57">
        <f t="shared" si="27"/>
        <v>38881.5</v>
      </c>
      <c r="AD44" s="54">
        <v>363522.64927626611</v>
      </c>
      <c r="AE44" s="55">
        <f t="shared" si="28"/>
        <v>0</v>
      </c>
      <c r="AF44" s="3"/>
      <c r="AG44" s="52">
        <v>0</v>
      </c>
      <c r="AH44" s="57">
        <f t="shared" si="30"/>
        <v>15000</v>
      </c>
      <c r="AI44" s="54">
        <v>363522.64927626611</v>
      </c>
      <c r="AJ44" s="55">
        <f t="shared" si="31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145</v>
      </c>
      <c r="B45" s="8">
        <f>J8/B8</f>
        <v>218709.67741935482</v>
      </c>
      <c r="C45" s="3" t="s">
        <v>3</v>
      </c>
      <c r="D45" s="3"/>
      <c r="E45" s="18" t="s">
        <v>130</v>
      </c>
      <c r="F45" s="66">
        <f>((1+(B16/100))*J9*J10)*(1+(B13%+B15%))</f>
        <v>46074.577499999992</v>
      </c>
      <c r="G45" s="3" t="s">
        <v>3</v>
      </c>
      <c r="H45" s="3"/>
      <c r="I45" s="1"/>
      <c r="J45" s="3"/>
      <c r="K45" s="3"/>
      <c r="L45" s="17"/>
      <c r="M45" s="3"/>
      <c r="N45" s="13">
        <f t="shared" si="7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>
        <f t="shared" si="8"/>
        <v>0</v>
      </c>
      <c r="T45" s="23"/>
      <c r="U45" s="23">
        <f t="shared" si="4"/>
        <v>0</v>
      </c>
      <c r="V45" s="23">
        <f t="shared" si="5"/>
        <v>0</v>
      </c>
      <c r="W45" s="22">
        <f t="shared" si="9"/>
        <v>0</v>
      </c>
      <c r="X45" s="20">
        <f t="shared" si="0"/>
        <v>0</v>
      </c>
      <c r="Y45" s="4"/>
      <c r="Z45" s="8"/>
      <c r="AA45" s="3"/>
      <c r="AB45" s="29">
        <f t="shared" ref="AB45:AB49" si="32">AB44+10</f>
        <v>10</v>
      </c>
      <c r="AC45" s="32">
        <f t="shared" si="27"/>
        <v>42769.65</v>
      </c>
      <c r="AD45" s="31">
        <v>368465.58333112445</v>
      </c>
      <c r="AE45" s="33">
        <f t="shared" si="28"/>
        <v>1.3597320730081564</v>
      </c>
      <c r="AF45" s="3"/>
      <c r="AG45" s="29">
        <f t="shared" ref="AG45:AG49" si="33">AG44+10</f>
        <v>10</v>
      </c>
      <c r="AH45" s="32">
        <f t="shared" si="30"/>
        <v>16500</v>
      </c>
      <c r="AI45" s="31">
        <v>368918.76467004867</v>
      </c>
      <c r="AJ45" s="33">
        <f t="shared" si="31"/>
        <v>1.4843959254053729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97</v>
      </c>
      <c r="B46" s="8">
        <f>IF(J24="No",J9*J10,0)</f>
        <v>33810</v>
      </c>
      <c r="C46" s="3" t="s">
        <v>3</v>
      </c>
      <c r="D46" s="3"/>
      <c r="E46" s="3" t="s">
        <v>131</v>
      </c>
      <c r="F46" s="66">
        <f>((J21%)*F45)+(((1-J21%)*F45)*(1+(F23%*J20)))</f>
        <v>54943.933668749982</v>
      </c>
      <c r="G46" s="3" t="s">
        <v>3</v>
      </c>
      <c r="H46" s="3"/>
      <c r="I46" s="18"/>
      <c r="J46" s="7"/>
      <c r="K46" s="3"/>
      <c r="L46" s="17"/>
      <c r="M46" s="3"/>
      <c r="N46" s="13">
        <f t="shared" si="7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>
        <f t="shared" si="8"/>
        <v>0</v>
      </c>
      <c r="T46" s="23"/>
      <c r="U46" s="23">
        <f t="shared" si="4"/>
        <v>0</v>
      </c>
      <c r="V46" s="23">
        <f t="shared" si="5"/>
        <v>0</v>
      </c>
      <c r="W46" s="22">
        <f t="shared" si="9"/>
        <v>0</v>
      </c>
      <c r="X46" s="20">
        <f t="shared" si="0"/>
        <v>0</v>
      </c>
      <c r="Y46" s="4"/>
      <c r="Z46" s="8"/>
      <c r="AA46" s="3"/>
      <c r="AB46" s="29">
        <f t="shared" si="32"/>
        <v>20</v>
      </c>
      <c r="AC46" s="32">
        <f t="shared" si="27"/>
        <v>46657.799999999996</v>
      </c>
      <c r="AD46" s="31">
        <v>373408.51738598262</v>
      </c>
      <c r="AE46" s="33">
        <f t="shared" si="28"/>
        <v>2.7194641460162643</v>
      </c>
      <c r="AF46" s="3"/>
      <c r="AG46" s="29">
        <f t="shared" si="33"/>
        <v>20</v>
      </c>
      <c r="AH46" s="32">
        <f t="shared" si="30"/>
        <v>18000</v>
      </c>
      <c r="AI46" s="31">
        <v>374314.88006383111</v>
      </c>
      <c r="AJ46" s="33">
        <f t="shared" si="31"/>
        <v>2.9687918508107138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6" t="s">
        <v>98</v>
      </c>
      <c r="B47" s="25">
        <f>(1+(B16/100))*B45</f>
        <v>251516.12903225803</v>
      </c>
      <c r="C47" s="3" t="s">
        <v>3</v>
      </c>
      <c r="D47" s="3"/>
      <c r="E47" s="3" t="s">
        <v>83</v>
      </c>
      <c r="F47" s="66">
        <f>J12*J11</f>
        <v>940000</v>
      </c>
      <c r="G47" s="3" t="s">
        <v>87</v>
      </c>
      <c r="H47" s="3"/>
      <c r="I47" s="3"/>
      <c r="J47" s="3"/>
      <c r="K47" s="3"/>
      <c r="L47" s="17"/>
      <c r="M47" s="3"/>
      <c r="N47" s="13">
        <f t="shared" si="7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>
        <f t="shared" si="8"/>
        <v>0</v>
      </c>
      <c r="T47" s="23"/>
      <c r="U47" s="23">
        <f t="shared" si="4"/>
        <v>0</v>
      </c>
      <c r="V47" s="23">
        <f t="shared" si="5"/>
        <v>0</v>
      </c>
      <c r="W47" s="22">
        <f t="shared" si="9"/>
        <v>0</v>
      </c>
      <c r="X47" s="20">
        <f t="shared" si="0"/>
        <v>0</v>
      </c>
      <c r="Y47" s="4"/>
      <c r="Z47" s="8"/>
      <c r="AA47" s="3"/>
      <c r="AB47" s="29">
        <f t="shared" si="32"/>
        <v>30</v>
      </c>
      <c r="AC47" s="32">
        <f t="shared" si="27"/>
        <v>50545.950000000004</v>
      </c>
      <c r="AD47" s="31">
        <v>378351.4514408409</v>
      </c>
      <c r="AE47" s="33">
        <f t="shared" si="28"/>
        <v>4.0791962190244044</v>
      </c>
      <c r="AF47" s="3"/>
      <c r="AG47" s="29">
        <f t="shared" si="33"/>
        <v>30</v>
      </c>
      <c r="AH47" s="32">
        <f t="shared" si="30"/>
        <v>19500</v>
      </c>
      <c r="AI47" s="31">
        <v>379710.99545761361</v>
      </c>
      <c r="AJ47" s="33">
        <f t="shared" si="31"/>
        <v>4.4531877762160708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6" t="s">
        <v>99</v>
      </c>
      <c r="B48" s="5">
        <f>(1+(B16/100))*B46</f>
        <v>38881.5</v>
      </c>
      <c r="C48" s="3" t="s">
        <v>3</v>
      </c>
      <c r="D48" s="3"/>
      <c r="E48" s="3" t="s">
        <v>132</v>
      </c>
      <c r="F48" s="67">
        <f>(F46/F47)*J25</f>
        <v>7.598629124401593E-2</v>
      </c>
      <c r="G48" s="3" t="s">
        <v>4</v>
      </c>
      <c r="H48" s="3"/>
      <c r="I48" s="3"/>
      <c r="J48" s="3"/>
      <c r="K48" s="3"/>
      <c r="L48" s="17"/>
      <c r="M48" s="3"/>
      <c r="N48" s="13">
        <f t="shared" si="7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>
        <f t="shared" si="8"/>
        <v>0</v>
      </c>
      <c r="T48" s="23"/>
      <c r="U48" s="23">
        <f t="shared" si="4"/>
        <v>0</v>
      </c>
      <c r="V48" s="23">
        <f t="shared" si="5"/>
        <v>0</v>
      </c>
      <c r="W48" s="22">
        <f t="shared" si="9"/>
        <v>0</v>
      </c>
      <c r="X48" s="20">
        <f t="shared" si="0"/>
        <v>0</v>
      </c>
      <c r="Y48" s="4"/>
      <c r="Z48" s="8"/>
      <c r="AA48" s="3"/>
      <c r="AB48" s="29">
        <f t="shared" si="32"/>
        <v>40</v>
      </c>
      <c r="AC48" s="32">
        <f t="shared" si="27"/>
        <v>54434.1</v>
      </c>
      <c r="AD48" s="31">
        <v>383294.38549569924</v>
      </c>
      <c r="AE48" s="33">
        <f t="shared" si="28"/>
        <v>5.4389282920325606</v>
      </c>
      <c r="AF48" s="3"/>
      <c r="AG48" s="29">
        <f t="shared" si="33"/>
        <v>40</v>
      </c>
      <c r="AH48" s="32">
        <f t="shared" si="30"/>
        <v>21000</v>
      </c>
      <c r="AI48" s="31">
        <v>385107.11085139599</v>
      </c>
      <c r="AJ48" s="33">
        <f t="shared" si="31"/>
        <v>5.9375837016213957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100</v>
      </c>
      <c r="B49" s="25">
        <f>B47+B48+B39</f>
        <v>299146.01612903224</v>
      </c>
      <c r="C49" s="3" t="s">
        <v>3</v>
      </c>
      <c r="D49" s="3"/>
      <c r="E49" s="3" t="s">
        <v>133</v>
      </c>
      <c r="F49" s="8">
        <f>J26*365</f>
        <v>42887.5</v>
      </c>
      <c r="G49" s="3" t="s">
        <v>40</v>
      </c>
      <c r="H49" s="3"/>
      <c r="I49" s="3"/>
      <c r="J49" s="3"/>
      <c r="K49" s="3"/>
      <c r="L49" s="17"/>
      <c r="M49" s="3"/>
      <c r="N49" s="14" t="s">
        <v>101</v>
      </c>
      <c r="O49" s="20">
        <f t="shared" ref="O49:S49" si="34">SUM(O8:O48)</f>
        <v>106375.51321148292</v>
      </c>
      <c r="P49" s="20">
        <f t="shared" si="34"/>
        <v>274027.43015142006</v>
      </c>
      <c r="Q49" s="20">
        <f t="shared" si="34"/>
        <v>13375.715150029268</v>
      </c>
      <c r="R49" s="20">
        <f t="shared" si="34"/>
        <v>0</v>
      </c>
      <c r="S49" s="20">
        <f t="shared" si="34"/>
        <v>40643.063675326601</v>
      </c>
      <c r="T49" s="20"/>
      <c r="U49" s="20">
        <f t="shared" ref="U49:X49" si="35">SUM(U8:U48)</f>
        <v>0</v>
      </c>
      <c r="V49" s="20">
        <f t="shared" si="35"/>
        <v>0</v>
      </c>
      <c r="W49" s="20">
        <f t="shared" si="35"/>
        <v>-70899.072911992625</v>
      </c>
      <c r="X49" s="20">
        <f t="shared" si="35"/>
        <v>363522.64927626611</v>
      </c>
      <c r="Y49" s="4"/>
      <c r="Z49" s="4"/>
      <c r="AA49" s="3"/>
      <c r="AB49" s="29">
        <f t="shared" si="32"/>
        <v>50</v>
      </c>
      <c r="AC49" s="32">
        <f t="shared" si="27"/>
        <v>58322.25</v>
      </c>
      <c r="AD49" s="31">
        <v>388237.31955055753</v>
      </c>
      <c r="AE49" s="33">
        <f t="shared" si="28"/>
        <v>6.7986603650407016</v>
      </c>
      <c r="AF49" s="3"/>
      <c r="AG49" s="29">
        <f t="shared" si="33"/>
        <v>50</v>
      </c>
      <c r="AH49" s="32">
        <f t="shared" si="30"/>
        <v>22500</v>
      </c>
      <c r="AI49" s="31">
        <v>390503.22624517838</v>
      </c>
      <c r="AJ49" s="33">
        <f t="shared" si="31"/>
        <v>7.4219796270267206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6" t="s">
        <v>102</v>
      </c>
      <c r="B50" s="8">
        <f>B49+B35+B37+B38+B40</f>
        <v>354585.04403827642</v>
      </c>
      <c r="C50" s="3" t="s">
        <v>3</v>
      </c>
      <c r="D50" s="3"/>
      <c r="E50" s="3" t="s">
        <v>134</v>
      </c>
      <c r="F50" s="5">
        <f>F48*F49</f>
        <v>3258.8620657277334</v>
      </c>
      <c r="G50" s="68" t="s">
        <v>46</v>
      </c>
      <c r="H50" s="3"/>
      <c r="I50" s="3"/>
      <c r="J50" s="3"/>
      <c r="K50" s="3"/>
      <c r="L50" s="17"/>
      <c r="M50" s="3"/>
      <c r="N50" s="3"/>
      <c r="O50" s="3"/>
      <c r="P50" s="8"/>
      <c r="Q50" s="3"/>
      <c r="R50" s="3"/>
      <c r="S50" s="3"/>
      <c r="T50" s="3"/>
      <c r="U50" s="3"/>
      <c r="V50" s="3"/>
      <c r="W50" s="3"/>
      <c r="X50" s="25"/>
      <c r="Y50" s="25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6" t="s">
        <v>152</v>
      </c>
      <c r="B51" s="8">
        <f>SUM(B31:B32)</f>
        <v>0</v>
      </c>
      <c r="C51" s="3" t="s">
        <v>3</v>
      </c>
      <c r="D51" s="3"/>
      <c r="E51" s="3" t="s">
        <v>135</v>
      </c>
      <c r="F51" s="69">
        <f>IF(F12&gt;F49,(F12-F49)*F48,0)</f>
        <v>0</v>
      </c>
      <c r="G51" s="68" t="s">
        <v>46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45</v>
      </c>
      <c r="AC51" s="29"/>
      <c r="AD51" s="29"/>
      <c r="AE51" s="29"/>
      <c r="AF51" s="3"/>
      <c r="AG51" s="28" t="s">
        <v>127</v>
      </c>
      <c r="AH51" s="29"/>
      <c r="AI51" s="29"/>
      <c r="AJ51" s="29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6" t="s">
        <v>144</v>
      </c>
      <c r="B52" s="8">
        <f>B50-B51</f>
        <v>354585.04403827642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68</v>
      </c>
      <c r="AC52" s="29" t="s">
        <v>103</v>
      </c>
      <c r="AD52" s="29" t="s">
        <v>21</v>
      </c>
      <c r="AE52" s="29" t="s">
        <v>70</v>
      </c>
      <c r="AF52" s="3"/>
      <c r="AG52" s="29" t="s">
        <v>68</v>
      </c>
      <c r="AH52" s="29" t="s">
        <v>136</v>
      </c>
      <c r="AI52" s="29" t="s">
        <v>21</v>
      </c>
      <c r="AJ52" s="29" t="s">
        <v>70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74</v>
      </c>
      <c r="AC53" s="32">
        <v>5256</v>
      </c>
      <c r="AD53" s="31">
        <f>X49</f>
        <v>363522.64927626611</v>
      </c>
      <c r="AE53" s="29"/>
      <c r="AF53" s="3"/>
      <c r="AG53" s="29" t="s">
        <v>74</v>
      </c>
      <c r="AH53" s="32">
        <v>1000</v>
      </c>
      <c r="AI53" s="31">
        <f>X49</f>
        <v>363522.64927626611</v>
      </c>
      <c r="AJ53" s="29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45"/>
      <c r="V54" s="47"/>
      <c r="W54" s="3"/>
      <c r="X54" s="27"/>
      <c r="Y54" s="27"/>
      <c r="Z54" s="47"/>
      <c r="AA54" s="27"/>
      <c r="AB54" s="29">
        <f t="shared" ref="AB54:AB58" si="36">AB55-10</f>
        <v>-50</v>
      </c>
      <c r="AC54" s="32">
        <f t="shared" ref="AC54:AC64" si="37">$AC$53*(1+(AB54/100))</f>
        <v>2628</v>
      </c>
      <c r="AD54" s="31">
        <f t="dataTable" ref="AD54:AD64" dt2D="0" dtr="0" r1="J42" ca="1"/>
        <v>343229.92988236848</v>
      </c>
      <c r="AE54" s="33">
        <f t="shared" ref="AE54:AE64" si="38">100*((AD54-$AD$59)/$AD$59)</f>
        <v>-5.5822434817467954</v>
      </c>
      <c r="AF54" s="3"/>
      <c r="AG54" s="29">
        <f t="shared" ref="AG54:AG56" si="39">AG55-20</f>
        <v>-100</v>
      </c>
      <c r="AH54" s="32">
        <f>$AH$53*(1+(AG54/100))</f>
        <v>0</v>
      </c>
      <c r="AI54" s="31">
        <f t="dataTable" ref="AI54:AI64" dt2D="0" dtr="0" r1="J26" ca="1"/>
        <v>363522.64927626611</v>
      </c>
      <c r="AJ54" s="33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380402.94336290297</v>
      </c>
      <c r="Q55" s="3" t="s">
        <v>3</v>
      </c>
      <c r="R55" s="48">
        <f t="shared" ref="R55:R59" si="40">P55/$J$34</f>
        <v>2.536019622419353</v>
      </c>
      <c r="S55" s="3" t="s">
        <v>4</v>
      </c>
      <c r="T55" s="3"/>
      <c r="U55" s="3"/>
      <c r="V55" s="47"/>
      <c r="W55" s="3"/>
      <c r="X55" s="27"/>
      <c r="Y55" s="27"/>
      <c r="Z55" s="47"/>
      <c r="AA55" s="27"/>
      <c r="AB55" s="29">
        <f t="shared" si="36"/>
        <v>-40</v>
      </c>
      <c r="AC55" s="32">
        <f t="shared" si="37"/>
        <v>3153.6</v>
      </c>
      <c r="AD55" s="31">
        <v>347288.47376114794</v>
      </c>
      <c r="AE55" s="33">
        <f t="shared" si="38"/>
        <v>-4.4657947853974553</v>
      </c>
      <c r="AF55" s="3"/>
      <c r="AG55" s="29">
        <f t="shared" si="39"/>
        <v>-80</v>
      </c>
      <c r="AH55" s="32">
        <f t="shared" ref="AH55:AH64" si="41">$AH$53*(1+(AG55/100))</f>
        <v>199.99999999999994</v>
      </c>
      <c r="AI55" s="31">
        <v>363522.64927626611</v>
      </c>
      <c r="AJ55" s="33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SUM(Q49:R49)</f>
        <v>13375.715150029268</v>
      </c>
      <c r="Q56" s="3" t="s">
        <v>3</v>
      </c>
      <c r="R56" s="48">
        <f t="shared" si="40"/>
        <v>8.9171434333528449E-2</v>
      </c>
      <c r="S56" s="3" t="s">
        <v>4</v>
      </c>
      <c r="T56" s="3"/>
      <c r="U56" s="3"/>
      <c r="V56" s="47"/>
      <c r="W56" s="3"/>
      <c r="X56" s="27"/>
      <c r="Y56" s="27"/>
      <c r="Z56" s="47"/>
      <c r="AA56" s="27"/>
      <c r="AB56" s="29">
        <f t="shared" si="36"/>
        <v>-30</v>
      </c>
      <c r="AC56" s="32">
        <f t="shared" si="37"/>
        <v>3679.2</v>
      </c>
      <c r="AD56" s="31">
        <v>351347.01763992757</v>
      </c>
      <c r="AE56" s="33">
        <f t="shared" si="38"/>
        <v>-3.3493460890480673</v>
      </c>
      <c r="AF56" s="3"/>
      <c r="AG56" s="29">
        <f t="shared" si="39"/>
        <v>-60</v>
      </c>
      <c r="AH56" s="32">
        <f t="shared" si="41"/>
        <v>400</v>
      </c>
      <c r="AI56" s="31">
        <v>363522.64927626611</v>
      </c>
      <c r="AJ56" s="33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SUM(S49:T49)</f>
        <v>40643.063675326601</v>
      </c>
      <c r="Q57" s="3" t="s">
        <v>3</v>
      </c>
      <c r="R57" s="48">
        <f t="shared" si="40"/>
        <v>0.27095375783551068</v>
      </c>
      <c r="S57" s="3" t="s">
        <v>4</v>
      </c>
      <c r="T57" s="3"/>
      <c r="U57" s="3"/>
      <c r="V57" s="47"/>
      <c r="W57" s="3"/>
      <c r="X57" s="27"/>
      <c r="Y57" s="27"/>
      <c r="Z57" s="47"/>
      <c r="AA57" s="27"/>
      <c r="AB57" s="29">
        <f t="shared" si="36"/>
        <v>-20</v>
      </c>
      <c r="AC57" s="32">
        <f t="shared" si="37"/>
        <v>4204.8</v>
      </c>
      <c r="AD57" s="31">
        <v>355405.56151870714</v>
      </c>
      <c r="AE57" s="33">
        <f t="shared" si="38"/>
        <v>-2.2328973926986952</v>
      </c>
      <c r="AF57" s="3"/>
      <c r="AG57" s="29">
        <f>AG58-20</f>
        <v>-40</v>
      </c>
      <c r="AH57" s="32">
        <f t="shared" si="41"/>
        <v>600</v>
      </c>
      <c r="AI57" s="31">
        <v>363522.64927626611</v>
      </c>
      <c r="AJ57" s="33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107</v>
      </c>
      <c r="P58" s="25">
        <f>SUM(U49:V49)</f>
        <v>0</v>
      </c>
      <c r="Q58" s="3" t="s">
        <v>3</v>
      </c>
      <c r="R58" s="48">
        <f t="shared" si="40"/>
        <v>0</v>
      </c>
      <c r="S58" s="3" t="s">
        <v>4</v>
      </c>
      <c r="T58" s="3"/>
      <c r="U58" s="3"/>
      <c r="V58" s="47"/>
      <c r="W58" s="3"/>
      <c r="X58" s="27"/>
      <c r="Y58" s="27"/>
      <c r="Z58" s="47"/>
      <c r="AA58" s="27"/>
      <c r="AB58" s="29">
        <f t="shared" si="36"/>
        <v>-10</v>
      </c>
      <c r="AC58" s="32">
        <f t="shared" si="37"/>
        <v>4730.4000000000005</v>
      </c>
      <c r="AD58" s="31">
        <v>359464.10539748659</v>
      </c>
      <c r="AE58" s="33">
        <f t="shared" si="38"/>
        <v>-1.1164486963493556</v>
      </c>
      <c r="AF58" s="3"/>
      <c r="AG58" s="29">
        <f>AG59-20</f>
        <v>-20</v>
      </c>
      <c r="AH58" s="32">
        <f t="shared" si="41"/>
        <v>800</v>
      </c>
      <c r="AI58" s="31">
        <v>363522.64927626611</v>
      </c>
      <c r="AJ58" s="33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143</v>
      </c>
      <c r="P59" s="25">
        <f>W49</f>
        <v>-70899.072911992625</v>
      </c>
      <c r="Q59" s="3" t="s">
        <v>3</v>
      </c>
      <c r="R59" s="48">
        <f t="shared" si="40"/>
        <v>-0.47266048607995081</v>
      </c>
      <c r="S59" s="3" t="s">
        <v>4</v>
      </c>
      <c r="T59" s="3"/>
      <c r="U59" s="3"/>
      <c r="V59" s="47"/>
      <c r="W59" s="3"/>
      <c r="X59" s="27"/>
      <c r="Y59" s="27"/>
      <c r="Z59" s="47"/>
      <c r="AA59" s="27"/>
      <c r="AB59" s="38">
        <v>0</v>
      </c>
      <c r="AC59" s="57">
        <f t="shared" si="37"/>
        <v>5256</v>
      </c>
      <c r="AD59" s="54">
        <v>363522.64927626611</v>
      </c>
      <c r="AE59" s="55">
        <f t="shared" si="38"/>
        <v>0</v>
      </c>
      <c r="AF59" s="3"/>
      <c r="AG59" s="38">
        <v>0</v>
      </c>
      <c r="AH59" s="56">
        <f t="shared" si="41"/>
        <v>1000</v>
      </c>
      <c r="AI59" s="39">
        <v>363522.64927626611</v>
      </c>
      <c r="AJ59" s="5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363522.64927626622</v>
      </c>
      <c r="Q60" s="1" t="s">
        <v>3</v>
      </c>
      <c r="R60" s="43">
        <f>SUM(R55:R59)</f>
        <v>2.4234843285084415</v>
      </c>
      <c r="S60" s="1" t="s">
        <v>4</v>
      </c>
      <c r="T60" s="1"/>
      <c r="U60" s="3"/>
      <c r="V60" s="47"/>
      <c r="W60" s="3"/>
      <c r="X60" s="27"/>
      <c r="Y60" s="27"/>
      <c r="Z60" s="47"/>
      <c r="AA60" s="27"/>
      <c r="AB60" s="29">
        <f t="shared" ref="AB60:AB64" si="43">AB59+10</f>
        <v>10</v>
      </c>
      <c r="AC60" s="32">
        <f t="shared" si="37"/>
        <v>5781.6</v>
      </c>
      <c r="AD60" s="31">
        <v>367581.19315504585</v>
      </c>
      <c r="AE60" s="33">
        <f t="shared" si="38"/>
        <v>1.1164486963494198</v>
      </c>
      <c r="AF60" s="3"/>
      <c r="AG60" s="29">
        <f>AG59+20</f>
        <v>20</v>
      </c>
      <c r="AH60" s="32">
        <f t="shared" si="41"/>
        <v>1200</v>
      </c>
      <c r="AI60" s="31">
        <v>363522.64927626611</v>
      </c>
      <c r="AJ60" s="33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7"/>
      <c r="W61" s="3"/>
      <c r="X61" s="27"/>
      <c r="Y61" s="27"/>
      <c r="Z61" s="47"/>
      <c r="AA61" s="27"/>
      <c r="AB61" s="29">
        <f t="shared" si="43"/>
        <v>20</v>
      </c>
      <c r="AC61" s="32">
        <f t="shared" si="37"/>
        <v>6307.2</v>
      </c>
      <c r="AD61" s="31">
        <v>371639.73703382525</v>
      </c>
      <c r="AE61" s="33">
        <f t="shared" si="38"/>
        <v>2.2328973926987437</v>
      </c>
      <c r="AF61" s="3"/>
      <c r="AG61" s="29">
        <f t="shared" ref="AG61:AG64" si="44">AG60+20</f>
        <v>40</v>
      </c>
      <c r="AH61" s="32">
        <f t="shared" si="41"/>
        <v>1400</v>
      </c>
      <c r="AI61" s="31">
        <v>363522.64927626611</v>
      </c>
      <c r="AJ61" s="33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7"/>
      <c r="W62" s="3"/>
      <c r="X62" s="27"/>
      <c r="Y62" s="27"/>
      <c r="Z62" s="47"/>
      <c r="AA62" s="27"/>
      <c r="AB62" s="29">
        <f t="shared" si="43"/>
        <v>30</v>
      </c>
      <c r="AC62" s="32">
        <f t="shared" si="37"/>
        <v>6832.8</v>
      </c>
      <c r="AD62" s="31">
        <v>375698.28091260477</v>
      </c>
      <c r="AE62" s="33">
        <f t="shared" si="38"/>
        <v>3.3493460890480988</v>
      </c>
      <c r="AF62" s="3"/>
      <c r="AG62" s="29">
        <f t="shared" si="44"/>
        <v>60</v>
      </c>
      <c r="AH62" s="32">
        <f t="shared" si="41"/>
        <v>1600</v>
      </c>
      <c r="AI62" s="31">
        <v>363522.64927626611</v>
      </c>
      <c r="AJ62" s="33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7"/>
      <c r="W63" s="3"/>
      <c r="X63" s="27"/>
      <c r="Y63" s="27"/>
      <c r="Z63" s="47"/>
      <c r="AA63" s="27"/>
      <c r="AB63" s="29">
        <f t="shared" si="43"/>
        <v>40</v>
      </c>
      <c r="AC63" s="32">
        <f t="shared" si="37"/>
        <v>7358.4</v>
      </c>
      <c r="AD63" s="31">
        <v>379756.82479138434</v>
      </c>
      <c r="AE63" s="33">
        <f t="shared" si="38"/>
        <v>4.4657947853974713</v>
      </c>
      <c r="AF63" s="3"/>
      <c r="AG63" s="29">
        <f t="shared" si="44"/>
        <v>80</v>
      </c>
      <c r="AH63" s="32">
        <f t="shared" si="41"/>
        <v>1800</v>
      </c>
      <c r="AI63" s="31">
        <v>363522.64927626611</v>
      </c>
      <c r="AJ63" s="33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7"/>
      <c r="W64" s="3"/>
      <c r="X64" s="27"/>
      <c r="Y64" s="27"/>
      <c r="Z64" s="47"/>
      <c r="AA64" s="27"/>
      <c r="AB64" s="29">
        <f t="shared" si="43"/>
        <v>50</v>
      </c>
      <c r="AC64" s="32">
        <f t="shared" si="37"/>
        <v>7884</v>
      </c>
      <c r="AD64" s="31">
        <v>383815.36867016391</v>
      </c>
      <c r="AE64" s="33">
        <f t="shared" si="38"/>
        <v>5.5822434817468434</v>
      </c>
      <c r="AF64" s="3"/>
      <c r="AG64" s="29">
        <f t="shared" si="44"/>
        <v>100</v>
      </c>
      <c r="AH64" s="32">
        <f t="shared" si="41"/>
        <v>2000</v>
      </c>
      <c r="AI64" s="31">
        <v>363522.64927626611</v>
      </c>
      <c r="AJ64" s="33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7"/>
      <c r="W65" s="3"/>
      <c r="X65" s="27"/>
      <c r="Y65" s="27"/>
      <c r="Z65" s="47"/>
      <c r="AA65" s="27"/>
      <c r="AB65" s="3"/>
      <c r="AC65" s="3"/>
      <c r="AD65" s="3"/>
      <c r="AE65" s="3"/>
      <c r="AF65" s="3"/>
      <c r="AG65" s="3"/>
      <c r="AH65" s="7"/>
      <c r="AI65" s="8"/>
      <c r="AJ65" s="34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7"/>
      <c r="W66" s="3"/>
      <c r="X66" s="27"/>
      <c r="Y66" s="27"/>
      <c r="Z66" s="47"/>
      <c r="AA66" s="27"/>
      <c r="AB66" s="28" t="s">
        <v>172</v>
      </c>
      <c r="AC66" s="29"/>
      <c r="AD66" s="29"/>
      <c r="AE66" s="29"/>
      <c r="AF66" s="3"/>
      <c r="AG66" s="3"/>
      <c r="AH66" s="7"/>
      <c r="AI66" s="8"/>
      <c r="AJ66" s="34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7"/>
      <c r="W67" s="3"/>
      <c r="X67" s="27"/>
      <c r="Y67" s="27"/>
      <c r="Z67" s="47"/>
      <c r="AA67" s="27"/>
      <c r="AB67" s="29" t="s">
        <v>68</v>
      </c>
      <c r="AC67" s="29" t="s">
        <v>172</v>
      </c>
      <c r="AD67" s="29" t="s">
        <v>21</v>
      </c>
      <c r="AE67" s="29" t="s">
        <v>70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7"/>
      <c r="W68" s="3"/>
      <c r="X68" s="27"/>
      <c r="Y68" s="27"/>
      <c r="Z68" s="47"/>
      <c r="AA68" s="27"/>
      <c r="AB68" s="29" t="s">
        <v>74</v>
      </c>
      <c r="AC68" s="30">
        <v>0.99</v>
      </c>
      <c r="AD68" s="31">
        <f>X49</f>
        <v>363522.64927626611</v>
      </c>
      <c r="AE68" s="29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9"/>
      <c r="Y69" s="49"/>
      <c r="Z69" s="3"/>
      <c r="AA69" s="49"/>
      <c r="AB69" s="29">
        <f t="shared" ref="AB69:AB73" si="45">AB70-10</f>
        <v>-50</v>
      </c>
      <c r="AC69" s="30">
        <f>$AC$68*(1-(AB69/100))</f>
        <v>1.4849999999999999</v>
      </c>
      <c r="AD69" s="31">
        <f t="dataTable" ref="AD69:AD79" dt2D="0" dtr="0" r1="J17" ca="1"/>
        <v>370210.50685128081</v>
      </c>
      <c r="AE69" s="33">
        <f>100*((AD69-$AD$74)/$AD$74)</f>
        <v>1.8397361452799414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9">
        <f t="shared" si="45"/>
        <v>-40</v>
      </c>
      <c r="AC70" s="30">
        <f t="shared" ref="AC70:AC73" si="46">$AC$68*(1-(AB70/100))</f>
        <v>1.3859999999999999</v>
      </c>
      <c r="AD70" s="31">
        <v>368872.93533627794</v>
      </c>
      <c r="AE70" s="33">
        <f t="shared" ref="AE70:AE79" si="47">100*((AD70-$AD$74)/$AD$74)</f>
        <v>1.4717889162239726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9">
        <f t="shared" si="45"/>
        <v>-30</v>
      </c>
      <c r="AC71" s="30">
        <f t="shared" si="46"/>
        <v>1.2869999999999999</v>
      </c>
      <c r="AD71" s="31">
        <v>367535.36382127507</v>
      </c>
      <c r="AE71" s="33">
        <f t="shared" si="47"/>
        <v>1.1038416871680032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9">
        <f t="shared" si="45"/>
        <v>-20</v>
      </c>
      <c r="AC72" s="30">
        <f t="shared" si="46"/>
        <v>1.1879999999999999</v>
      </c>
      <c r="AD72" s="31">
        <v>366197.79230627214</v>
      </c>
      <c r="AE72" s="33">
        <f t="shared" si="47"/>
        <v>0.73589445811201826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9">
        <f t="shared" si="45"/>
        <v>-10</v>
      </c>
      <c r="AC73" s="30">
        <f t="shared" si="46"/>
        <v>1.089</v>
      </c>
      <c r="AD73" s="31">
        <v>364860.22079126921</v>
      </c>
      <c r="AE73" s="33">
        <f t="shared" si="47"/>
        <v>0.36794722905603316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8">
        <v>0</v>
      </c>
      <c r="AC74" s="53">
        <f t="shared" ref="AC74" si="48">$AC$68*(1+(AB74/100))</f>
        <v>0.99</v>
      </c>
      <c r="AD74" s="39">
        <v>363522.64927626611</v>
      </c>
      <c r="AE74" s="55">
        <f t="shared" si="47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9">
        <f t="shared" ref="AB75:AB79" si="49">AB74+10</f>
        <v>10</v>
      </c>
      <c r="AC75" s="30">
        <f t="shared" ref="AC75:AC79" si="50">$AC$68*(1-(AB75/100))</f>
        <v>0.89100000000000001</v>
      </c>
      <c r="AD75" s="31">
        <v>362185.0777612633</v>
      </c>
      <c r="AE75" s="33">
        <f t="shared" si="47"/>
        <v>-0.36794722905595312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9">
        <f t="shared" si="49"/>
        <v>20</v>
      </c>
      <c r="AC76" s="30">
        <f t="shared" si="50"/>
        <v>0.79200000000000004</v>
      </c>
      <c r="AD76" s="31">
        <v>360847.50624626037</v>
      </c>
      <c r="AE76" s="33">
        <f t="shared" si="47"/>
        <v>-0.73589445811193821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9">
        <f t="shared" si="49"/>
        <v>30</v>
      </c>
      <c r="AC77" s="30">
        <f t="shared" si="50"/>
        <v>0.69299999999999995</v>
      </c>
      <c r="AD77" s="31">
        <v>359509.93473125738</v>
      </c>
      <c r="AE77" s="33">
        <f t="shared" si="47"/>
        <v>-1.1038416871679393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9">
        <f t="shared" si="49"/>
        <v>40</v>
      </c>
      <c r="AC78" s="30">
        <f t="shared" si="50"/>
        <v>0.59399999999999997</v>
      </c>
      <c r="AD78" s="31">
        <v>358172.36321625439</v>
      </c>
      <c r="AE78" s="33">
        <f t="shared" si="47"/>
        <v>-1.4717889162239404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9">
        <f t="shared" si="49"/>
        <v>50</v>
      </c>
      <c r="AC79" s="30">
        <f t="shared" si="50"/>
        <v>0.495</v>
      </c>
      <c r="AD79" s="31">
        <v>356834.79170125152</v>
      </c>
      <c r="AE79" s="33">
        <f t="shared" si="47"/>
        <v>-1.8397361452799095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count="1">
    <dataValidation type="list" allowBlank="1" showInputMessage="1" showErrorMessage="1" sqref="J24" xr:uid="{525DBBDC-05F9-47E4-B440-0AC3CECA20FD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AO1000"/>
  <sheetViews>
    <sheetView topLeftCell="C1" zoomScale="70" zoomScaleNormal="70" workbookViewId="0">
      <selection activeCell="I7" sqref="I7:J16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4.42578125" customWidth="1"/>
    <col min="7" max="7" width="8.85546875" customWidth="1"/>
    <col min="8" max="8" width="19.42578125" customWidth="1"/>
    <col min="9" max="9" width="50.5703125" bestFit="1" customWidth="1"/>
    <col min="10" max="10" width="17.42578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570312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5703125" customWidth="1"/>
    <col min="31" max="31" width="20.140625" customWidth="1"/>
    <col min="32" max="32" width="19.42578125" customWidth="1"/>
    <col min="33" max="33" width="11.425781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165402.3785605575</v>
      </c>
      <c r="C2" s="1" t="s">
        <v>3</v>
      </c>
      <c r="D2" s="3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6">
        <f>B2/F41</f>
        <v>1.1026825237370499</v>
      </c>
      <c r="C3" s="1" t="s">
        <v>4</v>
      </c>
      <c r="D3" s="3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108</v>
      </c>
      <c r="R7" s="13" t="s">
        <v>109</v>
      </c>
      <c r="S7" s="13"/>
      <c r="T7" s="13" t="s">
        <v>142</v>
      </c>
      <c r="U7" s="14" t="s">
        <v>21</v>
      </c>
      <c r="V7" s="1"/>
      <c r="W7" s="3"/>
      <c r="X7" s="3"/>
      <c r="Y7" s="3"/>
      <c r="Z7" s="3" t="s">
        <v>22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136593.54838709679</v>
      </c>
      <c r="K8" s="3" t="s">
        <v>26</v>
      </c>
      <c r="L8" s="17"/>
      <c r="M8" s="3"/>
      <c r="N8" s="13">
        <v>0</v>
      </c>
      <c r="O8" s="19">
        <f>F31</f>
        <v>43152.401251805488</v>
      </c>
      <c r="P8" s="13"/>
      <c r="Q8" s="13"/>
      <c r="R8" s="13"/>
      <c r="S8" s="13"/>
      <c r="T8" s="13"/>
      <c r="U8" s="20">
        <f t="shared" ref="U8:U48" si="0">SUM(O8:T8)</f>
        <v>43152.401251805488</v>
      </c>
      <c r="V8" s="4"/>
      <c r="W8" s="8"/>
      <c r="X8" s="3"/>
      <c r="Y8" s="3"/>
      <c r="Z8" s="3" t="s">
        <v>154</v>
      </c>
      <c r="AA8" s="21">
        <f>F36</f>
        <v>0.23134328358208953</v>
      </c>
      <c r="AB8" s="3" t="s">
        <v>111</v>
      </c>
      <c r="AC8" s="3"/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7"/>
      <c r="G9" s="3"/>
      <c r="H9" s="17"/>
      <c r="I9" s="3"/>
      <c r="J9" s="3"/>
      <c r="K9" s="3"/>
      <c r="L9" s="17"/>
      <c r="M9" s="3"/>
      <c r="N9" s="13">
        <v>1</v>
      </c>
      <c r="O9" s="13"/>
      <c r="P9" s="22">
        <f t="shared" ref="P9:P48" si="1">IF(N9&gt;0,IF(N9&lt;=$J$15,(($F$32+$F$33)/$J$15)/((1+($F$11/100))^N9),0),0)</f>
        <v>24453.027376023107</v>
      </c>
      <c r="Q9" s="23">
        <f t="shared" ref="Q9:Q48" si="2">IF(N9&gt;0,($F$38*((1+($F$14/100))^(N9-1)))/((1+($F$11/100))^N9),0)</f>
        <v>1619.4029850746265</v>
      </c>
      <c r="R9" s="23">
        <f t="shared" ref="R9:R48" si="3">IF(N9&gt;0,$J$31/((1+($F$11/100))^N9),0)</f>
        <v>4087.2778962331199</v>
      </c>
      <c r="S9" s="23"/>
      <c r="T9" s="22">
        <f t="shared" ref="T9:T48" si="4">IF(N9=$B$5,((((1-$J$12/100)^N9)*$B$44)/((1+($F$11/100))^N9))*-1,0)</f>
        <v>0</v>
      </c>
      <c r="U9" s="20">
        <f t="shared" si="0"/>
        <v>30159.708257330854</v>
      </c>
      <c r="V9" s="4"/>
      <c r="W9" s="8"/>
      <c r="X9" s="3"/>
      <c r="Y9" s="3"/>
      <c r="Z9" s="3" t="s">
        <v>146</v>
      </c>
      <c r="AA9" s="25">
        <f>B47</f>
        <v>143841.33750601829</v>
      </c>
      <c r="AB9" s="3" t="s">
        <v>3</v>
      </c>
      <c r="AC9" s="3"/>
      <c r="AD9" s="8"/>
      <c r="AE9" s="3"/>
      <c r="AF9" s="3"/>
      <c r="AG9" s="3"/>
      <c r="AH9" s="3"/>
    </row>
    <row r="10" spans="1:34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112</v>
      </c>
      <c r="J10" s="16">
        <v>0.49</v>
      </c>
      <c r="K10" s="3" t="s">
        <v>113</v>
      </c>
      <c r="L10" s="17"/>
      <c r="M10" s="3"/>
      <c r="N10" s="13">
        <f t="shared" ref="N10:N48" si="5">IF((N9+1)&gt;$B$5,,IF(N9=0,,N9+1))</f>
        <v>2</v>
      </c>
      <c r="O10" s="13"/>
      <c r="P10" s="22">
        <f t="shared" si="1"/>
        <v>23288.597500974389</v>
      </c>
      <c r="Q10" s="23">
        <f t="shared" si="2"/>
        <v>1557.7114427860695</v>
      </c>
      <c r="R10" s="23">
        <f t="shared" si="3"/>
        <v>3892.6456154601142</v>
      </c>
      <c r="S10" s="23"/>
      <c r="T10" s="22">
        <f t="shared" si="4"/>
        <v>0</v>
      </c>
      <c r="U10" s="20">
        <f t="shared" si="0"/>
        <v>28738.954559220572</v>
      </c>
      <c r="V10" s="4"/>
      <c r="W10" s="8"/>
      <c r="X10" s="3"/>
      <c r="Y10" s="3"/>
      <c r="Z10" s="3" t="s">
        <v>39</v>
      </c>
      <c r="AA10" s="8">
        <f>F12</f>
        <v>15000</v>
      </c>
      <c r="AB10" s="3" t="s">
        <v>40</v>
      </c>
      <c r="AC10" s="3"/>
      <c r="AD10" s="8"/>
      <c r="AE10" s="3"/>
      <c r="AF10" s="3"/>
      <c r="AG10" s="3"/>
      <c r="AH10" s="3"/>
    </row>
    <row r="11" spans="1:34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</v>
      </c>
      <c r="G11" s="3" t="s">
        <v>35</v>
      </c>
      <c r="H11" s="17"/>
      <c r="I11" s="18" t="s">
        <v>49</v>
      </c>
      <c r="J11" s="3">
        <v>30</v>
      </c>
      <c r="K11" s="3" t="s">
        <v>50</v>
      </c>
      <c r="L11" s="17"/>
      <c r="M11" s="3"/>
      <c r="N11" s="13">
        <f t="shared" si="5"/>
        <v>3</v>
      </c>
      <c r="O11" s="13"/>
      <c r="P11" s="22">
        <f t="shared" si="1"/>
        <v>22179.616667594655</v>
      </c>
      <c r="Q11" s="23">
        <f t="shared" si="2"/>
        <v>1498.3700544894571</v>
      </c>
      <c r="R11" s="23">
        <f t="shared" si="3"/>
        <v>3707.281538533442</v>
      </c>
      <c r="S11" s="23"/>
      <c r="T11" s="22">
        <f t="shared" si="4"/>
        <v>0</v>
      </c>
      <c r="U11" s="20">
        <f t="shared" si="0"/>
        <v>27385.268260617555</v>
      </c>
      <c r="V11" s="4"/>
      <c r="W11" s="8"/>
      <c r="X11" s="3"/>
      <c r="Y11" s="3"/>
      <c r="Z11" s="18" t="s">
        <v>45</v>
      </c>
      <c r="AA11" s="8">
        <f>J36</f>
        <v>3120</v>
      </c>
      <c r="AB11" s="3" t="s">
        <v>46</v>
      </c>
      <c r="AC11" s="3"/>
      <c r="AD11" s="8"/>
      <c r="AE11" s="3"/>
      <c r="AF11" s="3"/>
      <c r="AG11" s="3"/>
      <c r="AH11" s="3"/>
    </row>
    <row r="12" spans="1:34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15000</v>
      </c>
      <c r="G12" s="3" t="s">
        <v>40</v>
      </c>
      <c r="H12" s="17"/>
      <c r="I12" s="18" t="s">
        <v>56</v>
      </c>
      <c r="J12" s="3">
        <v>7.08</v>
      </c>
      <c r="K12" s="3" t="s">
        <v>57</v>
      </c>
      <c r="L12" s="17"/>
      <c r="M12" s="3"/>
      <c r="N12" s="13">
        <f t="shared" si="5"/>
        <v>4</v>
      </c>
      <c r="O12" s="13"/>
      <c r="P12" s="22">
        <f t="shared" si="1"/>
        <v>21123.444445328245</v>
      </c>
      <c r="Q12" s="23">
        <f t="shared" si="2"/>
        <v>1441.2892905089063</v>
      </c>
      <c r="R12" s="23">
        <f t="shared" si="3"/>
        <v>3530.7443224128024</v>
      </c>
      <c r="S12" s="23"/>
      <c r="T12" s="22">
        <f t="shared" si="4"/>
        <v>0</v>
      </c>
      <c r="U12" s="20">
        <f t="shared" si="0"/>
        <v>26095.478058249955</v>
      </c>
      <c r="V12" s="4"/>
      <c r="W12" s="8"/>
      <c r="X12" s="3"/>
      <c r="Y12" s="3"/>
      <c r="Z12" s="87" t="s">
        <v>172</v>
      </c>
      <c r="AA12" s="88">
        <f>J10</f>
        <v>0.49</v>
      </c>
      <c r="AB12" s="87" t="s">
        <v>113</v>
      </c>
      <c r="AC12" s="3"/>
      <c r="AD12" s="8"/>
      <c r="AE12" s="3"/>
      <c r="AF12" s="3"/>
      <c r="AG12" s="3"/>
      <c r="AH12" s="3"/>
    </row>
    <row r="13" spans="1:34" x14ac:dyDescent="0.25">
      <c r="A13" s="26" t="s">
        <v>47</v>
      </c>
      <c r="B13" s="3">
        <v>0</v>
      </c>
      <c r="C13" s="3" t="s">
        <v>35</v>
      </c>
      <c r="D13" s="3"/>
      <c r="E13" s="18" t="s">
        <v>110</v>
      </c>
      <c r="F13" s="16">
        <v>0.31</v>
      </c>
      <c r="G13" s="3" t="s">
        <v>114</v>
      </c>
      <c r="H13" s="17"/>
      <c r="I13" s="18"/>
      <c r="J13" s="8"/>
      <c r="K13" s="3"/>
      <c r="L13" s="17"/>
      <c r="M13" s="3"/>
      <c r="N13" s="13">
        <f t="shared" si="5"/>
        <v>5</v>
      </c>
      <c r="O13" s="13"/>
      <c r="P13" s="22">
        <f t="shared" si="1"/>
        <v>20117.566138407848</v>
      </c>
      <c r="Q13" s="23">
        <f t="shared" si="2"/>
        <v>1386.3830318228529</v>
      </c>
      <c r="R13" s="23">
        <f t="shared" si="3"/>
        <v>3362.6136403931446</v>
      </c>
      <c r="S13" s="23"/>
      <c r="T13" s="22">
        <f t="shared" si="4"/>
        <v>0</v>
      </c>
      <c r="U13" s="20">
        <f t="shared" si="0"/>
        <v>24866.562810623847</v>
      </c>
      <c r="V13" s="4"/>
      <c r="W13" s="8"/>
      <c r="X13" s="3"/>
      <c r="Y13" s="3"/>
      <c r="Z13" s="87"/>
      <c r="AA13" s="88"/>
      <c r="AB13" s="87"/>
      <c r="AC13" s="3"/>
      <c r="AD13" s="8"/>
      <c r="AE13" s="3"/>
      <c r="AF13" s="3"/>
      <c r="AG13" s="3"/>
      <c r="AH13" s="3"/>
    </row>
    <row r="14" spans="1:34" x14ac:dyDescent="0.25">
      <c r="A14" s="26"/>
      <c r="B14" s="3"/>
      <c r="C14" s="3"/>
      <c r="D14" s="3"/>
      <c r="E14" s="18" t="s">
        <v>115</v>
      </c>
      <c r="F14" s="3">
        <v>1</v>
      </c>
      <c r="G14" s="3" t="s">
        <v>52</v>
      </c>
      <c r="H14" s="17"/>
      <c r="I14" s="1" t="s">
        <v>67</v>
      </c>
      <c r="J14" s="3"/>
      <c r="K14" s="3"/>
      <c r="L14" s="17"/>
      <c r="M14" s="3"/>
      <c r="N14" s="13">
        <f t="shared" si="5"/>
        <v>6</v>
      </c>
      <c r="O14" s="13"/>
      <c r="P14" s="22">
        <f t="shared" si="1"/>
        <v>0</v>
      </c>
      <c r="Q14" s="23">
        <f t="shared" si="2"/>
        <v>1333.5684401343633</v>
      </c>
      <c r="R14" s="23">
        <f t="shared" si="3"/>
        <v>3202.489181326805</v>
      </c>
      <c r="S14" s="23"/>
      <c r="T14" s="22">
        <f t="shared" si="4"/>
        <v>0</v>
      </c>
      <c r="U14" s="20">
        <f t="shared" si="0"/>
        <v>4536.0576214611683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18" t="s">
        <v>54</v>
      </c>
      <c r="B15" s="3">
        <v>18.5</v>
      </c>
      <c r="C15" s="3" t="s">
        <v>35</v>
      </c>
      <c r="D15" s="3"/>
      <c r="E15" s="18" t="s">
        <v>140</v>
      </c>
      <c r="F15" s="3">
        <v>10</v>
      </c>
      <c r="G15" s="3" t="s">
        <v>59</v>
      </c>
      <c r="H15" s="17"/>
      <c r="I15" s="18" t="s">
        <v>73</v>
      </c>
      <c r="J15" s="3">
        <v>5</v>
      </c>
      <c r="K15" s="3" t="s">
        <v>50</v>
      </c>
      <c r="L15" s="17"/>
      <c r="M15" s="3"/>
      <c r="N15" s="13">
        <f t="shared" si="5"/>
        <v>7</v>
      </c>
      <c r="O15" s="13"/>
      <c r="P15" s="22">
        <f t="shared" si="1"/>
        <v>0</v>
      </c>
      <c r="Q15" s="23">
        <f t="shared" si="2"/>
        <v>1282.7658328911493</v>
      </c>
      <c r="R15" s="23">
        <f t="shared" si="3"/>
        <v>3049.9896965017183</v>
      </c>
      <c r="S15" s="23"/>
      <c r="T15" s="22">
        <f t="shared" si="4"/>
        <v>0</v>
      </c>
      <c r="U15" s="20">
        <f t="shared" si="0"/>
        <v>4332.7555293928672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26" t="s">
        <v>58</v>
      </c>
      <c r="B16" s="3">
        <v>15</v>
      </c>
      <c r="C16" s="3" t="s">
        <v>35</v>
      </c>
      <c r="D16" s="3"/>
      <c r="E16" s="18" t="s">
        <v>138</v>
      </c>
      <c r="F16" s="8">
        <f>130*6*2</f>
        <v>1560</v>
      </c>
      <c r="G16" s="3" t="s">
        <v>59</v>
      </c>
      <c r="H16" s="17"/>
      <c r="I16" s="18" t="s">
        <v>76</v>
      </c>
      <c r="J16" s="3">
        <v>30</v>
      </c>
      <c r="K16" s="3" t="s">
        <v>77</v>
      </c>
      <c r="L16" s="17"/>
      <c r="M16" s="3"/>
      <c r="N16" s="13">
        <f t="shared" si="5"/>
        <v>8</v>
      </c>
      <c r="O16" s="13"/>
      <c r="P16" s="22">
        <f t="shared" si="1"/>
        <v>0</v>
      </c>
      <c r="Q16" s="23">
        <f t="shared" si="2"/>
        <v>1233.8985630667244</v>
      </c>
      <c r="R16" s="23">
        <f t="shared" si="3"/>
        <v>2904.7520919063986</v>
      </c>
      <c r="S16" s="23"/>
      <c r="T16" s="22">
        <f t="shared" si="4"/>
        <v>0</v>
      </c>
      <c r="U16" s="20">
        <f t="shared" si="0"/>
        <v>4138.650654973123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26" t="s">
        <v>156</v>
      </c>
      <c r="B17" s="3">
        <v>100</v>
      </c>
      <c r="C17" s="3" t="s">
        <v>26</v>
      </c>
      <c r="D17" s="3"/>
      <c r="E17" s="18"/>
      <c r="F17" s="3"/>
      <c r="G17" s="3"/>
      <c r="H17" s="17"/>
      <c r="I17" s="3"/>
      <c r="J17" s="3"/>
      <c r="K17" s="3"/>
      <c r="L17" s="17"/>
      <c r="M17" s="3"/>
      <c r="N17" s="13">
        <f t="shared" si="5"/>
        <v>9</v>
      </c>
      <c r="O17" s="13"/>
      <c r="P17" s="22">
        <f t="shared" si="1"/>
        <v>0</v>
      </c>
      <c r="Q17" s="23">
        <f t="shared" si="2"/>
        <v>1186.8929035213257</v>
      </c>
      <c r="R17" s="23">
        <f t="shared" si="3"/>
        <v>2766.4305637203797</v>
      </c>
      <c r="S17" s="23"/>
      <c r="T17" s="22">
        <f t="shared" si="4"/>
        <v>0</v>
      </c>
      <c r="U17" s="20">
        <f t="shared" si="0"/>
        <v>3953.3234672417057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18"/>
      <c r="J18" s="3"/>
      <c r="K18" s="3"/>
      <c r="L18" s="17"/>
      <c r="M18" s="3"/>
      <c r="N18" s="13">
        <f t="shared" si="5"/>
        <v>10</v>
      </c>
      <c r="O18" s="13"/>
      <c r="P18" s="22">
        <f t="shared" si="1"/>
        <v>0</v>
      </c>
      <c r="Q18" s="23">
        <f t="shared" si="2"/>
        <v>1141.6779357681326</v>
      </c>
      <c r="R18" s="23">
        <f t="shared" si="3"/>
        <v>2634.6957749717903</v>
      </c>
      <c r="S18" s="23"/>
      <c r="T18" s="22">
        <f t="shared" si="4"/>
        <v>-35733.155621099533</v>
      </c>
      <c r="U18" s="20">
        <f t="shared" si="0"/>
        <v>-31956.781910359612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26" t="s">
        <v>64</v>
      </c>
      <c r="B19" s="27">
        <f>4%*J8</f>
        <v>5463.7419354838712</v>
      </c>
      <c r="C19" s="3" t="s">
        <v>26</v>
      </c>
      <c r="D19" s="3"/>
      <c r="E19" s="18"/>
      <c r="F19" s="8"/>
      <c r="G19" s="3"/>
      <c r="H19" s="17"/>
      <c r="I19" s="3"/>
      <c r="J19" s="3"/>
      <c r="K19" s="3"/>
      <c r="L19" s="17"/>
      <c r="M19" s="3"/>
      <c r="N19" s="13">
        <f t="shared" si="5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/>
      <c r="T19" s="22">
        <f t="shared" si="4"/>
        <v>0</v>
      </c>
      <c r="U19" s="20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3" t="s">
        <v>65</v>
      </c>
      <c r="B20" s="3">
        <v>5</v>
      </c>
      <c r="C20" s="3" t="s">
        <v>26</v>
      </c>
      <c r="D20" s="3"/>
      <c r="E20" s="18" t="s">
        <v>45</v>
      </c>
      <c r="F20" s="27">
        <v>0.27872000000000002</v>
      </c>
      <c r="G20" s="3" t="s">
        <v>121</v>
      </c>
      <c r="H20" s="17"/>
      <c r="I20" s="3"/>
      <c r="J20" s="3"/>
      <c r="K20" s="3"/>
      <c r="L20" s="17"/>
      <c r="M20" s="3"/>
      <c r="N20" s="13">
        <f t="shared" si="5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/>
      <c r="T20" s="22">
        <f t="shared" si="4"/>
        <v>0</v>
      </c>
      <c r="U20" s="20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26"/>
      <c r="B21" s="3"/>
      <c r="C21" s="3"/>
      <c r="D21" s="3"/>
      <c r="E21" s="18" t="s">
        <v>72</v>
      </c>
      <c r="F21" s="3">
        <v>5.5</v>
      </c>
      <c r="G21" s="3" t="s">
        <v>57</v>
      </c>
      <c r="H21" s="17"/>
      <c r="I21" s="3"/>
      <c r="J21" s="3"/>
      <c r="K21" s="3"/>
      <c r="L21" s="17"/>
      <c r="M21" s="3"/>
      <c r="N21" s="13">
        <f t="shared" si="5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/>
      <c r="T21" s="22">
        <f t="shared" si="4"/>
        <v>0</v>
      </c>
      <c r="U21" s="20">
        <f t="shared" si="0"/>
        <v>0</v>
      </c>
      <c r="V21" s="4"/>
      <c r="W21" s="8"/>
      <c r="X21" s="3"/>
      <c r="Y21" s="3"/>
      <c r="Z21" s="28" t="s">
        <v>110</v>
      </c>
      <c r="AA21" s="29"/>
      <c r="AB21" s="29"/>
      <c r="AC21" s="29"/>
      <c r="AD21" s="3"/>
      <c r="AE21" s="28" t="s">
        <v>25</v>
      </c>
      <c r="AF21" s="29"/>
      <c r="AG21" s="29"/>
      <c r="AH21" s="29"/>
      <c r="AJ21" s="81" t="s">
        <v>160</v>
      </c>
      <c r="AK21" s="81" t="s">
        <v>162</v>
      </c>
      <c r="AL21" s="81" t="s">
        <v>170</v>
      </c>
      <c r="AM21" s="81" t="s">
        <v>165</v>
      </c>
      <c r="AN21" s="81" t="s">
        <v>164</v>
      </c>
      <c r="AO21" s="86" t="str">
        <f>Z51</f>
        <v>Energy Efficiency</v>
      </c>
    </row>
    <row r="22" spans="1:41" ht="15.75" customHeight="1" x14ac:dyDescent="0.25">
      <c r="A22" s="26"/>
      <c r="B22" s="3"/>
      <c r="C22" s="3"/>
      <c r="D22" s="3"/>
      <c r="E22" s="3"/>
      <c r="F22" s="5"/>
      <c r="G22" s="3"/>
      <c r="H22" s="17"/>
      <c r="I22" s="3"/>
      <c r="J22" s="3"/>
      <c r="K22" s="3"/>
      <c r="L22" s="17"/>
      <c r="M22" s="3"/>
      <c r="N22" s="13">
        <f t="shared" si="5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/>
      <c r="T22" s="22">
        <f t="shared" si="4"/>
        <v>0</v>
      </c>
      <c r="U22" s="20">
        <f t="shared" si="0"/>
        <v>0</v>
      </c>
      <c r="V22" s="4"/>
      <c r="W22" s="8"/>
      <c r="X22" s="3"/>
      <c r="Y22" s="3"/>
      <c r="Z22" s="29" t="s">
        <v>68</v>
      </c>
      <c r="AA22" s="29" t="s">
        <v>116</v>
      </c>
      <c r="AB22" s="29" t="s">
        <v>21</v>
      </c>
      <c r="AC22" s="29" t="s">
        <v>70</v>
      </c>
      <c r="AD22" s="3"/>
      <c r="AE22" s="29" t="s">
        <v>68</v>
      </c>
      <c r="AF22" s="29" t="s">
        <v>71</v>
      </c>
      <c r="AG22" s="29" t="s">
        <v>21</v>
      </c>
      <c r="AH22" s="29" t="s">
        <v>70</v>
      </c>
      <c r="AJ22" s="82">
        <v>-50</v>
      </c>
      <c r="AK22" s="83">
        <f>AH24</f>
        <v>-46.648257033267413</v>
      </c>
      <c r="AL22" s="83">
        <f>AC24</f>
        <v>-4.1359624326848179</v>
      </c>
      <c r="AM22" s="84">
        <f t="shared" ref="AM22:AM32" si="6">AC39</f>
        <v>-7.2827891559721287</v>
      </c>
      <c r="AN22" s="84">
        <f t="shared" ref="AN22:AN32" si="7">AH39</f>
        <v>-11.418751588656963</v>
      </c>
      <c r="AO22" s="34">
        <f>AC54</f>
        <v>4.1359624326848179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5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/>
      <c r="T23" s="22">
        <f t="shared" si="4"/>
        <v>0</v>
      </c>
      <c r="U23" s="20">
        <f t="shared" si="0"/>
        <v>0</v>
      </c>
      <c r="V23" s="4"/>
      <c r="W23" s="8"/>
      <c r="X23" s="3"/>
      <c r="Y23" s="3"/>
      <c r="Z23" s="29" t="s">
        <v>75</v>
      </c>
      <c r="AA23" s="30">
        <v>0.23134328358208953</v>
      </c>
      <c r="AB23" s="31">
        <f>U49</f>
        <v>165402.3785605575</v>
      </c>
      <c r="AC23" s="29"/>
      <c r="AD23" s="3"/>
      <c r="AE23" s="29" t="s">
        <v>75</v>
      </c>
      <c r="AF23" s="32">
        <v>143841.33750601829</v>
      </c>
      <c r="AG23" s="31">
        <f>U49</f>
        <v>165402.3785605575</v>
      </c>
      <c r="AH23" s="29"/>
      <c r="AJ23" s="82">
        <v>-40</v>
      </c>
      <c r="AK23" s="83">
        <f>AH25</f>
        <v>-37.31860562661393</v>
      </c>
      <c r="AL23" s="83">
        <f t="shared" ref="AL23:AL32" si="8">AC25</f>
        <v>-3.3087699461478368</v>
      </c>
      <c r="AM23" s="84">
        <f t="shared" si="6"/>
        <v>-5.8262313247777344</v>
      </c>
      <c r="AN23" s="84">
        <f t="shared" si="7"/>
        <v>-9.1350012709255726</v>
      </c>
      <c r="AO23" s="34">
        <f t="shared" ref="AO23:AO32" si="9">AC55</f>
        <v>3.3087699461478897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5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/>
      <c r="T24" s="22">
        <f t="shared" si="4"/>
        <v>0</v>
      </c>
      <c r="U24" s="20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0.11567164179104476</v>
      </c>
      <c r="AB24" s="31">
        <f t="dataTable" ref="AB24:AB34" dt2D="0" dtr="0" r1="F36"/>
        <v>158561.39832052571</v>
      </c>
      <c r="AC24" s="33">
        <f t="shared" ref="AC24:AC34" si="12">100*((AB24-$AB$29)/$AB$29)</f>
        <v>-4.1359624326848179</v>
      </c>
      <c r="AD24" s="3"/>
      <c r="AE24" s="29">
        <f t="shared" ref="AE24:AE28" si="13">AE25-10</f>
        <v>-50</v>
      </c>
      <c r="AF24" s="32">
        <f t="shared" ref="AF24:AF34" si="14">$AF$23*(1+(AE24/100))</f>
        <v>71920.668753009144</v>
      </c>
      <c r="AG24" s="31">
        <f t="dataTable" ref="AG24:AG34" dt2D="0" dtr="0" r1="B47" ca="1"/>
        <v>88245.051870490643</v>
      </c>
      <c r="AH24" s="33">
        <f t="shared" ref="AH24:AH34" si="15">100*((AG24-$AG$29)/$AG$29)</f>
        <v>-46.648257033267413</v>
      </c>
      <c r="AJ24" s="82">
        <v>-30</v>
      </c>
      <c r="AK24" s="83">
        <f t="shared" ref="AK24:AK32" si="16">AH26</f>
        <v>-27.988954219960448</v>
      </c>
      <c r="AL24" s="83">
        <f t="shared" si="8"/>
        <v>-2.4815774596108735</v>
      </c>
      <c r="AM24" s="84">
        <f t="shared" si="6"/>
        <v>-4.3696734935832877</v>
      </c>
      <c r="AN24" s="84">
        <f t="shared" si="7"/>
        <v>-6.8512509531941612</v>
      </c>
      <c r="AO24" s="34">
        <f t="shared" si="9"/>
        <v>2.4815774596109264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5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/>
      <c r="T25" s="22">
        <f t="shared" si="4"/>
        <v>0</v>
      </c>
      <c r="U25" s="20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0.13880597014925372</v>
      </c>
      <c r="AB25" s="31">
        <v>159929.5943685321</v>
      </c>
      <c r="AC25" s="33">
        <f t="shared" si="12"/>
        <v>-3.3087699461478368</v>
      </c>
      <c r="AD25" s="3"/>
      <c r="AE25" s="29">
        <f t="shared" si="13"/>
        <v>-40</v>
      </c>
      <c r="AF25" s="32">
        <f t="shared" si="14"/>
        <v>86304.802503610976</v>
      </c>
      <c r="AG25" s="31">
        <v>103676.51720850401</v>
      </c>
      <c r="AH25" s="33">
        <f t="shared" si="15"/>
        <v>-37.31860562661393</v>
      </c>
      <c r="AJ25" s="82">
        <v>-20</v>
      </c>
      <c r="AK25" s="83">
        <f t="shared" si="16"/>
        <v>-18.659302813306962</v>
      </c>
      <c r="AL25" s="83">
        <f t="shared" si="8"/>
        <v>-1.6543849730739275</v>
      </c>
      <c r="AM25" s="84">
        <f t="shared" si="6"/>
        <v>-2.9131156623888583</v>
      </c>
      <c r="AN25" s="84">
        <f t="shared" si="7"/>
        <v>-4.5675006354628032</v>
      </c>
      <c r="AO25" s="34">
        <f t="shared" si="9"/>
        <v>1.6543849730739448</v>
      </c>
    </row>
    <row r="26" spans="1:4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/>
      <c r="J26" s="36"/>
      <c r="K26" s="36"/>
      <c r="L26" s="37"/>
      <c r="M26" s="3"/>
      <c r="N26" s="13">
        <f t="shared" si="5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/>
      <c r="T26" s="22">
        <f t="shared" si="4"/>
        <v>0</v>
      </c>
      <c r="U26" s="20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0.16194029850746267</v>
      </c>
      <c r="AB26" s="31">
        <v>161297.79041653845</v>
      </c>
      <c r="AC26" s="33">
        <f t="shared" si="12"/>
        <v>-2.4815774596108735</v>
      </c>
      <c r="AD26" s="3"/>
      <c r="AE26" s="29">
        <f t="shared" si="13"/>
        <v>-30</v>
      </c>
      <c r="AF26" s="32">
        <f t="shared" si="14"/>
        <v>100688.93625421279</v>
      </c>
      <c r="AG26" s="31">
        <v>119107.98254651738</v>
      </c>
      <c r="AH26" s="33">
        <f t="shared" si="15"/>
        <v>-27.988954219960448</v>
      </c>
      <c r="AJ26" s="82">
        <v>-10</v>
      </c>
      <c r="AK26" s="83">
        <f t="shared" si="16"/>
        <v>-9.3296514066534808</v>
      </c>
      <c r="AL26" s="83">
        <f t="shared" si="8"/>
        <v>-0.82719248653696376</v>
      </c>
      <c r="AM26" s="84">
        <f t="shared" si="6"/>
        <v>-1.4565578311944292</v>
      </c>
      <c r="AN26" s="84">
        <f t="shared" si="7"/>
        <v>-2.2837503177313754</v>
      </c>
      <c r="AO26" s="34">
        <f t="shared" si="9"/>
        <v>0.82719248653698119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/>
      <c r="T27" s="22">
        <f t="shared" si="4"/>
        <v>0</v>
      </c>
      <c r="U27" s="20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0.18507462686567164</v>
      </c>
      <c r="AB27" s="31">
        <v>162665.98646454478</v>
      </c>
      <c r="AC27" s="33">
        <f t="shared" si="12"/>
        <v>-1.6543849730739275</v>
      </c>
      <c r="AD27" s="3"/>
      <c r="AE27" s="29">
        <f t="shared" si="13"/>
        <v>-20</v>
      </c>
      <c r="AF27" s="32">
        <f t="shared" si="14"/>
        <v>115073.07000481464</v>
      </c>
      <c r="AG27" s="31">
        <v>134539.44788453076</v>
      </c>
      <c r="AH27" s="33">
        <f t="shared" si="15"/>
        <v>-18.659302813306962</v>
      </c>
      <c r="AJ27" s="82">
        <v>0</v>
      </c>
      <c r="AK27" s="83">
        <f t="shared" si="16"/>
        <v>0</v>
      </c>
      <c r="AL27" s="83">
        <f t="shared" si="8"/>
        <v>0</v>
      </c>
      <c r="AM27" s="84">
        <f t="shared" si="6"/>
        <v>0</v>
      </c>
      <c r="AN27" s="84">
        <f t="shared" si="7"/>
        <v>0</v>
      </c>
      <c r="AO27" s="34">
        <f t="shared" si="9"/>
        <v>0</v>
      </c>
    </row>
    <row r="28" spans="1:4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/>
      <c r="T28" s="22">
        <f t="shared" si="4"/>
        <v>0</v>
      </c>
      <c r="U28" s="20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0.20820895522388058</v>
      </c>
      <c r="AB28" s="31">
        <v>164034.18251255114</v>
      </c>
      <c r="AC28" s="33">
        <f t="shared" si="12"/>
        <v>-0.82719248653696376</v>
      </c>
      <c r="AD28" s="3"/>
      <c r="AE28" s="29">
        <f t="shared" si="13"/>
        <v>-10</v>
      </c>
      <c r="AF28" s="32">
        <f t="shared" si="14"/>
        <v>129457.20375541646</v>
      </c>
      <c r="AG28" s="31">
        <v>149970.91322254413</v>
      </c>
      <c r="AH28" s="33">
        <f t="shared" si="15"/>
        <v>-9.3296514066534808</v>
      </c>
      <c r="AJ28" s="82">
        <v>10</v>
      </c>
      <c r="AK28" s="83">
        <f t="shared" si="16"/>
        <v>9.3296514066535163</v>
      </c>
      <c r="AL28" s="83">
        <f t="shared" si="8"/>
        <v>0.82719248653698119</v>
      </c>
      <c r="AM28" s="84">
        <f t="shared" si="6"/>
        <v>1.4565578311944645</v>
      </c>
      <c r="AN28" s="84">
        <f t="shared" si="7"/>
        <v>2.2837503177314105</v>
      </c>
      <c r="AO28" s="34">
        <f t="shared" si="9"/>
        <v>-0.82719248653696376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/>
      <c r="T29" s="22">
        <f t="shared" si="4"/>
        <v>0</v>
      </c>
      <c r="U29" s="20">
        <f t="shared" si="0"/>
        <v>0</v>
      </c>
      <c r="V29" s="4"/>
      <c r="W29" s="8"/>
      <c r="X29" s="3"/>
      <c r="Y29" s="3"/>
      <c r="Z29" s="38">
        <v>0</v>
      </c>
      <c r="AA29" s="50">
        <f t="shared" si="11"/>
        <v>0.23134328358208953</v>
      </c>
      <c r="AB29" s="39">
        <v>165402.3785605575</v>
      </c>
      <c r="AC29" s="51">
        <f t="shared" si="12"/>
        <v>0</v>
      </c>
      <c r="AD29" s="3"/>
      <c r="AE29" s="38">
        <v>0</v>
      </c>
      <c r="AF29" s="44">
        <f t="shared" si="14"/>
        <v>143841.33750601829</v>
      </c>
      <c r="AG29" s="39">
        <v>165402.3785605575</v>
      </c>
      <c r="AH29" s="51">
        <f t="shared" si="15"/>
        <v>0</v>
      </c>
      <c r="AJ29" s="82">
        <v>20</v>
      </c>
      <c r="AK29" s="83">
        <f t="shared" si="16"/>
        <v>18.659302813306962</v>
      </c>
      <c r="AL29" s="83">
        <f t="shared" si="8"/>
        <v>1.6543849730739448</v>
      </c>
      <c r="AM29" s="84">
        <f t="shared" si="6"/>
        <v>2.9131156623888756</v>
      </c>
      <c r="AN29" s="84">
        <f t="shared" si="7"/>
        <v>4.5675006354628209</v>
      </c>
      <c r="AO29" s="34">
        <f t="shared" si="9"/>
        <v>-1.6543849730739275</v>
      </c>
    </row>
    <row r="30" spans="1:4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/>
      <c r="J30" s="40"/>
      <c r="K30" s="10"/>
      <c r="L30" s="11"/>
      <c r="M30" s="3"/>
      <c r="N30" s="13">
        <f t="shared" si="5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/>
      <c r="T30" s="22">
        <f t="shared" si="4"/>
        <v>0</v>
      </c>
      <c r="U30" s="20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0.2544776119402985</v>
      </c>
      <c r="AB30" s="31">
        <v>166770.57460856388</v>
      </c>
      <c r="AC30" s="33">
        <f t="shared" si="12"/>
        <v>0.82719248653698119</v>
      </c>
      <c r="AD30" s="3"/>
      <c r="AE30" s="29">
        <f t="shared" ref="AE30:AE34" si="18">AE29+10</f>
        <v>10</v>
      </c>
      <c r="AF30" s="32">
        <f t="shared" si="14"/>
        <v>158225.47125662013</v>
      </c>
      <c r="AG30" s="31">
        <v>180833.84389857092</v>
      </c>
      <c r="AH30" s="33">
        <f t="shared" si="15"/>
        <v>9.3296514066535163</v>
      </c>
      <c r="AJ30" s="82">
        <v>30</v>
      </c>
      <c r="AK30" s="83">
        <f t="shared" si="16"/>
        <v>27.988954219960476</v>
      </c>
      <c r="AL30" s="83">
        <f t="shared" si="8"/>
        <v>2.4815774596109264</v>
      </c>
      <c r="AM30" s="84">
        <f t="shared" si="6"/>
        <v>4.3696734935833232</v>
      </c>
      <c r="AN30" s="84">
        <f t="shared" si="7"/>
        <v>6.8512509531942305</v>
      </c>
      <c r="AO30" s="34">
        <f t="shared" si="9"/>
        <v>-2.4815774596108735</v>
      </c>
    </row>
    <row r="31" spans="1:41" ht="15.75" customHeight="1" x14ac:dyDescent="0.25">
      <c r="A31" s="26" t="s">
        <v>151</v>
      </c>
      <c r="B31" s="8">
        <f t="shared" ref="B31:B32" si="19">IF(B11=0,0,-(B11/100)*$B$45)</f>
        <v>0</v>
      </c>
      <c r="C31" s="3" t="s">
        <v>3</v>
      </c>
      <c r="D31" s="3"/>
      <c r="E31" s="18" t="s">
        <v>82</v>
      </c>
      <c r="F31" s="25">
        <f>(J16/100)*B47</f>
        <v>43152.401251805488</v>
      </c>
      <c r="G31" s="3" t="s">
        <v>3</v>
      </c>
      <c r="H31" s="3"/>
      <c r="I31" s="1" t="s">
        <v>153</v>
      </c>
      <c r="J31" s="42">
        <f>SUM(J32:J36)</f>
        <v>4291.6417910447763</v>
      </c>
      <c r="K31" s="1" t="s">
        <v>46</v>
      </c>
      <c r="L31" s="17"/>
      <c r="M31" s="3"/>
      <c r="N31" s="13">
        <f t="shared" si="5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/>
      <c r="T31" s="22">
        <f t="shared" si="4"/>
        <v>0</v>
      </c>
      <c r="U31" s="20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0.27761194029850744</v>
      </c>
      <c r="AB31" s="31">
        <v>168138.77065657024</v>
      </c>
      <c r="AC31" s="33">
        <f t="shared" si="12"/>
        <v>1.6543849730739448</v>
      </c>
      <c r="AD31" s="3"/>
      <c r="AE31" s="29">
        <f t="shared" si="18"/>
        <v>20</v>
      </c>
      <c r="AF31" s="32">
        <f t="shared" si="14"/>
        <v>172609.60500722195</v>
      </c>
      <c r="AG31" s="31">
        <v>196265.30923658423</v>
      </c>
      <c r="AH31" s="33">
        <f t="shared" si="15"/>
        <v>18.659302813306962</v>
      </c>
      <c r="AJ31" s="82">
        <v>40</v>
      </c>
      <c r="AK31" s="83">
        <f t="shared" si="16"/>
        <v>37.318605626613923</v>
      </c>
      <c r="AL31" s="83">
        <f t="shared" si="8"/>
        <v>3.3087699461478897</v>
      </c>
      <c r="AM31" s="84">
        <f t="shared" si="6"/>
        <v>5.8262313247777513</v>
      </c>
      <c r="AN31" s="84">
        <f t="shared" si="7"/>
        <v>9.1350012709256241</v>
      </c>
      <c r="AO31" s="34">
        <f t="shared" si="9"/>
        <v>-3.3087699461478368</v>
      </c>
    </row>
    <row r="32" spans="1:41" ht="15.75" customHeight="1" x14ac:dyDescent="0.25">
      <c r="A32" s="26" t="s">
        <v>41</v>
      </c>
      <c r="B32" s="8">
        <f t="shared" si="19"/>
        <v>0</v>
      </c>
      <c r="C32" s="3" t="s">
        <v>3</v>
      </c>
      <c r="D32" s="3"/>
      <c r="E32" s="18" t="s">
        <v>84</v>
      </c>
      <c r="F32" s="8">
        <f>B47-F31</f>
        <v>100688.93625421281</v>
      </c>
      <c r="G32" s="3" t="s">
        <v>3</v>
      </c>
      <c r="H32" s="3"/>
      <c r="I32" s="18" t="s">
        <v>138</v>
      </c>
      <c r="J32" s="16">
        <f>F16/$B$8</f>
        <v>1164.1791044776119</v>
      </c>
      <c r="K32" s="3" t="s">
        <v>46</v>
      </c>
      <c r="L32" s="17"/>
      <c r="M32" s="3"/>
      <c r="N32" s="13">
        <f t="shared" si="5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/>
      <c r="T32" s="22">
        <f t="shared" si="4"/>
        <v>0</v>
      </c>
      <c r="U32" s="20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0.30074626865671639</v>
      </c>
      <c r="AB32" s="31">
        <v>169506.96670457663</v>
      </c>
      <c r="AC32" s="33">
        <f t="shared" si="12"/>
        <v>2.4815774596109264</v>
      </c>
      <c r="AD32" s="3"/>
      <c r="AE32" s="29">
        <f t="shared" si="18"/>
        <v>30</v>
      </c>
      <c r="AF32" s="32">
        <f t="shared" si="14"/>
        <v>186993.73875782377</v>
      </c>
      <c r="AG32" s="31">
        <v>211696.77457459766</v>
      </c>
      <c r="AH32" s="33">
        <f t="shared" si="15"/>
        <v>27.988954219960476</v>
      </c>
      <c r="AJ32" s="82">
        <v>50</v>
      </c>
      <c r="AK32" s="83">
        <f t="shared" si="16"/>
        <v>46.648257033267434</v>
      </c>
      <c r="AL32" s="83">
        <f t="shared" si="8"/>
        <v>4.1359624326848179</v>
      </c>
      <c r="AM32" s="84">
        <f t="shared" si="6"/>
        <v>7.2827891559721634</v>
      </c>
      <c r="AN32" s="84">
        <f t="shared" si="7"/>
        <v>11.418751588657017</v>
      </c>
      <c r="AO32" s="34">
        <f t="shared" si="9"/>
        <v>-4.1359624326848179</v>
      </c>
    </row>
    <row r="33" spans="1:34" ht="15.75" customHeight="1" x14ac:dyDescent="0.25">
      <c r="A33" s="26" t="s">
        <v>47</v>
      </c>
      <c r="B33" s="8">
        <f>IF(B13=0,0,(B13/100)*$B$44)</f>
        <v>0</v>
      </c>
      <c r="C33" s="3" t="s">
        <v>3</v>
      </c>
      <c r="D33" s="3"/>
      <c r="E33" s="18" t="s">
        <v>85</v>
      </c>
      <c r="F33" s="25">
        <f>F32*(F21/100)*J15</f>
        <v>27689.457469908521</v>
      </c>
      <c r="G33" s="3" t="s">
        <v>3</v>
      </c>
      <c r="H33" s="3"/>
      <c r="I33" s="18" t="s">
        <v>141</v>
      </c>
      <c r="J33" s="16">
        <f>F15/B8</f>
        <v>7.4626865671641784</v>
      </c>
      <c r="K33" s="3" t="s">
        <v>46</v>
      </c>
      <c r="L33" s="17"/>
      <c r="M33" s="3"/>
      <c r="N33" s="13">
        <f t="shared" si="5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/>
      <c r="T33" s="22">
        <f t="shared" si="4"/>
        <v>0</v>
      </c>
      <c r="U33" s="20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0.32388059701492533</v>
      </c>
      <c r="AB33" s="31">
        <v>170875.16275258298</v>
      </c>
      <c r="AC33" s="33">
        <f t="shared" si="12"/>
        <v>3.3087699461478897</v>
      </c>
      <c r="AD33" s="3"/>
      <c r="AE33" s="29">
        <f t="shared" si="18"/>
        <v>40</v>
      </c>
      <c r="AF33" s="32">
        <f t="shared" si="14"/>
        <v>201377.87250842559</v>
      </c>
      <c r="AG33" s="31">
        <v>227128.23991261097</v>
      </c>
      <c r="AH33" s="33">
        <f t="shared" si="15"/>
        <v>37.318605626613923</v>
      </c>
    </row>
    <row r="34" spans="1:34" ht="15.75" customHeight="1" x14ac:dyDescent="0.25">
      <c r="A34" s="26"/>
      <c r="B34" s="8"/>
      <c r="C34" s="3"/>
      <c r="D34" s="3"/>
      <c r="E34" s="3"/>
      <c r="F34" s="27"/>
      <c r="G34" s="3"/>
      <c r="H34" s="3"/>
      <c r="I34" s="18"/>
      <c r="J34" s="16"/>
      <c r="K34" s="3"/>
      <c r="L34" s="17"/>
      <c r="M34" s="3"/>
      <c r="N34" s="13">
        <f t="shared" si="5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/>
      <c r="T34" s="22">
        <f t="shared" si="4"/>
        <v>0</v>
      </c>
      <c r="U34" s="20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0.34701492537313428</v>
      </c>
      <c r="AB34" s="31">
        <v>172243.35880058928</v>
      </c>
      <c r="AC34" s="33">
        <f t="shared" si="12"/>
        <v>4.1359624326848179</v>
      </c>
      <c r="AD34" s="3"/>
      <c r="AE34" s="29">
        <f t="shared" si="18"/>
        <v>50</v>
      </c>
      <c r="AF34" s="32">
        <f t="shared" si="14"/>
        <v>215762.00625902743</v>
      </c>
      <c r="AG34" s="31">
        <v>242559.70525062439</v>
      </c>
      <c r="AH34" s="33">
        <f t="shared" si="15"/>
        <v>46.648257033267434</v>
      </c>
    </row>
    <row r="35" spans="1:34" ht="15.75" customHeight="1" x14ac:dyDescent="0.25">
      <c r="A35" s="18" t="s">
        <v>54</v>
      </c>
      <c r="B35" s="5">
        <f t="shared" ref="B35:B36" si="20">IF(B15=0,0,(B15/100)*$B$44)</f>
        <v>22441.096774193546</v>
      </c>
      <c r="C35" s="3" t="s">
        <v>3</v>
      </c>
      <c r="D35" s="3"/>
      <c r="E35" s="1" t="s">
        <v>88</v>
      </c>
      <c r="F35" s="3"/>
      <c r="G35" s="3"/>
      <c r="H35" s="3"/>
      <c r="I35" s="3"/>
      <c r="J35" s="27"/>
      <c r="K35" s="3"/>
      <c r="L35" s="17"/>
      <c r="M35" s="3"/>
      <c r="N35" s="13">
        <f t="shared" si="5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/>
      <c r="T35" s="22">
        <f t="shared" si="4"/>
        <v>0</v>
      </c>
      <c r="U35" s="20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6" t="s">
        <v>58</v>
      </c>
      <c r="B36" s="5">
        <f t="shared" si="20"/>
        <v>18195.483870967739</v>
      </c>
      <c r="C36" s="3" t="s">
        <v>3</v>
      </c>
      <c r="D36" s="3"/>
      <c r="E36" s="18" t="s">
        <v>147</v>
      </c>
      <c r="F36" s="21">
        <f>F13/$B$8</f>
        <v>0.23134328358208953</v>
      </c>
      <c r="G36" s="3" t="s">
        <v>111</v>
      </c>
      <c r="H36" s="3"/>
      <c r="I36" s="18" t="s">
        <v>45</v>
      </c>
      <c r="J36" s="7">
        <f>F20*F12/$B$8</f>
        <v>3120</v>
      </c>
      <c r="K36" s="3" t="s">
        <v>46</v>
      </c>
      <c r="L36" s="17"/>
      <c r="M36" s="3"/>
      <c r="N36" s="13">
        <f t="shared" si="5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/>
      <c r="T36" s="22">
        <f t="shared" si="4"/>
        <v>0</v>
      </c>
      <c r="U36" s="20">
        <f t="shared" si="0"/>
        <v>0</v>
      </c>
      <c r="V36" s="4"/>
      <c r="W36" s="8"/>
      <c r="X36" s="3"/>
      <c r="Y36" s="3"/>
      <c r="Z36" s="28" t="s">
        <v>45</v>
      </c>
      <c r="AA36" s="29"/>
      <c r="AB36" s="29"/>
      <c r="AC36" s="29"/>
      <c r="AD36" s="3"/>
      <c r="AE36" s="28" t="s">
        <v>89</v>
      </c>
      <c r="AF36" s="29"/>
      <c r="AG36" s="29"/>
      <c r="AH36" s="29"/>
    </row>
    <row r="37" spans="1:34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150</v>
      </c>
      <c r="F37" s="41">
        <f>F36*J10</f>
        <v>0.11335820895522386</v>
      </c>
      <c r="G37" s="3" t="s">
        <v>4</v>
      </c>
      <c r="H37" s="3"/>
      <c r="I37" s="3"/>
      <c r="J37" s="3"/>
      <c r="K37" s="3"/>
      <c r="L37" s="17"/>
      <c r="M37" s="3"/>
      <c r="N37" s="13">
        <f t="shared" si="5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/>
      <c r="T37" s="22">
        <f t="shared" si="4"/>
        <v>0</v>
      </c>
      <c r="U37" s="20">
        <f t="shared" si="0"/>
        <v>0</v>
      </c>
      <c r="V37" s="4"/>
      <c r="W37" s="8"/>
      <c r="X37" s="3"/>
      <c r="Y37" s="3"/>
      <c r="Z37" s="29" t="s">
        <v>68</v>
      </c>
      <c r="AA37" s="29" t="s">
        <v>103</v>
      </c>
      <c r="AB37" s="29" t="s">
        <v>21</v>
      </c>
      <c r="AC37" s="29" t="s">
        <v>70</v>
      </c>
      <c r="AD37" s="3"/>
      <c r="AE37" s="29" t="s">
        <v>68</v>
      </c>
      <c r="AF37" s="29" t="s">
        <v>92</v>
      </c>
      <c r="AG37" s="29" t="s">
        <v>21</v>
      </c>
      <c r="AH37" s="29" t="s">
        <v>70</v>
      </c>
    </row>
    <row r="38" spans="1:34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117</v>
      </c>
      <c r="F38" s="27">
        <f>F37*F12</f>
        <v>1700.373134328358</v>
      </c>
      <c r="G38" s="3" t="s">
        <v>46</v>
      </c>
      <c r="H38" s="3"/>
      <c r="I38" s="3"/>
      <c r="J38" s="3"/>
      <c r="K38" s="3"/>
      <c r="L38" s="17"/>
      <c r="M38" s="3"/>
      <c r="N38" s="13">
        <f t="shared" si="5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/>
      <c r="T38" s="22">
        <f t="shared" si="4"/>
        <v>0</v>
      </c>
      <c r="U38" s="20">
        <f t="shared" si="0"/>
        <v>0</v>
      </c>
      <c r="V38" s="4"/>
      <c r="W38" s="8"/>
      <c r="X38" s="3"/>
      <c r="Y38" s="3"/>
      <c r="Z38" s="29" t="s">
        <v>75</v>
      </c>
      <c r="AA38" s="30">
        <v>3120</v>
      </c>
      <c r="AB38" s="31">
        <f>U49</f>
        <v>165402.3785605575</v>
      </c>
      <c r="AC38" s="29"/>
      <c r="AD38" s="3"/>
      <c r="AE38" s="29" t="s">
        <v>75</v>
      </c>
      <c r="AF38" s="32">
        <v>15000</v>
      </c>
      <c r="AG38" s="31">
        <f>U49</f>
        <v>165402.3785605575</v>
      </c>
      <c r="AH38" s="29"/>
    </row>
    <row r="39" spans="1:34" ht="15.75" customHeight="1" x14ac:dyDescent="0.25">
      <c r="A39" s="26" t="s">
        <v>64</v>
      </c>
      <c r="B39" s="8">
        <f>B19/B8</f>
        <v>4077.4193548387098</v>
      </c>
      <c r="C39" s="3" t="s">
        <v>3</v>
      </c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5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/>
      <c r="T39" s="22">
        <f t="shared" si="4"/>
        <v>0</v>
      </c>
      <c r="U39" s="20">
        <f t="shared" si="0"/>
        <v>0</v>
      </c>
      <c r="V39" s="4"/>
      <c r="W39" s="8"/>
      <c r="X39" s="3"/>
      <c r="Y39" s="3"/>
      <c r="Z39" s="29">
        <f t="shared" ref="Z39:Z43" si="21">Z40-10</f>
        <v>-50</v>
      </c>
      <c r="AA39" s="30">
        <f t="shared" ref="AA39:AA49" si="22">$AA$38*(1+(Z39/100))</f>
        <v>1560</v>
      </c>
      <c r="AB39" s="31">
        <f t="dataTable" ref="AB39:AB49" dt2D="0" dtr="0" r1="J36" ca="1"/>
        <v>153356.47207102925</v>
      </c>
      <c r="AC39" s="33">
        <f t="shared" ref="AC39:AC49" si="23">100*((AB39-$AB$44)/$AB$44)</f>
        <v>-7.2827891559721287</v>
      </c>
      <c r="AD39" s="3"/>
      <c r="AE39" s="29">
        <f t="shared" ref="AE39:AE43" si="24">AE40-10</f>
        <v>-50</v>
      </c>
      <c r="AF39" s="32">
        <f t="shared" ref="AF39:AF49" si="25">$AF$38*(1+(AE39/100))</f>
        <v>7500</v>
      </c>
      <c r="AG39" s="31">
        <f t="dataTable" ref="AG39:AG49" dt2D="0" dtr="0" r1="F12" ca="1"/>
        <v>146515.49183099743</v>
      </c>
      <c r="AH39" s="33">
        <f t="shared" ref="AH39:AH49" si="26">100*((AG39-$AG$44)/$AG$44)</f>
        <v>-11.418751588656963</v>
      </c>
    </row>
    <row r="40" spans="1:34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5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/>
      <c r="T40" s="22">
        <f t="shared" si="4"/>
        <v>0</v>
      </c>
      <c r="U40" s="20">
        <f t="shared" si="0"/>
        <v>0</v>
      </c>
      <c r="V40" s="4"/>
      <c r="W40" s="8"/>
      <c r="X40" s="3"/>
      <c r="Y40" s="3"/>
      <c r="Z40" s="29">
        <f t="shared" si="21"/>
        <v>-40</v>
      </c>
      <c r="AA40" s="30">
        <f t="shared" si="22"/>
        <v>1872</v>
      </c>
      <c r="AB40" s="31">
        <v>155765.65336893484</v>
      </c>
      <c r="AC40" s="33">
        <f t="shared" si="23"/>
        <v>-5.8262313247777344</v>
      </c>
      <c r="AD40" s="3"/>
      <c r="AE40" s="29">
        <f t="shared" si="24"/>
        <v>-40</v>
      </c>
      <c r="AF40" s="32">
        <f t="shared" si="25"/>
        <v>9000</v>
      </c>
      <c r="AG40" s="31">
        <v>150292.86917690944</v>
      </c>
      <c r="AH40" s="33">
        <f t="shared" si="26"/>
        <v>-9.1350012709255726</v>
      </c>
    </row>
    <row r="41" spans="1:34" ht="15.75" customHeight="1" x14ac:dyDescent="0.25">
      <c r="A41" s="3"/>
      <c r="B41" s="3"/>
      <c r="C41" s="3"/>
      <c r="D41" s="3"/>
      <c r="E41" s="18" t="s">
        <v>86</v>
      </c>
      <c r="F41" s="8">
        <f>F12*B5</f>
        <v>150000</v>
      </c>
      <c r="G41" s="3" t="s">
        <v>87</v>
      </c>
      <c r="H41" s="3"/>
      <c r="I41" s="3"/>
      <c r="J41" s="3"/>
      <c r="K41" s="3"/>
      <c r="L41" s="17"/>
      <c r="M41" s="3"/>
      <c r="N41" s="13">
        <f t="shared" si="5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/>
      <c r="T41" s="22">
        <f t="shared" si="4"/>
        <v>0</v>
      </c>
      <c r="U41" s="20">
        <f t="shared" si="0"/>
        <v>0</v>
      </c>
      <c r="V41" s="4"/>
      <c r="W41" s="8"/>
      <c r="X41" s="3"/>
      <c r="Y41" s="3"/>
      <c r="Z41" s="29">
        <f t="shared" si="21"/>
        <v>-30</v>
      </c>
      <c r="AA41" s="30">
        <f t="shared" si="22"/>
        <v>2184</v>
      </c>
      <c r="AB41" s="31">
        <v>158174.83466684053</v>
      </c>
      <c r="AC41" s="33">
        <f t="shared" si="23"/>
        <v>-4.3696734935832877</v>
      </c>
      <c r="AD41" s="3"/>
      <c r="AE41" s="29">
        <f t="shared" si="24"/>
        <v>-30</v>
      </c>
      <c r="AF41" s="32">
        <f t="shared" si="25"/>
        <v>10500</v>
      </c>
      <c r="AG41" s="31">
        <v>154070.24652282149</v>
      </c>
      <c r="AH41" s="33">
        <f t="shared" si="26"/>
        <v>-6.8512509531941612</v>
      </c>
    </row>
    <row r="42" spans="1:34" ht="15.75" customHeight="1" x14ac:dyDescent="0.25">
      <c r="A42" s="24" t="s">
        <v>96</v>
      </c>
      <c r="B42" s="4"/>
      <c r="C42" s="1"/>
      <c r="D42" s="3"/>
      <c r="E42" s="18"/>
      <c r="F42" s="16"/>
      <c r="G42" s="3"/>
      <c r="H42" s="3"/>
      <c r="I42" s="1"/>
      <c r="J42" s="3"/>
      <c r="K42" s="3"/>
      <c r="L42" s="17"/>
      <c r="M42" s="3"/>
      <c r="N42" s="13">
        <f t="shared" si="5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/>
      <c r="T42" s="22">
        <f t="shared" si="4"/>
        <v>0</v>
      </c>
      <c r="U42" s="20">
        <f t="shared" si="0"/>
        <v>0</v>
      </c>
      <c r="V42" s="4"/>
      <c r="W42" s="8"/>
      <c r="X42" s="3"/>
      <c r="Y42" s="3"/>
      <c r="Z42" s="29">
        <f t="shared" si="21"/>
        <v>-20</v>
      </c>
      <c r="AA42" s="30">
        <f t="shared" si="22"/>
        <v>2496</v>
      </c>
      <c r="AB42" s="31">
        <v>160584.01596474618</v>
      </c>
      <c r="AC42" s="33">
        <f t="shared" si="23"/>
        <v>-2.9131156623888583</v>
      </c>
      <c r="AD42" s="3"/>
      <c r="AE42" s="29">
        <f t="shared" si="24"/>
        <v>-20</v>
      </c>
      <c r="AF42" s="32">
        <f t="shared" si="25"/>
        <v>12000</v>
      </c>
      <c r="AG42" s="31">
        <v>157847.62386873344</v>
      </c>
      <c r="AH42" s="33">
        <f t="shared" si="26"/>
        <v>-4.5675006354628032</v>
      </c>
    </row>
    <row r="43" spans="1:34" ht="15.75" customHeight="1" x14ac:dyDescent="0.25">
      <c r="A43" s="18" t="s">
        <v>145</v>
      </c>
      <c r="B43" s="8">
        <f>J8/B8</f>
        <v>101935.48387096774</v>
      </c>
      <c r="C43" s="3" t="s">
        <v>3</v>
      </c>
      <c r="D43" s="3"/>
      <c r="E43" s="3"/>
      <c r="F43" s="3"/>
      <c r="G43" s="3"/>
      <c r="H43" s="3"/>
      <c r="I43" s="18"/>
      <c r="J43" s="7"/>
      <c r="K43" s="3"/>
      <c r="L43" s="17"/>
      <c r="M43" s="3"/>
      <c r="N43" s="13">
        <f t="shared" si="5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/>
      <c r="T43" s="22">
        <f t="shared" si="4"/>
        <v>0</v>
      </c>
      <c r="U43" s="20">
        <f t="shared" si="0"/>
        <v>0</v>
      </c>
      <c r="V43" s="4"/>
      <c r="W43" s="8"/>
      <c r="X43" s="3"/>
      <c r="Y43" s="3"/>
      <c r="Z43" s="29">
        <f t="shared" si="21"/>
        <v>-10</v>
      </c>
      <c r="AA43" s="30">
        <f t="shared" si="22"/>
        <v>2808</v>
      </c>
      <c r="AB43" s="31">
        <v>162993.19726265184</v>
      </c>
      <c r="AC43" s="33">
        <f t="shared" si="23"/>
        <v>-1.4565578311944292</v>
      </c>
      <c r="AD43" s="3"/>
      <c r="AE43" s="29">
        <f t="shared" si="24"/>
        <v>-10</v>
      </c>
      <c r="AF43" s="32">
        <f t="shared" si="25"/>
        <v>13500</v>
      </c>
      <c r="AG43" s="31">
        <v>161625.00121464551</v>
      </c>
      <c r="AH43" s="33">
        <f t="shared" si="26"/>
        <v>-2.2837503177313754</v>
      </c>
    </row>
    <row r="44" spans="1:34" ht="15.75" customHeight="1" x14ac:dyDescent="0.25">
      <c r="A44" s="3" t="s">
        <v>100</v>
      </c>
      <c r="B44" s="25">
        <f>((1+B16/100)*B43)+B39</f>
        <v>121303.22580645161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5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/>
      <c r="T44" s="22">
        <f t="shared" si="4"/>
        <v>0</v>
      </c>
      <c r="U44" s="20">
        <f t="shared" si="0"/>
        <v>0</v>
      </c>
      <c r="V44" s="4"/>
      <c r="W44" s="8"/>
      <c r="X44" s="3"/>
      <c r="Y44" s="3"/>
      <c r="Z44" s="52">
        <v>0</v>
      </c>
      <c r="AA44" s="58">
        <f t="shared" si="22"/>
        <v>3120</v>
      </c>
      <c r="AB44" s="54">
        <v>165402.3785605575</v>
      </c>
      <c r="AC44" s="55">
        <f t="shared" si="23"/>
        <v>0</v>
      </c>
      <c r="AD44" s="3"/>
      <c r="AE44" s="38">
        <v>0</v>
      </c>
      <c r="AF44" s="44">
        <f t="shared" si="25"/>
        <v>15000</v>
      </c>
      <c r="AG44" s="39">
        <v>165402.3785605575</v>
      </c>
      <c r="AH44" s="51">
        <f t="shared" si="26"/>
        <v>0</v>
      </c>
    </row>
    <row r="45" spans="1:34" ht="15.75" customHeight="1" x14ac:dyDescent="0.25">
      <c r="A45" s="26" t="s">
        <v>118</v>
      </c>
      <c r="B45" s="8">
        <f>B44+B37+B38+B40+B35</f>
        <v>143841.33750601829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5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/>
      <c r="T45" s="22">
        <f t="shared" si="4"/>
        <v>0</v>
      </c>
      <c r="U45" s="20">
        <f t="shared" si="0"/>
        <v>0</v>
      </c>
      <c r="V45" s="4"/>
      <c r="W45" s="8"/>
      <c r="X45" s="3"/>
      <c r="Y45" s="3"/>
      <c r="Z45" s="29">
        <f t="shared" ref="Z45:Z49" si="27">Z44+10</f>
        <v>10</v>
      </c>
      <c r="AA45" s="30">
        <f t="shared" si="22"/>
        <v>3432.0000000000005</v>
      </c>
      <c r="AB45" s="31">
        <v>167811.55985846321</v>
      </c>
      <c r="AC45" s="33">
        <f t="shared" si="23"/>
        <v>1.4565578311944645</v>
      </c>
      <c r="AD45" s="3"/>
      <c r="AE45" s="29">
        <f t="shared" ref="AE45:AE49" si="28">AE44+10</f>
        <v>10</v>
      </c>
      <c r="AF45" s="32">
        <f t="shared" si="25"/>
        <v>16500</v>
      </c>
      <c r="AG45" s="31">
        <v>169179.75590646954</v>
      </c>
      <c r="AH45" s="33">
        <f t="shared" si="26"/>
        <v>2.2837503177314105</v>
      </c>
    </row>
    <row r="46" spans="1:34" ht="15.75" customHeight="1" x14ac:dyDescent="0.25">
      <c r="A46" s="26" t="s">
        <v>152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5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/>
      <c r="T46" s="22">
        <f t="shared" si="4"/>
        <v>0</v>
      </c>
      <c r="U46" s="20">
        <f t="shared" si="0"/>
        <v>0</v>
      </c>
      <c r="V46" s="4"/>
      <c r="W46" s="8"/>
      <c r="X46" s="3"/>
      <c r="Y46" s="3"/>
      <c r="Z46" s="29">
        <f t="shared" si="27"/>
        <v>20</v>
      </c>
      <c r="AA46" s="30">
        <f t="shared" si="22"/>
        <v>3744</v>
      </c>
      <c r="AB46" s="31">
        <v>170220.74115636884</v>
      </c>
      <c r="AC46" s="33">
        <f t="shared" si="23"/>
        <v>2.9131156623888756</v>
      </c>
      <c r="AD46" s="3"/>
      <c r="AE46" s="29">
        <f t="shared" si="28"/>
        <v>20</v>
      </c>
      <c r="AF46" s="32">
        <f t="shared" si="25"/>
        <v>18000</v>
      </c>
      <c r="AG46" s="31">
        <v>172957.13325238158</v>
      </c>
      <c r="AH46" s="33">
        <f t="shared" si="26"/>
        <v>4.5675006354628209</v>
      </c>
    </row>
    <row r="47" spans="1:34" ht="15.75" customHeight="1" x14ac:dyDescent="0.25">
      <c r="A47" s="26" t="s">
        <v>144</v>
      </c>
      <c r="B47" s="8">
        <f>SUM(B45:B46)</f>
        <v>143841.33750601829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5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/>
      <c r="T47" s="22">
        <f t="shared" si="4"/>
        <v>0</v>
      </c>
      <c r="U47" s="20">
        <f t="shared" si="0"/>
        <v>0</v>
      </c>
      <c r="V47" s="4"/>
      <c r="W47" s="8"/>
      <c r="X47" s="3"/>
      <c r="Y47" s="3"/>
      <c r="Z47" s="29">
        <f t="shared" si="27"/>
        <v>30</v>
      </c>
      <c r="AA47" s="30">
        <f t="shared" si="22"/>
        <v>4056</v>
      </c>
      <c r="AB47" s="31">
        <v>172629.92245427452</v>
      </c>
      <c r="AC47" s="33">
        <f t="shared" si="23"/>
        <v>4.3696734935833232</v>
      </c>
      <c r="AD47" s="3"/>
      <c r="AE47" s="29">
        <f t="shared" si="28"/>
        <v>30</v>
      </c>
      <c r="AF47" s="32">
        <f t="shared" si="25"/>
        <v>19500</v>
      </c>
      <c r="AG47" s="31">
        <v>176734.51059829362</v>
      </c>
      <c r="AH47" s="33">
        <f t="shared" si="26"/>
        <v>6.8512509531942305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5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/>
      <c r="T48" s="22">
        <f t="shared" si="4"/>
        <v>0</v>
      </c>
      <c r="U48" s="20">
        <f t="shared" si="0"/>
        <v>0</v>
      </c>
      <c r="V48" s="4"/>
      <c r="W48" s="8"/>
      <c r="X48" s="3"/>
      <c r="Y48" s="3"/>
      <c r="Z48" s="29">
        <f t="shared" si="27"/>
        <v>40</v>
      </c>
      <c r="AA48" s="30">
        <f t="shared" si="22"/>
        <v>4368</v>
      </c>
      <c r="AB48" s="31">
        <v>175039.10375218018</v>
      </c>
      <c r="AC48" s="33">
        <f t="shared" si="23"/>
        <v>5.8262313247777513</v>
      </c>
      <c r="AD48" s="3"/>
      <c r="AE48" s="29">
        <f t="shared" si="28"/>
        <v>40</v>
      </c>
      <c r="AF48" s="32">
        <f t="shared" si="25"/>
        <v>21000</v>
      </c>
      <c r="AG48" s="31">
        <v>180511.88794420563</v>
      </c>
      <c r="AH48" s="33">
        <f t="shared" si="26"/>
        <v>9.1350012709256241</v>
      </c>
    </row>
    <row r="49" spans="1:34" ht="15.75" customHeight="1" x14ac:dyDescent="0.25">
      <c r="A49" s="15"/>
      <c r="B49" s="5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101</v>
      </c>
      <c r="O49" s="20">
        <f t="shared" ref="O49:R49" si="29">SUM(O8:O48)</f>
        <v>43152.401251805488</v>
      </c>
      <c r="P49" s="20">
        <f t="shared" si="29"/>
        <v>111162.25212832825</v>
      </c>
      <c r="Q49" s="20">
        <f t="shared" si="29"/>
        <v>13681.960480063608</v>
      </c>
      <c r="R49" s="20">
        <f t="shared" si="29"/>
        <v>33138.920321459707</v>
      </c>
      <c r="S49" s="20"/>
      <c r="T49" s="20">
        <f t="shared" ref="T49:U49" si="30">SUM(T8:T48)</f>
        <v>-35733.155621099533</v>
      </c>
      <c r="U49" s="20">
        <f t="shared" si="30"/>
        <v>165402.3785605575</v>
      </c>
      <c r="V49" s="4"/>
      <c r="W49" s="4"/>
      <c r="X49" s="3"/>
      <c r="Y49" s="3"/>
      <c r="Z49" s="29">
        <f t="shared" si="27"/>
        <v>50</v>
      </c>
      <c r="AA49" s="30">
        <f t="shared" si="22"/>
        <v>4680</v>
      </c>
      <c r="AB49" s="31">
        <v>177448.2850500858</v>
      </c>
      <c r="AC49" s="33">
        <f t="shared" si="23"/>
        <v>7.2827891559721634</v>
      </c>
      <c r="AD49" s="3"/>
      <c r="AE49" s="29">
        <f t="shared" si="28"/>
        <v>50</v>
      </c>
      <c r="AF49" s="32">
        <f t="shared" si="25"/>
        <v>22500</v>
      </c>
      <c r="AG49" s="31">
        <v>184289.26529011765</v>
      </c>
      <c r="AH49" s="33">
        <f t="shared" si="26"/>
        <v>11.418751588657017</v>
      </c>
    </row>
    <row r="50" spans="1:34" ht="15.75" customHeight="1" x14ac:dyDescent="0.25">
      <c r="A50" s="3"/>
      <c r="B50" s="2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25">
        <f>SUM(R49:S49)</f>
        <v>33138.920321459707</v>
      </c>
      <c r="S50" s="3"/>
      <c r="T50" s="3"/>
      <c r="U50" s="3"/>
      <c r="V50" s="3"/>
      <c r="W50" s="3"/>
      <c r="X50" s="25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8" t="s">
        <v>172</v>
      </c>
      <c r="AA51" s="29"/>
      <c r="AB51" s="29"/>
      <c r="AC51" s="29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9" t="s">
        <v>68</v>
      </c>
      <c r="AA52" s="29" t="s">
        <v>172</v>
      </c>
      <c r="AB52" s="29" t="s">
        <v>21</v>
      </c>
      <c r="AC52" s="29" t="s">
        <v>70</v>
      </c>
      <c r="AD52" s="3"/>
      <c r="AE52" s="3"/>
      <c r="AF52" s="3"/>
      <c r="AG52" s="3"/>
      <c r="AH52" s="3"/>
    </row>
    <row r="53" spans="1:34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27"/>
      <c r="Y53" s="3"/>
      <c r="Z53" s="29" t="s">
        <v>75</v>
      </c>
      <c r="AA53" s="30">
        <v>0.49</v>
      </c>
      <c r="AB53" s="31">
        <f>U49</f>
        <v>165402.3785605575</v>
      </c>
      <c r="AC53" s="29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3"/>
      <c r="V54" s="3"/>
      <c r="W54" s="3"/>
      <c r="X54" s="27"/>
      <c r="Y54" s="3"/>
      <c r="Z54" s="29">
        <f t="shared" ref="Z54:Z58" si="31">Z55-10</f>
        <v>-50</v>
      </c>
      <c r="AA54" s="30">
        <f>$AA$53*(1-(Z54/100))</f>
        <v>0.73499999999999999</v>
      </c>
      <c r="AB54" s="31">
        <f t="dataTable" ref="AB54:AB64" dt2D="0" dtr="0" r1="J10" ca="1"/>
        <v>172243.35880058928</v>
      </c>
      <c r="AC54" s="33">
        <f>100*((AB54-$AB$59)/$AB$59)</f>
        <v>4.1359624326848179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154314.65338013374</v>
      </c>
      <c r="Q55" s="3" t="s">
        <v>3</v>
      </c>
      <c r="R55" s="48">
        <f t="shared" ref="R55:R58" si="32">P55/$F$41</f>
        <v>1.0287643558675583</v>
      </c>
      <c r="S55" s="3" t="s">
        <v>4</v>
      </c>
      <c r="T55" s="3"/>
      <c r="U55" s="3"/>
      <c r="V55" s="3"/>
      <c r="W55" s="3"/>
      <c r="X55" s="27"/>
      <c r="Y55" s="3"/>
      <c r="Z55" s="29">
        <f t="shared" si="31"/>
        <v>-40</v>
      </c>
      <c r="AA55" s="30">
        <f t="shared" ref="AA55:AA58" si="33">$AA$53*(1-(Z55/100))</f>
        <v>0.68599999999999994</v>
      </c>
      <c r="AB55" s="31">
        <v>170875.16275258298</v>
      </c>
      <c r="AC55" s="33">
        <f t="shared" ref="AC55:AC64" si="34">100*((AB55-$AB$59)/$AB$59)</f>
        <v>3.3087699461478897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SUM(Q49)</f>
        <v>13681.960480063608</v>
      </c>
      <c r="Q56" s="3" t="s">
        <v>3</v>
      </c>
      <c r="R56" s="48">
        <f t="shared" si="32"/>
        <v>9.1213069867090726E-2</v>
      </c>
      <c r="S56" s="3" t="s">
        <v>4</v>
      </c>
      <c r="T56" s="3"/>
      <c r="U56" s="3"/>
      <c r="V56" s="3"/>
      <c r="W56" s="3"/>
      <c r="X56" s="27"/>
      <c r="Y56" s="3"/>
      <c r="Z56" s="29">
        <f t="shared" si="31"/>
        <v>-30</v>
      </c>
      <c r="AA56" s="30">
        <f t="shared" si="33"/>
        <v>0.63700000000000001</v>
      </c>
      <c r="AB56" s="31">
        <v>169506.96670457663</v>
      </c>
      <c r="AC56" s="33">
        <f t="shared" si="34"/>
        <v>2.4815774596109264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SUM(R49:S49)</f>
        <v>33138.920321459707</v>
      </c>
      <c r="Q57" s="3" t="s">
        <v>3</v>
      </c>
      <c r="R57" s="48">
        <f t="shared" si="32"/>
        <v>0.22092613547639806</v>
      </c>
      <c r="S57" s="3" t="s">
        <v>4</v>
      </c>
      <c r="T57" s="3"/>
      <c r="U57" s="3"/>
      <c r="V57" s="3"/>
      <c r="W57" s="3"/>
      <c r="X57" s="27"/>
      <c r="Y57" s="3"/>
      <c r="Z57" s="29">
        <f t="shared" si="31"/>
        <v>-20</v>
      </c>
      <c r="AA57" s="30">
        <f t="shared" si="33"/>
        <v>0.58799999999999997</v>
      </c>
      <c r="AB57" s="31">
        <v>168138.77065657024</v>
      </c>
      <c r="AC57" s="33">
        <f t="shared" si="34"/>
        <v>1.6543849730739448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143</v>
      </c>
      <c r="P58" s="25">
        <f>T49</f>
        <v>-35733.155621099533</v>
      </c>
      <c r="Q58" s="3" t="s">
        <v>3</v>
      </c>
      <c r="R58" s="48">
        <f t="shared" si="32"/>
        <v>-0.23822103747399689</v>
      </c>
      <c r="S58" s="3" t="s">
        <v>4</v>
      </c>
      <c r="T58" s="3"/>
      <c r="U58" s="3"/>
      <c r="V58" s="3"/>
      <c r="W58" s="3"/>
      <c r="X58" s="27"/>
      <c r="Y58" s="3"/>
      <c r="Z58" s="29">
        <f t="shared" si="31"/>
        <v>-10</v>
      </c>
      <c r="AA58" s="30">
        <f t="shared" si="33"/>
        <v>0.53900000000000003</v>
      </c>
      <c r="AB58" s="31">
        <v>166770.57460856388</v>
      </c>
      <c r="AC58" s="33">
        <f t="shared" si="34"/>
        <v>0.82719248653698119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7"/>
      <c r="Y59" s="3"/>
      <c r="Z59" s="38">
        <v>0</v>
      </c>
      <c r="AA59" s="53">
        <f t="shared" ref="AA59" si="35">$AA$53*(1+(Z59/100))</f>
        <v>0.49</v>
      </c>
      <c r="AB59" s="39">
        <v>165402.3785605575</v>
      </c>
      <c r="AC59" s="55">
        <f t="shared" si="34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165402.3785605575</v>
      </c>
      <c r="Q60" s="1" t="s">
        <v>3</v>
      </c>
      <c r="R60" s="43">
        <f>SUM(R55:R58)</f>
        <v>1.1026825237370503</v>
      </c>
      <c r="S60" s="1" t="s">
        <v>4</v>
      </c>
      <c r="T60" s="3"/>
      <c r="U60" s="3"/>
      <c r="V60" s="3"/>
      <c r="W60" s="3"/>
      <c r="X60" s="27"/>
      <c r="Y60" s="3"/>
      <c r="Z60" s="29">
        <f t="shared" ref="Z60:Z64" si="36">Z59+10</f>
        <v>10</v>
      </c>
      <c r="AA60" s="30">
        <f t="shared" ref="AA60:AA64" si="37">$AA$53*(1-(Z60/100))</f>
        <v>0.441</v>
      </c>
      <c r="AB60" s="31">
        <v>164034.18251255114</v>
      </c>
      <c r="AC60" s="33">
        <f t="shared" si="34"/>
        <v>-0.82719248653696376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7"/>
      <c r="Y61" s="3"/>
      <c r="Z61" s="29">
        <f t="shared" si="36"/>
        <v>20</v>
      </c>
      <c r="AA61" s="30">
        <f t="shared" si="37"/>
        <v>0.39200000000000002</v>
      </c>
      <c r="AB61" s="31">
        <v>162665.98646454478</v>
      </c>
      <c r="AC61" s="33">
        <f t="shared" si="34"/>
        <v>-1.6543849730739275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7"/>
      <c r="Y62" s="3"/>
      <c r="Z62" s="29">
        <f t="shared" si="36"/>
        <v>30</v>
      </c>
      <c r="AA62" s="30">
        <f t="shared" si="37"/>
        <v>0.34299999999999997</v>
      </c>
      <c r="AB62" s="31">
        <v>161297.79041653845</v>
      </c>
      <c r="AC62" s="33">
        <f t="shared" si="34"/>
        <v>-2.4815774596108735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7"/>
      <c r="Y63" s="3"/>
      <c r="Z63" s="29">
        <f t="shared" si="36"/>
        <v>40</v>
      </c>
      <c r="AA63" s="30">
        <f t="shared" si="37"/>
        <v>0.29399999999999998</v>
      </c>
      <c r="AB63" s="31">
        <v>159929.5943685321</v>
      </c>
      <c r="AC63" s="33">
        <f t="shared" si="34"/>
        <v>-3.3087699461478368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7"/>
      <c r="Y64" s="3"/>
      <c r="Z64" s="29">
        <f t="shared" si="36"/>
        <v>50</v>
      </c>
      <c r="AA64" s="30">
        <f t="shared" si="37"/>
        <v>0.245</v>
      </c>
      <c r="AB64" s="31">
        <v>158561.39832052571</v>
      </c>
      <c r="AC64" s="33">
        <f t="shared" si="34"/>
        <v>-4.1359624326848179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AY1000"/>
  <sheetViews>
    <sheetView topLeftCell="F4" zoomScale="85" zoomScaleNormal="85" workbookViewId="0">
      <selection activeCell="I7" sqref="I7:J26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42578125" customWidth="1"/>
    <col min="9" max="9" width="47" bestFit="1" customWidth="1"/>
    <col min="10" max="10" width="17.5703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33.5703125" customWidth="1"/>
    <col min="19" max="19" width="16.5703125" customWidth="1"/>
    <col min="20" max="20" width="11.140625" customWidth="1"/>
    <col min="21" max="22" width="31.42578125" customWidth="1"/>
    <col min="23" max="23" width="23.85546875" customWidth="1"/>
    <col min="24" max="25" width="13.42578125" customWidth="1"/>
    <col min="26" max="26" width="19.5703125" customWidth="1"/>
    <col min="27" max="27" width="12.42578125" customWidth="1"/>
    <col min="28" max="28" width="20.140625" customWidth="1"/>
    <col min="29" max="29" width="25.42578125" customWidth="1"/>
    <col min="30" max="30" width="12.85546875" customWidth="1"/>
    <col min="31" max="31" width="19" customWidth="1"/>
    <col min="32" max="32" width="4.5703125" customWidth="1"/>
    <col min="33" max="33" width="20.140625" customWidth="1"/>
    <col min="34" max="34" width="19.42578125" customWidth="1"/>
    <col min="35" max="35" width="11.42578125" customWidth="1"/>
    <col min="36" max="36" width="17.85546875" customWidth="1"/>
    <col min="37" max="38" width="8.85546875" customWidth="1"/>
    <col min="39" max="39" width="17.5703125" customWidth="1"/>
    <col min="40" max="40" width="9.5703125" customWidth="1"/>
    <col min="41" max="41" width="15.5703125" customWidth="1"/>
    <col min="42" max="42" width="8.85546875" customWidth="1"/>
    <col min="43" max="44" width="12.570312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93872.896851581405</v>
      </c>
      <c r="C2" s="1" t="s">
        <v>3</v>
      </c>
      <c r="D2" s="3"/>
      <c r="E2" s="3">
        <v>18000</v>
      </c>
      <c r="F2" s="8">
        <f>E2*B8</f>
        <v>24120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6">
        <f>B2/J34</f>
        <v>0.26820827671880404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142</v>
      </c>
      <c r="X7" s="14" t="s">
        <v>21</v>
      </c>
      <c r="Y7" s="1"/>
      <c r="Z7" s="3"/>
      <c r="AA7" s="3"/>
      <c r="AB7" s="3" t="s">
        <v>22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57058.064516129038</v>
      </c>
      <c r="K8" s="3" t="s">
        <v>26</v>
      </c>
      <c r="L8" s="17"/>
      <c r="M8" s="3"/>
      <c r="N8" s="13">
        <v>0</v>
      </c>
      <c r="O8" s="19">
        <f>F31</f>
        <v>21519.690134870005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21519.690134870005</v>
      </c>
      <c r="Y8" s="4"/>
      <c r="Z8" s="8"/>
      <c r="AA8" s="3"/>
      <c r="AB8" s="3" t="s">
        <v>27</v>
      </c>
      <c r="AC8" s="21">
        <f>F36</f>
        <v>0.11194029850746268</v>
      </c>
      <c r="AD8" s="3" t="s">
        <v>28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7"/>
      <c r="G9" s="3"/>
      <c r="H9" s="17"/>
      <c r="I9" s="18" t="s">
        <v>29</v>
      </c>
      <c r="J9" s="8">
        <v>105</v>
      </c>
      <c r="K9" s="3" t="s">
        <v>28</v>
      </c>
      <c r="L9" s="17"/>
      <c r="M9" s="3"/>
      <c r="N9" s="13">
        <v>1</v>
      </c>
      <c r="O9" s="13"/>
      <c r="P9" s="22">
        <f t="shared" ref="P9:P48" si="1">IF(N9&gt;0,IF(N9&lt;=$J$20,(($F$32+$F$33)/$J$20)/((1+($F$11/100))^N9),0),0)</f>
        <v>12136.697279855596</v>
      </c>
      <c r="Q9" s="23">
        <f t="shared" ref="Q9:Q48" si="2">IF(N9&gt;0,($F$41*((1+($F$14/100))^(N9-1)))/((1+($F$11/100))^N9),0)</f>
        <v>705.59524651623406</v>
      </c>
      <c r="R9" s="23">
        <f t="shared" ref="R9:R48" si="3">IF(N9&gt;0,$F$40/((1+($F$11/100))^N9),0)</f>
        <v>0</v>
      </c>
      <c r="S9" s="23">
        <f t="shared" ref="S9:S48" si="4">IF(N9&gt;0,$J$37/((1+($F$11/100))^N9),0)</f>
        <v>1997.5949635707721</v>
      </c>
      <c r="T9" s="22"/>
      <c r="U9" s="23">
        <f t="shared" ref="U9:U48" si="5">IF(AND(MOD(N9,$J$31)=0,N9&gt;0),$B$46/((1+($F$11/100))^N9),0)</f>
        <v>0</v>
      </c>
      <c r="V9" s="23">
        <f t="shared" ref="V9:V48" si="6">IF(N9&gt;0,$J$32/((1+($F$11/100))^N9),0)</f>
        <v>0</v>
      </c>
      <c r="W9" s="22">
        <f t="shared" ref="W9:W18" si="7">IF(N9=$B$5,((((1-$J$15/100)^N9)*$B$47+((1-$J$16/100)^N9)*$B$48)/((1+($F$11/100))^N9))*-1,0)</f>
        <v>0</v>
      </c>
      <c r="X9" s="20">
        <f t="shared" si="0"/>
        <v>14839.887489942601</v>
      </c>
      <c r="Y9" s="4"/>
      <c r="Z9" s="8"/>
      <c r="AA9" s="3"/>
      <c r="AB9" s="3" t="s">
        <v>30</v>
      </c>
      <c r="AC9" s="5">
        <f>B48</f>
        <v>9780.75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33</v>
      </c>
      <c r="J10" s="8">
        <v>81</v>
      </c>
      <c r="K10" s="3" t="s">
        <v>34</v>
      </c>
      <c r="L10" s="17"/>
      <c r="M10" s="3"/>
      <c r="N10" s="13">
        <f t="shared" ref="N10:N48" si="8">IF((N9+1)&gt;$B$5,,IF(N9=0,,N9+1))</f>
        <v>2</v>
      </c>
      <c r="O10" s="13"/>
      <c r="P10" s="22">
        <f t="shared" si="1"/>
        <v>11503.978464318101</v>
      </c>
      <c r="Q10" s="23">
        <f t="shared" si="2"/>
        <v>675.49876680701072</v>
      </c>
      <c r="R10" s="23">
        <f t="shared" si="3"/>
        <v>0</v>
      </c>
      <c r="S10" s="23">
        <f t="shared" si="4"/>
        <v>1893.4549417732437</v>
      </c>
      <c r="T10" s="23"/>
      <c r="U10" s="23">
        <f t="shared" si="5"/>
        <v>0</v>
      </c>
      <c r="V10" s="23">
        <f t="shared" si="6"/>
        <v>0</v>
      </c>
      <c r="W10" s="22">
        <f t="shared" si="7"/>
        <v>0</v>
      </c>
      <c r="X10" s="20">
        <f t="shared" si="0"/>
        <v>14072.932172898354</v>
      </c>
      <c r="Y10" s="4"/>
      <c r="Z10" s="8"/>
      <c r="AA10" s="3"/>
      <c r="AB10" s="3" t="s">
        <v>146</v>
      </c>
      <c r="AC10" s="25">
        <f>B52</f>
        <v>71732.300449566683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5.5</v>
      </c>
      <c r="G11" s="3" t="s">
        <v>35</v>
      </c>
      <c r="H11" s="17"/>
      <c r="I11" s="18" t="s">
        <v>37</v>
      </c>
      <c r="J11" s="8">
        <v>900</v>
      </c>
      <c r="K11" s="3" t="s">
        <v>38</v>
      </c>
      <c r="L11" s="17"/>
      <c r="M11" s="3"/>
      <c r="N11" s="13">
        <f t="shared" si="8"/>
        <v>3</v>
      </c>
      <c r="O11" s="13"/>
      <c r="P11" s="22">
        <f t="shared" si="1"/>
        <v>10904.244989874978</v>
      </c>
      <c r="Q11" s="23">
        <f t="shared" si="2"/>
        <v>646.68602319912884</v>
      </c>
      <c r="R11" s="23">
        <f t="shared" si="3"/>
        <v>0</v>
      </c>
      <c r="S11" s="23">
        <f t="shared" si="4"/>
        <v>1794.7440206381459</v>
      </c>
      <c r="T11" s="23"/>
      <c r="U11" s="23">
        <f t="shared" si="5"/>
        <v>0</v>
      </c>
      <c r="V11" s="23">
        <f t="shared" si="6"/>
        <v>0</v>
      </c>
      <c r="W11" s="22">
        <f t="shared" si="7"/>
        <v>0</v>
      </c>
      <c r="X11" s="20">
        <f t="shared" si="0"/>
        <v>13345.675033712252</v>
      </c>
      <c r="Y11" s="4"/>
      <c r="Z11" s="8"/>
      <c r="AA11" s="3"/>
      <c r="AB11" s="3" t="s">
        <v>39</v>
      </c>
      <c r="AC11" s="8">
        <f>F12</f>
        <v>35000</v>
      </c>
      <c r="AD11" s="3" t="s">
        <v>40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35000</v>
      </c>
      <c r="G12" s="3" t="s">
        <v>40</v>
      </c>
      <c r="H12" s="17"/>
      <c r="I12" s="18" t="s">
        <v>43</v>
      </c>
      <c r="J12" s="8">
        <v>200</v>
      </c>
      <c r="K12" s="3" t="s">
        <v>44</v>
      </c>
      <c r="L12" s="17"/>
      <c r="M12" s="3"/>
      <c r="N12" s="13">
        <f t="shared" si="8"/>
        <v>4</v>
      </c>
      <c r="O12" s="13"/>
      <c r="P12" s="22">
        <f t="shared" si="1"/>
        <v>10335.777241587657</v>
      </c>
      <c r="Q12" s="23">
        <f t="shared" si="2"/>
        <v>619.10225917641719</v>
      </c>
      <c r="R12" s="23">
        <f t="shared" si="3"/>
        <v>0</v>
      </c>
      <c r="S12" s="23">
        <f t="shared" si="4"/>
        <v>1701.1791664816549</v>
      </c>
      <c r="T12" s="23"/>
      <c r="U12" s="23">
        <f t="shared" si="5"/>
        <v>0</v>
      </c>
      <c r="V12" s="23">
        <f t="shared" si="6"/>
        <v>0</v>
      </c>
      <c r="W12" s="22">
        <f t="shared" si="7"/>
        <v>0</v>
      </c>
      <c r="X12" s="20">
        <f t="shared" si="0"/>
        <v>12656.05866724573</v>
      </c>
      <c r="Y12" s="4"/>
      <c r="Z12" s="8"/>
      <c r="AA12" s="3"/>
      <c r="AB12" s="18" t="s">
        <v>45</v>
      </c>
      <c r="AC12" s="25">
        <f>J42</f>
        <v>2100</v>
      </c>
      <c r="AD12" s="3" t="s">
        <v>46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6" t="s">
        <v>47</v>
      </c>
      <c r="B13" s="3">
        <v>0</v>
      </c>
      <c r="C13" s="3" t="s">
        <v>35</v>
      </c>
      <c r="D13" s="3"/>
      <c r="E13" s="18" t="s">
        <v>27</v>
      </c>
      <c r="F13" s="16">
        <v>0.15</v>
      </c>
      <c r="G13" s="3" t="s">
        <v>48</v>
      </c>
      <c r="H13" s="17"/>
      <c r="I13" s="18" t="s">
        <v>49</v>
      </c>
      <c r="J13" s="3">
        <v>30</v>
      </c>
      <c r="K13" s="3" t="s">
        <v>50</v>
      </c>
      <c r="L13" s="17"/>
      <c r="M13" s="3"/>
      <c r="N13" s="13">
        <f t="shared" si="8"/>
        <v>5</v>
      </c>
      <c r="O13" s="13"/>
      <c r="P13" s="22">
        <f t="shared" si="1"/>
        <v>9796.9452526897239</v>
      </c>
      <c r="Q13" s="23">
        <f t="shared" si="2"/>
        <v>592.69505380870282</v>
      </c>
      <c r="R13" s="23">
        <f t="shared" si="3"/>
        <v>0</v>
      </c>
      <c r="S13" s="23">
        <f t="shared" si="4"/>
        <v>1612.4921009304785</v>
      </c>
      <c r="T13" s="23"/>
      <c r="U13" s="23">
        <f t="shared" si="5"/>
        <v>6507.4676794172747</v>
      </c>
      <c r="V13" s="23">
        <f t="shared" si="6"/>
        <v>0</v>
      </c>
      <c r="W13" s="22">
        <f t="shared" si="7"/>
        <v>0</v>
      </c>
      <c r="X13" s="20">
        <f t="shared" si="0"/>
        <v>18509.600086846178</v>
      </c>
      <c r="Y13" s="4"/>
      <c r="Z13" s="8"/>
      <c r="AA13" s="3"/>
      <c r="AB13" s="3" t="s">
        <v>137</v>
      </c>
      <c r="AC13" s="8">
        <f>J26</f>
        <v>100</v>
      </c>
      <c r="AD13" s="3" t="s">
        <v>128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6"/>
      <c r="B14" s="3"/>
      <c r="C14" s="3"/>
      <c r="D14" s="3"/>
      <c r="E14" s="18" t="s">
        <v>51</v>
      </c>
      <c r="F14" s="3">
        <v>1</v>
      </c>
      <c r="G14" s="3" t="s">
        <v>52</v>
      </c>
      <c r="H14" s="17"/>
      <c r="I14" s="18" t="s">
        <v>53</v>
      </c>
      <c r="J14" s="5">
        <v>20</v>
      </c>
      <c r="K14" s="3" t="s">
        <v>35</v>
      </c>
      <c r="L14" s="17"/>
      <c r="M14" s="3"/>
      <c r="N14" s="13">
        <f t="shared" si="8"/>
        <v>6</v>
      </c>
      <c r="O14" s="13"/>
      <c r="P14" s="22">
        <f t="shared" si="1"/>
        <v>0</v>
      </c>
      <c r="Q14" s="23">
        <f t="shared" si="2"/>
        <v>567.41422212965847</v>
      </c>
      <c r="R14" s="23">
        <f t="shared" si="3"/>
        <v>0</v>
      </c>
      <c r="S14" s="23">
        <f t="shared" si="4"/>
        <v>1528.4285316876574</v>
      </c>
      <c r="T14" s="23"/>
      <c r="U14" s="23">
        <f t="shared" si="5"/>
        <v>0</v>
      </c>
      <c r="V14" s="23">
        <f t="shared" si="6"/>
        <v>0</v>
      </c>
      <c r="W14" s="22">
        <f t="shared" si="7"/>
        <v>0</v>
      </c>
      <c r="X14" s="20">
        <f t="shared" si="0"/>
        <v>2095.842753817316</v>
      </c>
      <c r="Y14" s="4"/>
      <c r="Z14" s="8"/>
      <c r="AA14" s="3"/>
      <c r="AB14" s="3" t="s">
        <v>172</v>
      </c>
      <c r="AC14" s="16">
        <f>J17</f>
        <v>0.19</v>
      </c>
      <c r="AD14" s="3" t="s">
        <v>63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8" t="s">
        <v>54</v>
      </c>
      <c r="B15" s="3">
        <v>18.5</v>
      </c>
      <c r="C15" s="3" t="s">
        <v>35</v>
      </c>
      <c r="D15" s="3"/>
      <c r="E15" s="18" t="s">
        <v>55</v>
      </c>
      <c r="F15" s="3">
        <v>0</v>
      </c>
      <c r="G15" s="3" t="s">
        <v>48</v>
      </c>
      <c r="H15" s="17"/>
      <c r="I15" s="18" t="s">
        <v>56</v>
      </c>
      <c r="J15" s="3">
        <v>7.08</v>
      </c>
      <c r="K15" s="3" t="s">
        <v>57</v>
      </c>
      <c r="L15" s="17"/>
      <c r="M15" s="3"/>
      <c r="N15" s="13">
        <f t="shared" si="8"/>
        <v>7</v>
      </c>
      <c r="O15" s="13"/>
      <c r="P15" s="22">
        <f t="shared" si="1"/>
        <v>0</v>
      </c>
      <c r="Q15" s="23">
        <f t="shared" si="2"/>
        <v>543.21171976393862</v>
      </c>
      <c r="R15" s="23">
        <f t="shared" si="3"/>
        <v>0</v>
      </c>
      <c r="S15" s="23">
        <f t="shared" si="4"/>
        <v>1448.7474234006233</v>
      </c>
      <c r="T15" s="23"/>
      <c r="U15" s="23">
        <f t="shared" si="5"/>
        <v>0</v>
      </c>
      <c r="V15" s="23">
        <f t="shared" si="6"/>
        <v>0</v>
      </c>
      <c r="W15" s="22">
        <f t="shared" si="7"/>
        <v>0</v>
      </c>
      <c r="X15" s="20">
        <f t="shared" si="0"/>
        <v>1991.959143164562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6" t="s">
        <v>58</v>
      </c>
      <c r="B16" s="3">
        <v>15</v>
      </c>
      <c r="C16" s="3" t="s">
        <v>35</v>
      </c>
      <c r="D16" s="3"/>
      <c r="E16" s="18" t="s">
        <v>140</v>
      </c>
      <c r="F16" s="3">
        <v>10</v>
      </c>
      <c r="G16" s="3" t="s">
        <v>59</v>
      </c>
      <c r="H16" s="17"/>
      <c r="I16" s="18" t="s">
        <v>60</v>
      </c>
      <c r="J16" s="3">
        <v>11</v>
      </c>
      <c r="K16" s="3" t="s">
        <v>57</v>
      </c>
      <c r="L16" s="17"/>
      <c r="M16" s="3"/>
      <c r="N16" s="13">
        <f t="shared" si="8"/>
        <v>8</v>
      </c>
      <c r="O16" s="13"/>
      <c r="P16" s="22">
        <f t="shared" si="1"/>
        <v>0</v>
      </c>
      <c r="Q16" s="23">
        <f t="shared" si="2"/>
        <v>520.04155162234861</v>
      </c>
      <c r="R16" s="23">
        <f t="shared" si="3"/>
        <v>0</v>
      </c>
      <c r="S16" s="23">
        <f t="shared" si="4"/>
        <v>1373.2203065408751</v>
      </c>
      <c r="T16" s="23"/>
      <c r="U16" s="23">
        <f t="shared" si="5"/>
        <v>0</v>
      </c>
      <c r="V16" s="23">
        <f t="shared" si="6"/>
        <v>0</v>
      </c>
      <c r="W16" s="22">
        <f t="shared" si="7"/>
        <v>0</v>
      </c>
      <c r="X16" s="20">
        <f t="shared" si="0"/>
        <v>1893.2618581632237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6" t="s">
        <v>156</v>
      </c>
      <c r="B17" s="3">
        <v>100</v>
      </c>
      <c r="C17" s="3" t="s">
        <v>26</v>
      </c>
      <c r="D17" s="3"/>
      <c r="E17" s="18" t="s">
        <v>138</v>
      </c>
      <c r="F17" s="8"/>
      <c r="G17" s="3" t="s">
        <v>59</v>
      </c>
      <c r="H17" s="17"/>
      <c r="I17" s="18" t="s">
        <v>62</v>
      </c>
      <c r="J17" s="16">
        <v>0.19</v>
      </c>
      <c r="K17" s="3" t="s">
        <v>63</v>
      </c>
      <c r="L17" s="17"/>
      <c r="M17" s="3"/>
      <c r="N17" s="13">
        <f t="shared" si="8"/>
        <v>9</v>
      </c>
      <c r="O17" s="13"/>
      <c r="P17" s="22">
        <f t="shared" si="1"/>
        <v>0</v>
      </c>
      <c r="Q17" s="23">
        <f t="shared" si="2"/>
        <v>497.85968449153773</v>
      </c>
      <c r="R17" s="23">
        <f t="shared" si="3"/>
        <v>0</v>
      </c>
      <c r="S17" s="23">
        <f t="shared" si="4"/>
        <v>1301.6306223136257</v>
      </c>
      <c r="T17" s="23"/>
      <c r="U17" s="23">
        <f t="shared" si="5"/>
        <v>0</v>
      </c>
      <c r="V17" s="23">
        <f t="shared" si="6"/>
        <v>0</v>
      </c>
      <c r="W17" s="22">
        <f t="shared" si="7"/>
        <v>0</v>
      </c>
      <c r="X17" s="20">
        <f t="shared" si="0"/>
        <v>1799.4903068051635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3"/>
      <c r="J18" s="3"/>
      <c r="K18" s="3"/>
      <c r="L18" s="17"/>
      <c r="M18" s="3"/>
      <c r="N18" s="13">
        <f t="shared" si="8"/>
        <v>10</v>
      </c>
      <c r="O18" s="13"/>
      <c r="P18" s="22">
        <f t="shared" si="1"/>
        <v>0</v>
      </c>
      <c r="Q18" s="23">
        <f t="shared" si="2"/>
        <v>476.62396335208831</v>
      </c>
      <c r="R18" s="23">
        <f t="shared" si="3"/>
        <v>0</v>
      </c>
      <c r="S18" s="23">
        <f t="shared" si="4"/>
        <v>1233.7731017190765</v>
      </c>
      <c r="T18" s="23"/>
      <c r="U18" s="23">
        <f t="shared" si="5"/>
        <v>4979.0870780317982</v>
      </c>
      <c r="V18" s="23">
        <f t="shared" si="6"/>
        <v>0</v>
      </c>
      <c r="W18" s="22">
        <f t="shared" si="7"/>
        <v>-15540.984938986971</v>
      </c>
      <c r="X18" s="20">
        <f t="shared" si="0"/>
        <v>-8851.5007958840069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6" t="s">
        <v>64</v>
      </c>
      <c r="B19" s="27">
        <f>4%*J8</f>
        <v>2282.3225806451615</v>
      </c>
      <c r="C19" s="3" t="s">
        <v>26</v>
      </c>
      <c r="D19" s="3"/>
      <c r="E19" s="18"/>
      <c r="F19" s="3"/>
      <c r="G19" s="3"/>
      <c r="H19" s="17"/>
      <c r="I19" s="1" t="s">
        <v>67</v>
      </c>
      <c r="J19" s="3"/>
      <c r="K19" s="3"/>
      <c r="L19" s="17"/>
      <c r="M19" s="3"/>
      <c r="N19" s="13">
        <f t="shared" si="8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>
        <f t="shared" si="4"/>
        <v>0</v>
      </c>
      <c r="T19" s="23"/>
      <c r="U19" s="23">
        <f t="shared" si="5"/>
        <v>0</v>
      </c>
      <c r="V19" s="23">
        <f t="shared" si="6"/>
        <v>0</v>
      </c>
      <c r="W19" s="22">
        <f t="shared" ref="W19:W48" si="9">IF(N19=$B$5,((((1-$J$15/100)^N19)*$B$52+((1-$J$16/100)^N19)*$B$48)/((1+($F$11/100))^N19))*-1,0)</f>
        <v>0</v>
      </c>
      <c r="X19" s="20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3" t="s">
        <v>65</v>
      </c>
      <c r="B20" s="3">
        <v>5</v>
      </c>
      <c r="C20" s="3" t="s">
        <v>26</v>
      </c>
      <c r="D20" s="3"/>
      <c r="E20" s="18"/>
      <c r="F20" s="8"/>
      <c r="G20" s="3"/>
      <c r="H20" s="17"/>
      <c r="I20" s="18" t="s">
        <v>73</v>
      </c>
      <c r="J20" s="3">
        <v>5</v>
      </c>
      <c r="K20" s="3" t="s">
        <v>50</v>
      </c>
      <c r="L20" s="17"/>
      <c r="M20" s="3"/>
      <c r="N20" s="13">
        <f t="shared" si="8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>
        <f t="shared" si="4"/>
        <v>0</v>
      </c>
      <c r="T20" s="23"/>
      <c r="U20" s="23">
        <f t="shared" si="5"/>
        <v>0</v>
      </c>
      <c r="V20" s="23">
        <f t="shared" si="6"/>
        <v>0</v>
      </c>
      <c r="W20" s="22">
        <f t="shared" si="9"/>
        <v>0</v>
      </c>
      <c r="X20" s="20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6"/>
      <c r="B21" s="3"/>
      <c r="C21" s="3"/>
      <c r="D21" s="3"/>
      <c r="E21" s="18" t="s">
        <v>66</v>
      </c>
      <c r="F21" s="8"/>
      <c r="G21" s="3"/>
      <c r="H21" s="17"/>
      <c r="I21" s="18" t="s">
        <v>76</v>
      </c>
      <c r="J21" s="3">
        <v>30</v>
      </c>
      <c r="K21" s="3" t="s">
        <v>77</v>
      </c>
      <c r="L21" s="17"/>
      <c r="M21" s="3"/>
      <c r="N21" s="13">
        <f t="shared" si="8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>
        <f t="shared" si="4"/>
        <v>0</v>
      </c>
      <c r="T21" s="23"/>
      <c r="U21" s="23">
        <f t="shared" si="5"/>
        <v>0</v>
      </c>
      <c r="V21" s="23">
        <f t="shared" si="6"/>
        <v>0</v>
      </c>
      <c r="W21" s="22">
        <f t="shared" si="9"/>
        <v>0</v>
      </c>
      <c r="X21" s="20">
        <f t="shared" si="0"/>
        <v>0</v>
      </c>
      <c r="Y21" s="4"/>
      <c r="Z21" s="8"/>
      <c r="AA21" s="3"/>
      <c r="AB21" s="28" t="s">
        <v>27</v>
      </c>
      <c r="AC21" s="29"/>
      <c r="AD21" s="29"/>
      <c r="AE21" s="29"/>
      <c r="AF21" s="3"/>
      <c r="AG21" s="28" t="s">
        <v>25</v>
      </c>
      <c r="AH21" s="29"/>
      <c r="AI21" s="29"/>
      <c r="AJ21" s="29"/>
      <c r="AK21" s="3"/>
      <c r="AL21" s="81" t="s">
        <v>160</v>
      </c>
      <c r="AM21" s="81" t="s">
        <v>162</v>
      </c>
      <c r="AN21" s="81" t="s">
        <v>163</v>
      </c>
      <c r="AO21" s="81" t="s">
        <v>30</v>
      </c>
      <c r="AP21" s="81" t="s">
        <v>164</v>
      </c>
      <c r="AQ21" s="81" t="s">
        <v>165</v>
      </c>
      <c r="AR21" s="86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6"/>
      <c r="B22" s="3"/>
      <c r="C22" s="3"/>
      <c r="D22" s="3"/>
      <c r="E22" s="18" t="s">
        <v>45</v>
      </c>
      <c r="F22" s="27">
        <v>8.0399999999999999E-2</v>
      </c>
      <c r="G22" s="3" t="s">
        <v>121</v>
      </c>
      <c r="H22" s="17"/>
      <c r="I22" s="65"/>
      <c r="J22" s="65"/>
      <c r="K22" s="65"/>
      <c r="L22" s="17"/>
      <c r="M22" s="3"/>
      <c r="N22" s="13">
        <f t="shared" si="8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>
        <f t="shared" si="4"/>
        <v>0</v>
      </c>
      <c r="T22" s="23"/>
      <c r="U22" s="23">
        <f t="shared" si="5"/>
        <v>0</v>
      </c>
      <c r="V22" s="23">
        <f t="shared" si="6"/>
        <v>0</v>
      </c>
      <c r="W22" s="22">
        <f t="shared" si="9"/>
        <v>0</v>
      </c>
      <c r="X22" s="20">
        <f t="shared" si="0"/>
        <v>0</v>
      </c>
      <c r="Y22" s="4"/>
      <c r="Z22" s="8"/>
      <c r="AA22" s="3"/>
      <c r="AB22" s="29" t="s">
        <v>68</v>
      </c>
      <c r="AC22" s="29" t="s">
        <v>69</v>
      </c>
      <c r="AD22" s="29" t="s">
        <v>21</v>
      </c>
      <c r="AE22" s="29" t="s">
        <v>70</v>
      </c>
      <c r="AF22" s="3"/>
      <c r="AG22" s="29" t="s">
        <v>68</v>
      </c>
      <c r="AH22" s="29" t="s">
        <v>71</v>
      </c>
      <c r="AI22" s="29" t="s">
        <v>21</v>
      </c>
      <c r="AJ22" s="29" t="s">
        <v>70</v>
      </c>
      <c r="AK22" s="3"/>
      <c r="AL22" s="82">
        <v>-50</v>
      </c>
      <c r="AM22" s="83">
        <f>AJ24</f>
        <v>-40.585374436493957</v>
      </c>
      <c r="AN22" s="83">
        <f>AE24</f>
        <v>-3.1131075565442123</v>
      </c>
      <c r="AO22" s="84">
        <f t="shared" ref="AO22:AO32" si="10">AE39</f>
        <v>-5.6066126078217637</v>
      </c>
      <c r="AP22" s="84">
        <f t="shared" ref="AP22:AP32" si="11">AJ39</f>
        <v>-18.476407596424441</v>
      </c>
      <c r="AQ22" s="84">
        <f>AE54</f>
        <v>-8.4310886160589575</v>
      </c>
      <c r="AR22" s="34">
        <f>AE69</f>
        <v>3.1131075565441817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18" t="s">
        <v>72</v>
      </c>
      <c r="F23" s="3">
        <v>5.5</v>
      </c>
      <c r="G23" s="3" t="s">
        <v>57</v>
      </c>
      <c r="H23" s="17"/>
      <c r="I23" s="59" t="s">
        <v>123</v>
      </c>
      <c r="J23" s="60"/>
      <c r="K23" s="60"/>
      <c r="L23" s="61"/>
      <c r="M23" s="3"/>
      <c r="N23" s="13">
        <f t="shared" si="8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>
        <f t="shared" si="4"/>
        <v>0</v>
      </c>
      <c r="T23" s="23"/>
      <c r="U23" s="23">
        <f t="shared" si="5"/>
        <v>0</v>
      </c>
      <c r="V23" s="23">
        <f t="shared" si="6"/>
        <v>0</v>
      </c>
      <c r="W23" s="22">
        <f t="shared" si="9"/>
        <v>0</v>
      </c>
      <c r="X23" s="20">
        <f t="shared" si="0"/>
        <v>0</v>
      </c>
      <c r="Y23" s="4"/>
      <c r="Z23" s="8"/>
      <c r="AA23" s="3"/>
      <c r="AB23" s="29" t="s">
        <v>74</v>
      </c>
      <c r="AC23" s="30">
        <v>0.11194029850746268</v>
      </c>
      <c r="AD23" s="31">
        <f>X49</f>
        <v>93872.896851581405</v>
      </c>
      <c r="AE23" s="29"/>
      <c r="AF23" s="3"/>
      <c r="AG23" s="29" t="s">
        <v>74</v>
      </c>
      <c r="AH23" s="32">
        <v>71732.300449566683</v>
      </c>
      <c r="AI23" s="31">
        <f>X49</f>
        <v>93872.896851581405</v>
      </c>
      <c r="AJ23" s="29"/>
      <c r="AK23" s="3"/>
      <c r="AL23" s="82">
        <v>-40</v>
      </c>
      <c r="AM23" s="83">
        <f>AJ25</f>
        <v>-32.468299549195159</v>
      </c>
      <c r="AN23" s="83">
        <f t="shared" ref="AN23:AN32" si="12">AE25</f>
        <v>-2.4904860452353952</v>
      </c>
      <c r="AO23" s="84">
        <f t="shared" si="10"/>
        <v>-4.4852900862574421</v>
      </c>
      <c r="AP23" s="84">
        <f t="shared" si="11"/>
        <v>-15.568075498820766</v>
      </c>
      <c r="AQ23" s="84">
        <f t="shared" ref="AQ23:AQ32" si="13">AE55</f>
        <v>-6.744870892847163</v>
      </c>
      <c r="AR23" s="34">
        <f t="shared" ref="AR23:AR32" si="14">AE70</f>
        <v>2.490486045235333</v>
      </c>
      <c r="AS23" s="27"/>
      <c r="AT23" s="27"/>
      <c r="AU23" s="27"/>
      <c r="AV23" s="27"/>
      <c r="AW23" s="27"/>
      <c r="AX23" s="27"/>
      <c r="AY23" s="27"/>
    </row>
    <row r="24" spans="1:51" ht="15.75" customHeight="1" x14ac:dyDescent="0.25">
      <c r="A24" s="15"/>
      <c r="B24" s="3"/>
      <c r="C24" s="3"/>
      <c r="D24" s="3"/>
      <c r="E24" s="3"/>
      <c r="F24" s="5"/>
      <c r="G24" s="3"/>
      <c r="H24" s="17"/>
      <c r="I24" s="60" t="s">
        <v>124</v>
      </c>
      <c r="J24" s="62" t="s">
        <v>122</v>
      </c>
      <c r="K24" s="60"/>
      <c r="L24" s="61"/>
      <c r="M24" s="3"/>
      <c r="N24" s="13">
        <f t="shared" si="8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>
        <f t="shared" si="4"/>
        <v>0</v>
      </c>
      <c r="T24" s="23"/>
      <c r="U24" s="23">
        <f t="shared" si="5"/>
        <v>0</v>
      </c>
      <c r="V24" s="23">
        <f t="shared" si="6"/>
        <v>0</v>
      </c>
      <c r="W24" s="22">
        <f t="shared" si="9"/>
        <v>0</v>
      </c>
      <c r="X24" s="20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5.5970149253731338E-2</v>
      </c>
      <c r="AD24" s="31">
        <f t="dataTable" ref="AD24:AD34" dt2D="0" dtr="0" r1="F36"/>
        <v>90950.53260614787</v>
      </c>
      <c r="AE24" s="33">
        <f t="shared" ref="AE24:AE34" si="17">100*((AD24-$AD$29)/$AD$29)</f>
        <v>-3.1131075565442123</v>
      </c>
      <c r="AF24" s="3"/>
      <c r="AG24" s="29">
        <f t="shared" ref="AG24:AG28" si="18">AG25-10</f>
        <v>-50</v>
      </c>
      <c r="AH24" s="32">
        <f t="shared" ref="AH24:AH34" si="19">$AH$23*(1+(AG24/100))</f>
        <v>35866.150224783341</v>
      </c>
      <c r="AI24" s="31">
        <f t="dataTable" ref="AI24:AI34" dt2D="0" dtr="0" r1="B52" ca="1"/>
        <v>55774.230169983348</v>
      </c>
      <c r="AJ24" s="33">
        <f t="shared" ref="AJ24:AJ34" si="20">100*((AI24-$AI$29)/$AI$29)</f>
        <v>-40.585374436493957</v>
      </c>
      <c r="AK24" s="3"/>
      <c r="AL24" s="82">
        <v>-30</v>
      </c>
      <c r="AM24" s="83">
        <f t="shared" ref="AM24:AM32" si="21">AJ26</f>
        <v>-24.351224661896378</v>
      </c>
      <c r="AN24" s="83">
        <f t="shared" si="12"/>
        <v>-1.8678645339265616</v>
      </c>
      <c r="AO24" s="84">
        <f t="shared" si="10"/>
        <v>-3.3639675646930738</v>
      </c>
      <c r="AP24" s="84">
        <f t="shared" si="11"/>
        <v>-12.934540135865566</v>
      </c>
      <c r="AQ24" s="84">
        <f t="shared" si="13"/>
        <v>-5.0586531696353836</v>
      </c>
      <c r="AR24" s="34">
        <f t="shared" si="14"/>
        <v>1.8678645339265152</v>
      </c>
      <c r="AS24" s="27"/>
      <c r="AT24" s="27"/>
      <c r="AU24" s="27"/>
      <c r="AV24" s="27"/>
      <c r="AW24" s="27"/>
      <c r="AX24" s="27"/>
      <c r="AY24" s="27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7"/>
      <c r="I25" s="63" t="s">
        <v>125</v>
      </c>
      <c r="J25" s="63">
        <v>1.3</v>
      </c>
      <c r="K25" s="63" t="s">
        <v>126</v>
      </c>
      <c r="L25" s="61"/>
      <c r="M25" s="3"/>
      <c r="N25" s="13">
        <f t="shared" si="8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>
        <f t="shared" si="4"/>
        <v>0</v>
      </c>
      <c r="T25" s="23"/>
      <c r="U25" s="23">
        <f t="shared" si="5"/>
        <v>0</v>
      </c>
      <c r="V25" s="23">
        <f t="shared" si="6"/>
        <v>0</v>
      </c>
      <c r="W25" s="22">
        <f t="shared" si="9"/>
        <v>0</v>
      </c>
      <c r="X25" s="20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6.7164179104477598E-2</v>
      </c>
      <c r="AD25" s="31">
        <v>91535.005455234554</v>
      </c>
      <c r="AE25" s="33">
        <f t="shared" si="17"/>
        <v>-2.4904860452353952</v>
      </c>
      <c r="AF25" s="3"/>
      <c r="AG25" s="29">
        <f t="shared" si="18"/>
        <v>-40</v>
      </c>
      <c r="AH25" s="32">
        <f t="shared" si="19"/>
        <v>43039.38026974001</v>
      </c>
      <c r="AI25" s="31">
        <v>63393.963506302964</v>
      </c>
      <c r="AJ25" s="33">
        <f t="shared" si="20"/>
        <v>-32.468299549195159</v>
      </c>
      <c r="AK25" s="3"/>
      <c r="AL25" s="82">
        <v>-20</v>
      </c>
      <c r="AM25" s="83">
        <f t="shared" si="21"/>
        <v>-16.234149774597576</v>
      </c>
      <c r="AN25" s="83">
        <f t="shared" si="12"/>
        <v>-1.2452430226177129</v>
      </c>
      <c r="AO25" s="84">
        <f t="shared" si="10"/>
        <v>-2.242645043128721</v>
      </c>
      <c r="AP25" s="84">
        <f t="shared" si="11"/>
        <v>-10.283146485846476</v>
      </c>
      <c r="AQ25" s="84">
        <f t="shared" si="13"/>
        <v>-3.3724354464235731</v>
      </c>
      <c r="AR25" s="34">
        <f t="shared" si="14"/>
        <v>1.2452430226176665</v>
      </c>
      <c r="AS25" s="27"/>
      <c r="AT25" s="27"/>
      <c r="AU25" s="27"/>
      <c r="AV25" s="27"/>
      <c r="AW25" s="27"/>
      <c r="AX25" s="27"/>
      <c r="AY25" s="27"/>
    </row>
    <row r="26" spans="1:5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 t="s">
        <v>127</v>
      </c>
      <c r="J26" s="64">
        <f>J12/2</f>
        <v>100</v>
      </c>
      <c r="K26" s="36" t="s">
        <v>128</v>
      </c>
      <c r="L26" s="37"/>
      <c r="M26" s="3"/>
      <c r="N26" s="13">
        <f t="shared" si="8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>
        <f t="shared" si="4"/>
        <v>0</v>
      </c>
      <c r="T26" s="23"/>
      <c r="U26" s="23">
        <f t="shared" si="5"/>
        <v>0</v>
      </c>
      <c r="V26" s="23">
        <f t="shared" si="6"/>
        <v>0</v>
      </c>
      <c r="W26" s="22">
        <f t="shared" si="9"/>
        <v>0</v>
      </c>
      <c r="X26" s="20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7.8358208955223871E-2</v>
      </c>
      <c r="AD26" s="31">
        <v>92119.478304321252</v>
      </c>
      <c r="AE26" s="33">
        <f t="shared" si="17"/>
        <v>-1.8678645339265616</v>
      </c>
      <c r="AF26" s="3"/>
      <c r="AG26" s="29">
        <f t="shared" si="18"/>
        <v>-30</v>
      </c>
      <c r="AH26" s="32">
        <f t="shared" si="19"/>
        <v>50212.610314696678</v>
      </c>
      <c r="AI26" s="31">
        <v>71013.696842622565</v>
      </c>
      <c r="AJ26" s="33">
        <f t="shared" si="20"/>
        <v>-24.351224661896378</v>
      </c>
      <c r="AK26" s="3"/>
      <c r="AL26" s="82">
        <v>-10</v>
      </c>
      <c r="AM26" s="83">
        <f t="shared" si="21"/>
        <v>-8.1170748872988021</v>
      </c>
      <c r="AN26" s="83">
        <f t="shared" si="12"/>
        <v>-0.6226215113088488</v>
      </c>
      <c r="AO26" s="84">
        <f t="shared" si="10"/>
        <v>-1.1213225215643683</v>
      </c>
      <c r="AP26" s="84">
        <f t="shared" si="11"/>
        <v>-2.3088392345206588</v>
      </c>
      <c r="AQ26" s="84">
        <f t="shared" si="13"/>
        <v>-1.6862177232118098</v>
      </c>
      <c r="AR26" s="34">
        <f t="shared" si="14"/>
        <v>0.62262151130881771</v>
      </c>
      <c r="AS26" s="27"/>
      <c r="AT26" s="27"/>
      <c r="AU26" s="27"/>
      <c r="AV26" s="27"/>
      <c r="AW26" s="27"/>
      <c r="AX26" s="27"/>
      <c r="AY26" s="2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8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>
        <f t="shared" si="4"/>
        <v>0</v>
      </c>
      <c r="T27" s="23"/>
      <c r="U27" s="23">
        <f t="shared" si="5"/>
        <v>0</v>
      </c>
      <c r="V27" s="23">
        <f t="shared" si="6"/>
        <v>0</v>
      </c>
      <c r="W27" s="22">
        <f t="shared" si="9"/>
        <v>0</v>
      </c>
      <c r="X27" s="20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8.9552238805970144E-2</v>
      </c>
      <c r="AD27" s="31">
        <v>92703.951153407965</v>
      </c>
      <c r="AE27" s="33">
        <f t="shared" si="17"/>
        <v>-1.2452430226177129</v>
      </c>
      <c r="AF27" s="3"/>
      <c r="AG27" s="29">
        <f t="shared" si="18"/>
        <v>-20</v>
      </c>
      <c r="AH27" s="32">
        <f t="shared" si="19"/>
        <v>57385.840359653346</v>
      </c>
      <c r="AI27" s="31">
        <v>78633.430178942188</v>
      </c>
      <c r="AJ27" s="33">
        <f t="shared" si="20"/>
        <v>-16.234149774597576</v>
      </c>
      <c r="AK27" s="3"/>
      <c r="AL27" s="82">
        <v>0</v>
      </c>
      <c r="AM27" s="83">
        <f t="shared" si="21"/>
        <v>0</v>
      </c>
      <c r="AN27" s="83">
        <f t="shared" si="12"/>
        <v>0</v>
      </c>
      <c r="AO27" s="84">
        <f t="shared" si="10"/>
        <v>0</v>
      </c>
      <c r="AP27" s="84">
        <f t="shared" si="11"/>
        <v>0</v>
      </c>
      <c r="AQ27" s="84">
        <f t="shared" si="13"/>
        <v>0</v>
      </c>
      <c r="AR27" s="34">
        <f t="shared" si="14"/>
        <v>0</v>
      </c>
      <c r="AS27" s="27"/>
      <c r="AT27" s="27"/>
      <c r="AU27" s="27"/>
      <c r="AV27" s="27"/>
      <c r="AW27" s="27"/>
      <c r="AX27" s="27"/>
      <c r="AY27" s="27"/>
    </row>
    <row r="28" spans="1:5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8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>
        <f t="shared" si="4"/>
        <v>0</v>
      </c>
      <c r="T28" s="23"/>
      <c r="U28" s="23">
        <f t="shared" si="5"/>
        <v>0</v>
      </c>
      <c r="V28" s="23">
        <f t="shared" si="6"/>
        <v>0</v>
      </c>
      <c r="W28" s="22">
        <f t="shared" si="9"/>
        <v>0</v>
      </c>
      <c r="X28" s="20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0.10074626865671642</v>
      </c>
      <c r="AD28" s="31">
        <v>93288.424002494692</v>
      </c>
      <c r="AE28" s="33">
        <f t="shared" si="17"/>
        <v>-0.6226215113088488</v>
      </c>
      <c r="AF28" s="3"/>
      <c r="AG28" s="29">
        <f t="shared" si="18"/>
        <v>-10</v>
      </c>
      <c r="AH28" s="32">
        <f t="shared" si="19"/>
        <v>64559.070404610015</v>
      </c>
      <c r="AI28" s="31">
        <v>86253.163515261782</v>
      </c>
      <c r="AJ28" s="33">
        <f t="shared" si="20"/>
        <v>-8.1170748872988021</v>
      </c>
      <c r="AK28" s="3"/>
      <c r="AL28" s="82">
        <v>10</v>
      </c>
      <c r="AM28" s="83">
        <f t="shared" si="21"/>
        <v>8.1170748872987399</v>
      </c>
      <c r="AN28" s="83">
        <f t="shared" si="12"/>
        <v>0.62262151130881771</v>
      </c>
      <c r="AO28" s="84">
        <f t="shared" si="10"/>
        <v>1.1213225215643374</v>
      </c>
      <c r="AP28" s="84">
        <f t="shared" si="11"/>
        <v>3.2896037259138229</v>
      </c>
      <c r="AQ28" s="84">
        <f t="shared" si="13"/>
        <v>1.6862177232117481</v>
      </c>
      <c r="AR28" s="34">
        <f t="shared" si="14"/>
        <v>-0.6226215113088488</v>
      </c>
      <c r="AS28" s="27"/>
      <c r="AT28" s="27"/>
      <c r="AU28" s="27"/>
      <c r="AV28" s="27"/>
      <c r="AW28" s="27"/>
      <c r="AX28" s="27"/>
      <c r="AY28" s="2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8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>
        <f t="shared" si="4"/>
        <v>0</v>
      </c>
      <c r="T29" s="23"/>
      <c r="U29" s="23">
        <f t="shared" si="5"/>
        <v>0</v>
      </c>
      <c r="V29" s="23">
        <f t="shared" si="6"/>
        <v>0</v>
      </c>
      <c r="W29" s="22">
        <f t="shared" si="9"/>
        <v>0</v>
      </c>
      <c r="X29" s="20">
        <f t="shared" si="0"/>
        <v>0</v>
      </c>
      <c r="Y29" s="4"/>
      <c r="Z29" s="8"/>
      <c r="AA29" s="3"/>
      <c r="AB29" s="38">
        <v>0</v>
      </c>
      <c r="AC29" s="50">
        <f t="shared" si="16"/>
        <v>0.11194029850746268</v>
      </c>
      <c r="AD29" s="39">
        <v>93872.896851581405</v>
      </c>
      <c r="AE29" s="51">
        <f t="shared" si="17"/>
        <v>0</v>
      </c>
      <c r="AF29" s="3"/>
      <c r="AG29" s="38">
        <v>0</v>
      </c>
      <c r="AH29" s="44">
        <f t="shared" si="19"/>
        <v>71732.300449566683</v>
      </c>
      <c r="AI29" s="39">
        <v>93872.896851581405</v>
      </c>
      <c r="AJ29" s="51">
        <f t="shared" si="20"/>
        <v>0</v>
      </c>
      <c r="AK29" s="3"/>
      <c r="AL29" s="82">
        <v>20</v>
      </c>
      <c r="AM29" s="83">
        <f t="shared" si="21"/>
        <v>16.234149774597544</v>
      </c>
      <c r="AN29" s="83">
        <f t="shared" si="12"/>
        <v>1.2452430226176665</v>
      </c>
      <c r="AO29" s="84">
        <f t="shared" si="10"/>
        <v>2.2426450431286749</v>
      </c>
      <c r="AP29" s="84">
        <f t="shared" si="11"/>
        <v>5.5984429604344657</v>
      </c>
      <c r="AQ29" s="84">
        <f t="shared" si="13"/>
        <v>3.3724354464235264</v>
      </c>
      <c r="AR29" s="34">
        <f t="shared" si="14"/>
        <v>-1.2452430226177129</v>
      </c>
      <c r="AS29" s="27"/>
      <c r="AT29" s="27"/>
      <c r="AU29" s="27"/>
      <c r="AV29" s="27"/>
      <c r="AW29" s="27"/>
      <c r="AX29" s="27"/>
      <c r="AY29" s="27"/>
    </row>
    <row r="30" spans="1:5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 t="s">
        <v>81</v>
      </c>
      <c r="J30" s="40"/>
      <c r="K30" s="10"/>
      <c r="L30" s="11"/>
      <c r="M30" s="3"/>
      <c r="N30" s="13">
        <f t="shared" si="8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>
        <f t="shared" si="4"/>
        <v>0</v>
      </c>
      <c r="T30" s="23"/>
      <c r="U30" s="23">
        <f t="shared" si="5"/>
        <v>0</v>
      </c>
      <c r="V30" s="23">
        <f t="shared" si="6"/>
        <v>0</v>
      </c>
      <c r="W30" s="22">
        <f t="shared" si="9"/>
        <v>0</v>
      </c>
      <c r="X30" s="20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0.12313432835820895</v>
      </c>
      <c r="AD30" s="31">
        <v>94457.369700668089</v>
      </c>
      <c r="AE30" s="33">
        <f t="shared" si="17"/>
        <v>0.62262151130881771</v>
      </c>
      <c r="AF30" s="3"/>
      <c r="AG30" s="29">
        <f t="shared" ref="AG30:AG34" si="23">AG29+10</f>
        <v>10</v>
      </c>
      <c r="AH30" s="32">
        <f t="shared" si="19"/>
        <v>78905.530494523351</v>
      </c>
      <c r="AI30" s="31">
        <v>101492.63018790097</v>
      </c>
      <c r="AJ30" s="33">
        <f t="shared" si="20"/>
        <v>8.1170748872987399</v>
      </c>
      <c r="AK30" s="3"/>
      <c r="AL30" s="82">
        <v>30</v>
      </c>
      <c r="AM30" s="83">
        <f t="shared" si="21"/>
        <v>24.351224661896318</v>
      </c>
      <c r="AN30" s="83">
        <f t="shared" si="12"/>
        <v>1.8678645339265152</v>
      </c>
      <c r="AO30" s="84">
        <f t="shared" si="10"/>
        <v>3.3639675646930276</v>
      </c>
      <c r="AP30" s="84">
        <f t="shared" si="11"/>
        <v>14.572571436174634</v>
      </c>
      <c r="AQ30" s="84">
        <f t="shared" si="13"/>
        <v>5.0586531696353214</v>
      </c>
      <c r="AR30" s="34">
        <f t="shared" si="14"/>
        <v>-1.8678645339265616</v>
      </c>
      <c r="AS30" s="27"/>
      <c r="AT30" s="27"/>
      <c r="AU30" s="27"/>
      <c r="AV30" s="27"/>
      <c r="AW30" s="27"/>
      <c r="AX30" s="27"/>
      <c r="AY30" s="27"/>
    </row>
    <row r="31" spans="1:51" ht="15.75" customHeight="1" x14ac:dyDescent="0.25">
      <c r="A31" s="26" t="s">
        <v>151</v>
      </c>
      <c r="B31" s="8">
        <f t="shared" ref="B31:B32" si="24">IF(B11=0,0,-(B11/100)*$B$50)</f>
        <v>0</v>
      </c>
      <c r="C31" s="3" t="s">
        <v>3</v>
      </c>
      <c r="D31" s="3"/>
      <c r="E31" s="18" t="s">
        <v>82</v>
      </c>
      <c r="F31" s="25">
        <f>(J21/100)*B52</f>
        <v>21519.690134870005</v>
      </c>
      <c r="G31" s="3" t="s">
        <v>3</v>
      </c>
      <c r="H31" s="3"/>
      <c r="I31" s="18" t="s">
        <v>83</v>
      </c>
      <c r="J31" s="27">
        <f>ROUNDDOWN(J11/(F12/J12),0)</f>
        <v>5</v>
      </c>
      <c r="K31" s="3" t="s">
        <v>50</v>
      </c>
      <c r="L31" s="17"/>
      <c r="M31" s="3"/>
      <c r="N31" s="13">
        <f t="shared" si="8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>
        <f t="shared" si="4"/>
        <v>0</v>
      </c>
      <c r="T31" s="23"/>
      <c r="U31" s="23">
        <f t="shared" si="5"/>
        <v>0</v>
      </c>
      <c r="V31" s="23">
        <f t="shared" si="6"/>
        <v>0</v>
      </c>
      <c r="W31" s="22">
        <f t="shared" si="9"/>
        <v>0</v>
      </c>
      <c r="X31" s="20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0.1343283582089552</v>
      </c>
      <c r="AD31" s="31">
        <v>95041.842549754801</v>
      </c>
      <c r="AE31" s="33">
        <f t="shared" si="17"/>
        <v>1.2452430226176665</v>
      </c>
      <c r="AF31" s="3"/>
      <c r="AG31" s="29">
        <f t="shared" si="23"/>
        <v>20</v>
      </c>
      <c r="AH31" s="32">
        <f t="shared" si="19"/>
        <v>86078.760539480019</v>
      </c>
      <c r="AI31" s="31">
        <v>109112.36352422059</v>
      </c>
      <c r="AJ31" s="33">
        <f t="shared" si="20"/>
        <v>16.234149774597544</v>
      </c>
      <c r="AK31" s="3"/>
      <c r="AL31" s="82">
        <v>40</v>
      </c>
      <c r="AM31" s="83">
        <f t="shared" si="21"/>
        <v>32.468299549195088</v>
      </c>
      <c r="AN31" s="83">
        <f t="shared" si="12"/>
        <v>2.4904860452353486</v>
      </c>
      <c r="AO31" s="84">
        <f t="shared" si="10"/>
        <v>4.4852900862573648</v>
      </c>
      <c r="AP31" s="84">
        <f t="shared" si="11"/>
        <v>16.88141067069526</v>
      </c>
      <c r="AQ31" s="84">
        <f t="shared" si="13"/>
        <v>6.744870892847131</v>
      </c>
      <c r="AR31" s="34">
        <f t="shared" si="14"/>
        <v>-2.4904860452353952</v>
      </c>
      <c r="AS31" s="27"/>
      <c r="AT31" s="27"/>
      <c r="AU31" s="27"/>
      <c r="AV31" s="27"/>
      <c r="AW31" s="27"/>
      <c r="AX31" s="27"/>
      <c r="AY31" s="27"/>
    </row>
    <row r="32" spans="1:51" ht="15.75" customHeight="1" x14ac:dyDescent="0.25">
      <c r="A32" s="26" t="s">
        <v>41</v>
      </c>
      <c r="B32" s="8">
        <f t="shared" si="24"/>
        <v>0</v>
      </c>
      <c r="C32" s="3" t="s">
        <v>3</v>
      </c>
      <c r="D32" s="3"/>
      <c r="E32" s="18" t="s">
        <v>84</v>
      </c>
      <c r="F32" s="8">
        <f>B52-F31</f>
        <v>50212.610314696678</v>
      </c>
      <c r="G32" s="3" t="s">
        <v>3</v>
      </c>
      <c r="H32" s="3"/>
      <c r="I32" s="18" t="s">
        <v>55</v>
      </c>
      <c r="J32" s="16">
        <f>IF(J24="Yes",SUM(F50:F51),0)</f>
        <v>0</v>
      </c>
      <c r="K32" s="3" t="s">
        <v>46</v>
      </c>
      <c r="L32" s="17"/>
      <c r="M32" s="3"/>
      <c r="N32" s="13">
        <f t="shared" si="8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>
        <f t="shared" si="4"/>
        <v>0</v>
      </c>
      <c r="T32" s="23"/>
      <c r="U32" s="23">
        <f t="shared" si="5"/>
        <v>0</v>
      </c>
      <c r="V32" s="23">
        <f t="shared" si="6"/>
        <v>0</v>
      </c>
      <c r="W32" s="22">
        <f t="shared" si="9"/>
        <v>0</v>
      </c>
      <c r="X32" s="20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0.1455223880597015</v>
      </c>
      <c r="AD32" s="31">
        <v>95626.315398841514</v>
      </c>
      <c r="AE32" s="33">
        <f t="shared" si="17"/>
        <v>1.8678645339265152</v>
      </c>
      <c r="AF32" s="3"/>
      <c r="AG32" s="29">
        <f t="shared" si="23"/>
        <v>30</v>
      </c>
      <c r="AH32" s="32">
        <f t="shared" si="19"/>
        <v>93251.990584436688</v>
      </c>
      <c r="AI32" s="31">
        <v>116732.09686054019</v>
      </c>
      <c r="AJ32" s="33">
        <f t="shared" si="20"/>
        <v>24.351224661896318</v>
      </c>
      <c r="AK32" s="3"/>
      <c r="AL32" s="82">
        <v>50</v>
      </c>
      <c r="AM32" s="83">
        <f t="shared" si="21"/>
        <v>40.585374436493922</v>
      </c>
      <c r="AN32" s="83">
        <f t="shared" si="12"/>
        <v>3.1131075565441817</v>
      </c>
      <c r="AO32" s="84">
        <f t="shared" si="10"/>
        <v>5.6066126078217327</v>
      </c>
      <c r="AP32" s="84">
        <f t="shared" si="11"/>
        <v>19.190249905215889</v>
      </c>
      <c r="AQ32" s="84">
        <f t="shared" si="13"/>
        <v>8.4310886160589256</v>
      </c>
      <c r="AR32" s="34">
        <f t="shared" si="14"/>
        <v>-3.1131075565442123</v>
      </c>
      <c r="AS32" s="27"/>
      <c r="AT32" s="27"/>
      <c r="AU32" s="27"/>
      <c r="AV32" s="27"/>
      <c r="AW32" s="27"/>
      <c r="AX32" s="27"/>
      <c r="AY32" s="27"/>
    </row>
    <row r="33" spans="1:51" ht="15.75" customHeight="1" x14ac:dyDescent="0.25">
      <c r="A33" s="26" t="s">
        <v>47</v>
      </c>
      <c r="B33" s="8">
        <f>IF(B13=0,0,(B13/100)*B49)</f>
        <v>0</v>
      </c>
      <c r="C33" s="3" t="s">
        <v>3</v>
      </c>
      <c r="D33" s="3"/>
      <c r="E33" s="18" t="s">
        <v>85</v>
      </c>
      <c r="F33" s="25">
        <f>F32*(F23/100)*J20</f>
        <v>13808.467836541586</v>
      </c>
      <c r="G33" s="3" t="s">
        <v>3</v>
      </c>
      <c r="H33" s="3"/>
      <c r="I33" s="3"/>
      <c r="J33" s="3"/>
      <c r="K33" s="3"/>
      <c r="L33" s="17"/>
      <c r="M33" s="3"/>
      <c r="N33" s="13">
        <f t="shared" si="8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>
        <f t="shared" si="4"/>
        <v>0</v>
      </c>
      <c r="T33" s="23"/>
      <c r="U33" s="23">
        <f t="shared" si="5"/>
        <v>0</v>
      </c>
      <c r="V33" s="23">
        <f t="shared" si="6"/>
        <v>0</v>
      </c>
      <c r="W33" s="22">
        <f t="shared" si="9"/>
        <v>0</v>
      </c>
      <c r="X33" s="20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0.15671641791044774</v>
      </c>
      <c r="AD33" s="31">
        <v>96210.788247928213</v>
      </c>
      <c r="AE33" s="33">
        <f t="shared" si="17"/>
        <v>2.4904860452353486</v>
      </c>
      <c r="AF33" s="3"/>
      <c r="AG33" s="29">
        <f t="shared" si="23"/>
        <v>40</v>
      </c>
      <c r="AH33" s="32">
        <f t="shared" si="19"/>
        <v>100425.22062939336</v>
      </c>
      <c r="AI33" s="31">
        <v>124351.83019685978</v>
      </c>
      <c r="AJ33" s="33">
        <f t="shared" si="20"/>
        <v>32.468299549195088</v>
      </c>
      <c r="AK33" s="3"/>
      <c r="AL33" s="3"/>
      <c r="AM33" s="7"/>
      <c r="AN33" s="8"/>
      <c r="AO33" s="34"/>
      <c r="AP33" s="3"/>
      <c r="AQ33" s="27"/>
      <c r="AR33" s="27"/>
      <c r="AS33" s="27"/>
      <c r="AT33" s="27"/>
      <c r="AU33" s="27"/>
      <c r="AV33" s="27"/>
      <c r="AW33" s="27"/>
      <c r="AX33" s="27"/>
      <c r="AY33" s="27"/>
    </row>
    <row r="34" spans="1:51" ht="15.75" customHeight="1" x14ac:dyDescent="0.25">
      <c r="A34" s="26"/>
      <c r="B34" s="8"/>
      <c r="C34" s="3"/>
      <c r="D34" s="3"/>
      <c r="E34" s="3"/>
      <c r="F34" s="27"/>
      <c r="G34" s="3"/>
      <c r="H34" s="3"/>
      <c r="I34" s="18" t="s">
        <v>86</v>
      </c>
      <c r="J34" s="8">
        <f>F12*B5</f>
        <v>350000</v>
      </c>
      <c r="K34" s="3" t="s">
        <v>87</v>
      </c>
      <c r="L34" s="17"/>
      <c r="M34" s="3"/>
      <c r="N34" s="13">
        <f t="shared" si="8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>
        <f t="shared" si="4"/>
        <v>0</v>
      </c>
      <c r="T34" s="23"/>
      <c r="U34" s="23">
        <f t="shared" si="5"/>
        <v>0</v>
      </c>
      <c r="V34" s="23">
        <f t="shared" si="6"/>
        <v>0</v>
      </c>
      <c r="W34" s="22">
        <f t="shared" si="9"/>
        <v>0</v>
      </c>
      <c r="X34" s="20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0.16791044776119401</v>
      </c>
      <c r="AD34" s="31">
        <v>96795.261097014911</v>
      </c>
      <c r="AE34" s="33">
        <f t="shared" si="17"/>
        <v>3.1131075565441817</v>
      </c>
      <c r="AF34" s="3"/>
      <c r="AG34" s="29">
        <f t="shared" si="23"/>
        <v>50</v>
      </c>
      <c r="AH34" s="32">
        <f t="shared" si="19"/>
        <v>107598.45067435002</v>
      </c>
      <c r="AI34" s="31">
        <v>131971.56353317943</v>
      </c>
      <c r="AJ34" s="33">
        <f t="shared" si="20"/>
        <v>40.585374436493922</v>
      </c>
      <c r="AK34" s="3"/>
      <c r="AL34" s="3"/>
      <c r="AM34" s="7"/>
      <c r="AN34" s="8"/>
      <c r="AO34" s="34"/>
      <c r="AP34" s="3"/>
      <c r="AQ34" s="27"/>
      <c r="AR34" s="27"/>
      <c r="AS34" s="27"/>
      <c r="AT34" s="27"/>
      <c r="AU34" s="27"/>
      <c r="AV34" s="27"/>
      <c r="AW34" s="27"/>
      <c r="AX34" s="27"/>
      <c r="AY34" s="27"/>
    </row>
    <row r="35" spans="1:51" ht="15.75" customHeight="1" x14ac:dyDescent="0.25">
      <c r="A35" s="18" t="s">
        <v>54</v>
      </c>
      <c r="B35" s="5">
        <f t="shared" ref="B35:B36" si="25">IF(B15=0,0,(B15/100)*$B$49)</f>
        <v>11183.567782258064</v>
      </c>
      <c r="C35" s="3" t="s">
        <v>3</v>
      </c>
      <c r="D35" s="3"/>
      <c r="E35" s="1" t="s">
        <v>88</v>
      </c>
      <c r="F35" s="3"/>
      <c r="G35" s="3"/>
      <c r="H35" s="3"/>
      <c r="I35" s="3"/>
      <c r="J35" s="3"/>
      <c r="K35" s="3"/>
      <c r="L35" s="17"/>
      <c r="M35" s="3"/>
      <c r="N35" s="13">
        <f t="shared" si="8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>
        <f t="shared" si="4"/>
        <v>0</v>
      </c>
      <c r="T35" s="23"/>
      <c r="U35" s="23">
        <f t="shared" si="5"/>
        <v>0</v>
      </c>
      <c r="V35" s="23">
        <f t="shared" si="6"/>
        <v>0</v>
      </c>
      <c r="W35" s="22">
        <f t="shared" si="9"/>
        <v>0</v>
      </c>
      <c r="X35" s="20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6" t="s">
        <v>58</v>
      </c>
      <c r="B36" s="5">
        <f t="shared" si="25"/>
        <v>9067.7576612903231</v>
      </c>
      <c r="C36" s="3" t="s">
        <v>3</v>
      </c>
      <c r="D36" s="3"/>
      <c r="E36" s="18" t="s">
        <v>27</v>
      </c>
      <c r="F36" s="16">
        <f>F13/$B$8</f>
        <v>0.11194029850746268</v>
      </c>
      <c r="G36" s="3" t="s">
        <v>28</v>
      </c>
      <c r="H36" s="3"/>
      <c r="I36" s="3"/>
      <c r="J36" s="3"/>
      <c r="K36" s="3"/>
      <c r="L36" s="17"/>
      <c r="M36" s="3"/>
      <c r="N36" s="13">
        <f t="shared" si="8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>
        <f t="shared" si="4"/>
        <v>0</v>
      </c>
      <c r="T36" s="23"/>
      <c r="U36" s="23">
        <f t="shared" si="5"/>
        <v>0</v>
      </c>
      <c r="V36" s="23">
        <f t="shared" si="6"/>
        <v>0</v>
      </c>
      <c r="W36" s="22">
        <f t="shared" si="9"/>
        <v>0</v>
      </c>
      <c r="X36" s="20">
        <f t="shared" si="0"/>
        <v>0</v>
      </c>
      <c r="Y36" s="4"/>
      <c r="Z36" s="8"/>
      <c r="AA36" s="3"/>
      <c r="AB36" s="28" t="s">
        <v>30</v>
      </c>
      <c r="AC36" s="29"/>
      <c r="AD36" s="29"/>
      <c r="AE36" s="29"/>
      <c r="AF36" s="3"/>
      <c r="AG36" s="28" t="s">
        <v>89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90</v>
      </c>
      <c r="F37" s="16">
        <f>(F21/((1-J14%)*J10))/B8</f>
        <v>0</v>
      </c>
      <c r="G37" s="3" t="s">
        <v>28</v>
      </c>
      <c r="H37" s="3"/>
      <c r="I37" s="1" t="s">
        <v>153</v>
      </c>
      <c r="J37" s="42">
        <f>SUM(J38:J42)</f>
        <v>2107.4626865671644</v>
      </c>
      <c r="K37" s="1" t="s">
        <v>46</v>
      </c>
      <c r="L37" s="17"/>
      <c r="M37" s="3"/>
      <c r="N37" s="13">
        <f t="shared" si="8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>
        <f t="shared" si="4"/>
        <v>0</v>
      </c>
      <c r="T37" s="23"/>
      <c r="U37" s="23">
        <f t="shared" si="5"/>
        <v>0</v>
      </c>
      <c r="V37" s="23">
        <f t="shared" si="6"/>
        <v>0</v>
      </c>
      <c r="W37" s="22">
        <f t="shared" si="9"/>
        <v>0</v>
      </c>
      <c r="X37" s="20">
        <f t="shared" si="0"/>
        <v>0</v>
      </c>
      <c r="Y37" s="4"/>
      <c r="Z37" s="8"/>
      <c r="AA37" s="3"/>
      <c r="AB37" s="29" t="s">
        <v>68</v>
      </c>
      <c r="AC37" s="29" t="s">
        <v>91</v>
      </c>
      <c r="AD37" s="29" t="s">
        <v>21</v>
      </c>
      <c r="AE37" s="29" t="s">
        <v>70</v>
      </c>
      <c r="AF37" s="3"/>
      <c r="AG37" s="29" t="s">
        <v>68</v>
      </c>
      <c r="AH37" s="29" t="s">
        <v>92</v>
      </c>
      <c r="AI37" s="29" t="s">
        <v>21</v>
      </c>
      <c r="AJ37" s="29" t="s">
        <v>70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93</v>
      </c>
      <c r="F38" s="16">
        <f>F36*J17</f>
        <v>2.1268656716417908E-2</v>
      </c>
      <c r="G38" s="3" t="s">
        <v>4</v>
      </c>
      <c r="H38" s="3"/>
      <c r="I38" s="18" t="s">
        <v>138</v>
      </c>
      <c r="J38" s="16">
        <f>F17/$B$8</f>
        <v>0</v>
      </c>
      <c r="K38" s="3" t="s">
        <v>46</v>
      </c>
      <c r="L38" s="17"/>
      <c r="M38" s="3"/>
      <c r="N38" s="13">
        <f t="shared" si="8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>
        <f t="shared" si="4"/>
        <v>0</v>
      </c>
      <c r="T38" s="23"/>
      <c r="U38" s="23">
        <f t="shared" si="5"/>
        <v>0</v>
      </c>
      <c r="V38" s="23">
        <f t="shared" si="6"/>
        <v>0</v>
      </c>
      <c r="W38" s="22">
        <f t="shared" si="9"/>
        <v>0</v>
      </c>
      <c r="X38" s="20">
        <f t="shared" si="0"/>
        <v>0</v>
      </c>
      <c r="Y38" s="4"/>
      <c r="Z38" s="8"/>
      <c r="AA38" s="3"/>
      <c r="AB38" s="29" t="s">
        <v>74</v>
      </c>
      <c r="AC38" s="32">
        <v>9780.75</v>
      </c>
      <c r="AD38" s="31">
        <f>X49</f>
        <v>93872.896851581405</v>
      </c>
      <c r="AE38" s="29"/>
      <c r="AF38" s="3"/>
      <c r="AG38" s="29" t="s">
        <v>74</v>
      </c>
      <c r="AH38" s="32">
        <v>35000</v>
      </c>
      <c r="AI38" s="31">
        <f>X49</f>
        <v>93872.896851581405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6" t="s">
        <v>64</v>
      </c>
      <c r="B39" s="8">
        <f>B19/B8</f>
        <v>1703.2258064516129</v>
      </c>
      <c r="C39" s="3" t="s">
        <v>3</v>
      </c>
      <c r="D39" s="3"/>
      <c r="E39" s="3"/>
      <c r="F39" s="3"/>
      <c r="G39" s="3"/>
      <c r="H39" s="3"/>
      <c r="I39" s="18" t="s">
        <v>141</v>
      </c>
      <c r="J39" s="16">
        <f>F16/B8</f>
        <v>7.4626865671641784</v>
      </c>
      <c r="K39" s="3" t="s">
        <v>46</v>
      </c>
      <c r="L39" s="17"/>
      <c r="M39" s="3"/>
      <c r="N39" s="13">
        <f t="shared" si="8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>
        <f t="shared" si="4"/>
        <v>0</v>
      </c>
      <c r="T39" s="23"/>
      <c r="U39" s="23">
        <f t="shared" si="5"/>
        <v>0</v>
      </c>
      <c r="V39" s="23">
        <f t="shared" si="6"/>
        <v>0</v>
      </c>
      <c r="W39" s="22">
        <f t="shared" si="9"/>
        <v>0</v>
      </c>
      <c r="X39" s="20">
        <f t="shared" si="0"/>
        <v>0</v>
      </c>
      <c r="Y39" s="4"/>
      <c r="Z39" s="8"/>
      <c r="AA39" s="3"/>
      <c r="AB39" s="29">
        <f t="shared" ref="AB39:AB43" si="26">AB40-10</f>
        <v>-50</v>
      </c>
      <c r="AC39" s="32">
        <f t="shared" ref="AC39:AC49" si="27">$AC$38*(1+(AB39/100))</f>
        <v>4890.375</v>
      </c>
      <c r="AD39" s="31">
        <f t="dataTable" ref="AD39:AD49" dt2D="0" dtr="0" r1="B48" ca="1"/>
        <v>88609.807181373122</v>
      </c>
      <c r="AE39" s="33">
        <f>100*((AD39-$AD$44)/$AD$44)</f>
        <v>-5.6066126078217637</v>
      </c>
      <c r="AF39" s="3"/>
      <c r="AG39" s="29">
        <f t="shared" ref="AG39:AG43" si="28">AG40-10</f>
        <v>-50</v>
      </c>
      <c r="AH39" s="32">
        <f t="shared" ref="AH39:AH49" si="29">$AH$38*(1+(AG39/100))</f>
        <v>17500</v>
      </c>
      <c r="AI39" s="31">
        <f t="dataTable" ref="AI39:AI49" dt2D="0" dtr="0" r1="F12" ca="1"/>
        <v>76528.557806712139</v>
      </c>
      <c r="AJ39" s="33">
        <f t="shared" ref="AJ39:AJ49" si="30">100*((AI39-$AI$44)/$AI$44)</f>
        <v>-18.476407596424441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18" t="s">
        <v>94</v>
      </c>
      <c r="F40" s="16">
        <f>F37*F12*J17</f>
        <v>0</v>
      </c>
      <c r="G40" s="3" t="s">
        <v>46</v>
      </c>
      <c r="H40" s="3"/>
      <c r="I40" s="18"/>
      <c r="J40" s="16"/>
      <c r="K40" s="3"/>
      <c r="L40" s="17"/>
      <c r="M40" s="3"/>
      <c r="N40" s="13">
        <f t="shared" si="8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>
        <f t="shared" si="4"/>
        <v>0</v>
      </c>
      <c r="T40" s="23"/>
      <c r="U40" s="23">
        <f t="shared" si="5"/>
        <v>0</v>
      </c>
      <c r="V40" s="23">
        <f t="shared" si="6"/>
        <v>0</v>
      </c>
      <c r="W40" s="22">
        <f t="shared" si="9"/>
        <v>0</v>
      </c>
      <c r="X40" s="20">
        <f t="shared" si="0"/>
        <v>0</v>
      </c>
      <c r="Y40" s="4"/>
      <c r="Z40" s="8"/>
      <c r="AA40" s="3"/>
      <c r="AB40" s="29">
        <f t="shared" si="26"/>
        <v>-40</v>
      </c>
      <c r="AC40" s="32">
        <f t="shared" si="27"/>
        <v>5868.45</v>
      </c>
      <c r="AD40" s="31">
        <v>89662.42511541475</v>
      </c>
      <c r="AE40" s="33">
        <f t="shared" ref="AE40:AE49" si="31">100*((AD40-$AD$29)/$AD$29)</f>
        <v>-4.4852900862574421</v>
      </c>
      <c r="AF40" s="3"/>
      <c r="AG40" s="29">
        <f t="shared" si="28"/>
        <v>-40</v>
      </c>
      <c r="AH40" s="32">
        <f t="shared" si="29"/>
        <v>21000</v>
      </c>
      <c r="AI40" s="31">
        <v>79258.693396797069</v>
      </c>
      <c r="AJ40" s="33">
        <f t="shared" si="30"/>
        <v>-15.568075498820766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95</v>
      </c>
      <c r="F41" s="27">
        <f>F38*F12</f>
        <v>744.40298507462683</v>
      </c>
      <c r="G41" s="3" t="s">
        <v>46</v>
      </c>
      <c r="H41" s="3"/>
      <c r="I41" s="3"/>
      <c r="J41" s="27"/>
      <c r="K41" s="3"/>
      <c r="L41" s="17"/>
      <c r="M41" s="3"/>
      <c r="N41" s="13">
        <f t="shared" si="8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>
        <f t="shared" si="4"/>
        <v>0</v>
      </c>
      <c r="T41" s="23"/>
      <c r="U41" s="23">
        <f t="shared" si="5"/>
        <v>0</v>
      </c>
      <c r="V41" s="23">
        <f t="shared" si="6"/>
        <v>0</v>
      </c>
      <c r="W41" s="22">
        <f t="shared" si="9"/>
        <v>0</v>
      </c>
      <c r="X41" s="20">
        <f t="shared" si="0"/>
        <v>0</v>
      </c>
      <c r="Y41" s="4"/>
      <c r="Z41" s="8"/>
      <c r="AA41" s="3"/>
      <c r="AB41" s="29">
        <f t="shared" si="26"/>
        <v>-30</v>
      </c>
      <c r="AC41" s="32">
        <f t="shared" si="27"/>
        <v>6846.5249999999996</v>
      </c>
      <c r="AD41" s="31">
        <v>90715.043049456421</v>
      </c>
      <c r="AE41" s="33">
        <f t="shared" si="31"/>
        <v>-3.3639675646930738</v>
      </c>
      <c r="AF41" s="3"/>
      <c r="AG41" s="29">
        <f t="shared" si="28"/>
        <v>-30</v>
      </c>
      <c r="AH41" s="32">
        <f t="shared" si="29"/>
        <v>24500</v>
      </c>
      <c r="AI41" s="31">
        <v>81730.869331613925</v>
      </c>
      <c r="AJ41" s="33">
        <f t="shared" si="30"/>
        <v>-12.934540135865566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18" t="s">
        <v>45</v>
      </c>
      <c r="J42" s="43">
        <f>F22*F12/$B$8</f>
        <v>2100</v>
      </c>
      <c r="K42" s="3" t="s">
        <v>46</v>
      </c>
      <c r="L42" s="17"/>
      <c r="M42" s="3"/>
      <c r="N42" s="13">
        <f t="shared" si="8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>
        <f t="shared" si="4"/>
        <v>0</v>
      </c>
      <c r="T42" s="23"/>
      <c r="U42" s="23">
        <f t="shared" si="5"/>
        <v>0</v>
      </c>
      <c r="V42" s="23">
        <f t="shared" si="6"/>
        <v>0</v>
      </c>
      <c r="W42" s="22">
        <f t="shared" si="9"/>
        <v>0</v>
      </c>
      <c r="X42" s="20">
        <f t="shared" si="0"/>
        <v>0</v>
      </c>
      <c r="Y42" s="4"/>
      <c r="Z42" s="8"/>
      <c r="AA42" s="3"/>
      <c r="AB42" s="29">
        <f t="shared" si="26"/>
        <v>-20</v>
      </c>
      <c r="AC42" s="32">
        <f t="shared" si="27"/>
        <v>7824.6</v>
      </c>
      <c r="AD42" s="31">
        <v>91767.660983498077</v>
      </c>
      <c r="AE42" s="33">
        <f t="shared" si="31"/>
        <v>-2.242645043128721</v>
      </c>
      <c r="AF42" s="3"/>
      <c r="AG42" s="29">
        <f t="shared" si="28"/>
        <v>-20</v>
      </c>
      <c r="AH42" s="32">
        <f t="shared" si="29"/>
        <v>28000</v>
      </c>
      <c r="AI42" s="31">
        <v>84219.809357825725</v>
      </c>
      <c r="AJ42" s="33">
        <f t="shared" si="30"/>
        <v>-10.283146485846476</v>
      </c>
      <c r="AK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8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>
        <f t="shared" si="4"/>
        <v>0</v>
      </c>
      <c r="T43" s="23"/>
      <c r="U43" s="23">
        <f t="shared" si="5"/>
        <v>0</v>
      </c>
      <c r="V43" s="23">
        <f t="shared" si="6"/>
        <v>0</v>
      </c>
      <c r="W43" s="22">
        <f t="shared" si="9"/>
        <v>0</v>
      </c>
      <c r="X43" s="20">
        <f t="shared" si="0"/>
        <v>0</v>
      </c>
      <c r="Y43" s="4"/>
      <c r="Z43" s="8"/>
      <c r="AA43" s="3"/>
      <c r="AB43" s="29">
        <f t="shared" si="26"/>
        <v>-10</v>
      </c>
      <c r="AC43" s="32">
        <f t="shared" si="27"/>
        <v>8802.6750000000011</v>
      </c>
      <c r="AD43" s="31">
        <v>92820.278917539734</v>
      </c>
      <c r="AE43" s="33">
        <f t="shared" si="31"/>
        <v>-1.1213225215643683</v>
      </c>
      <c r="AF43" s="3"/>
      <c r="AG43" s="29">
        <f t="shared" si="28"/>
        <v>-10</v>
      </c>
      <c r="AH43" s="32">
        <f t="shared" si="29"/>
        <v>31500</v>
      </c>
      <c r="AI43" s="31">
        <v>91705.522578490985</v>
      </c>
      <c r="AJ43" s="33">
        <f t="shared" si="30"/>
        <v>-2.3088392345206588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4" t="s">
        <v>96</v>
      </c>
      <c r="B44" s="4"/>
      <c r="C44" s="1"/>
      <c r="D44" s="3"/>
      <c r="E44" s="1" t="s">
        <v>129</v>
      </c>
      <c r="F44" s="3"/>
      <c r="G44" s="3"/>
      <c r="H44" s="3"/>
      <c r="I44" s="3"/>
      <c r="J44" s="3"/>
      <c r="K44" s="3"/>
      <c r="L44" s="17"/>
      <c r="M44" s="3"/>
      <c r="N44" s="13">
        <f t="shared" si="8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>
        <f t="shared" si="4"/>
        <v>0</v>
      </c>
      <c r="T44" s="23"/>
      <c r="U44" s="23">
        <f t="shared" si="5"/>
        <v>0</v>
      </c>
      <c r="V44" s="23">
        <f t="shared" si="6"/>
        <v>0</v>
      </c>
      <c r="W44" s="22">
        <f t="shared" si="9"/>
        <v>0</v>
      </c>
      <c r="X44" s="20">
        <f t="shared" si="0"/>
        <v>0</v>
      </c>
      <c r="Y44" s="4"/>
      <c r="Z44" s="8"/>
      <c r="AA44" s="3"/>
      <c r="AB44" s="38">
        <v>0</v>
      </c>
      <c r="AC44" s="44">
        <f t="shared" si="27"/>
        <v>9780.75</v>
      </c>
      <c r="AD44" s="39">
        <v>93872.896851581405</v>
      </c>
      <c r="AE44" s="51">
        <f t="shared" si="31"/>
        <v>0</v>
      </c>
      <c r="AF44" s="3"/>
      <c r="AG44" s="38">
        <v>0</v>
      </c>
      <c r="AH44" s="44">
        <f t="shared" si="29"/>
        <v>35000</v>
      </c>
      <c r="AI44" s="39">
        <v>93872.896851581405</v>
      </c>
      <c r="AJ44" s="51">
        <f t="shared" si="30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145</v>
      </c>
      <c r="B45" s="8">
        <f>J8/B8</f>
        <v>42580.645161290326</v>
      </c>
      <c r="C45" s="3" t="s">
        <v>3</v>
      </c>
      <c r="D45" s="3"/>
      <c r="E45" s="18" t="s">
        <v>130</v>
      </c>
      <c r="F45" s="66">
        <f>((1+(B16/100))*J9*J10)*(1+(B13%+B15%))</f>
        <v>11590.188749999998</v>
      </c>
      <c r="G45" s="3" t="s">
        <v>3</v>
      </c>
      <c r="H45" s="3"/>
      <c r="I45" s="1"/>
      <c r="J45" s="3"/>
      <c r="K45" s="3"/>
      <c r="L45" s="17"/>
      <c r="M45" s="3"/>
      <c r="N45" s="13">
        <f t="shared" si="8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>
        <f t="shared" si="4"/>
        <v>0</v>
      </c>
      <c r="T45" s="23"/>
      <c r="U45" s="23">
        <f t="shared" si="5"/>
        <v>0</v>
      </c>
      <c r="V45" s="23">
        <f t="shared" si="6"/>
        <v>0</v>
      </c>
      <c r="W45" s="22">
        <f t="shared" si="9"/>
        <v>0</v>
      </c>
      <c r="X45" s="20">
        <f t="shared" si="0"/>
        <v>0</v>
      </c>
      <c r="Y45" s="4"/>
      <c r="Z45" s="8"/>
      <c r="AA45" s="3"/>
      <c r="AB45" s="29">
        <f t="shared" ref="AB45:AB49" si="32">AB44+10</f>
        <v>10</v>
      </c>
      <c r="AC45" s="32">
        <f t="shared" si="27"/>
        <v>10758.825000000001</v>
      </c>
      <c r="AD45" s="31">
        <v>94925.514785623047</v>
      </c>
      <c r="AE45" s="33">
        <f t="shared" si="31"/>
        <v>1.1213225215643374</v>
      </c>
      <c r="AF45" s="3"/>
      <c r="AG45" s="29">
        <f t="shared" ref="AG45:AG49" si="33">AG44+10</f>
        <v>10</v>
      </c>
      <c r="AH45" s="32">
        <f t="shared" si="29"/>
        <v>38500</v>
      </c>
      <c r="AI45" s="31">
        <v>96960.943164034266</v>
      </c>
      <c r="AJ45" s="33">
        <f t="shared" si="30"/>
        <v>3.2896037259138229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97</v>
      </c>
      <c r="B46" s="8">
        <f>IF(J24="No",J9*J10,0)</f>
        <v>8505</v>
      </c>
      <c r="C46" s="3" t="s">
        <v>3</v>
      </c>
      <c r="D46" s="3"/>
      <c r="E46" s="3" t="s">
        <v>131</v>
      </c>
      <c r="F46" s="66">
        <f>((J21%)*F45)+(((1-J21%)*F45)*(1+(F23%*J20)))</f>
        <v>13821.300084374996</v>
      </c>
      <c r="G46" s="3" t="s">
        <v>3</v>
      </c>
      <c r="H46" s="3"/>
      <c r="I46" s="18"/>
      <c r="J46" s="7"/>
      <c r="K46" s="3"/>
      <c r="L46" s="17"/>
      <c r="M46" s="3"/>
      <c r="N46" s="13">
        <f t="shared" si="8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>
        <f t="shared" si="4"/>
        <v>0</v>
      </c>
      <c r="T46" s="23"/>
      <c r="U46" s="23">
        <f t="shared" si="5"/>
        <v>0</v>
      </c>
      <c r="V46" s="23">
        <f t="shared" si="6"/>
        <v>0</v>
      </c>
      <c r="W46" s="22">
        <f t="shared" si="9"/>
        <v>0</v>
      </c>
      <c r="X46" s="20">
        <f t="shared" si="0"/>
        <v>0</v>
      </c>
      <c r="Y46" s="4"/>
      <c r="Z46" s="8"/>
      <c r="AA46" s="3"/>
      <c r="AB46" s="29">
        <f t="shared" si="32"/>
        <v>20</v>
      </c>
      <c r="AC46" s="32">
        <f t="shared" si="27"/>
        <v>11736.9</v>
      </c>
      <c r="AD46" s="31">
        <v>95978.132719664689</v>
      </c>
      <c r="AE46" s="33">
        <f t="shared" si="31"/>
        <v>2.2426450431286749</v>
      </c>
      <c r="AF46" s="3"/>
      <c r="AG46" s="29">
        <f t="shared" si="33"/>
        <v>20</v>
      </c>
      <c r="AH46" s="32">
        <f t="shared" si="29"/>
        <v>42000</v>
      </c>
      <c r="AI46" s="31">
        <v>99128.317437124671</v>
      </c>
      <c r="AJ46" s="33">
        <f t="shared" si="30"/>
        <v>5.5984429604344657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6" t="s">
        <v>98</v>
      </c>
      <c r="B47" s="25">
        <f>(1+(B16/100))*B45</f>
        <v>48967.741935483871</v>
      </c>
      <c r="C47" s="3" t="s">
        <v>3</v>
      </c>
      <c r="D47" s="3"/>
      <c r="E47" s="3" t="s">
        <v>83</v>
      </c>
      <c r="F47" s="66">
        <f>J12*J11</f>
        <v>180000</v>
      </c>
      <c r="G47" s="3" t="s">
        <v>87</v>
      </c>
      <c r="H47" s="3"/>
      <c r="I47" s="3"/>
      <c r="J47" s="3"/>
      <c r="K47" s="3"/>
      <c r="L47" s="17"/>
      <c r="M47" s="3"/>
      <c r="N47" s="13">
        <f t="shared" si="8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>
        <f t="shared" si="4"/>
        <v>0</v>
      </c>
      <c r="T47" s="23"/>
      <c r="U47" s="23">
        <f t="shared" si="5"/>
        <v>0</v>
      </c>
      <c r="V47" s="23">
        <f t="shared" si="6"/>
        <v>0</v>
      </c>
      <c r="W47" s="22">
        <f t="shared" si="9"/>
        <v>0</v>
      </c>
      <c r="X47" s="20">
        <f t="shared" si="0"/>
        <v>0</v>
      </c>
      <c r="Y47" s="4"/>
      <c r="Z47" s="8"/>
      <c r="AA47" s="3"/>
      <c r="AB47" s="29">
        <f t="shared" si="32"/>
        <v>30</v>
      </c>
      <c r="AC47" s="32">
        <f t="shared" si="27"/>
        <v>12714.975</v>
      </c>
      <c r="AD47" s="31">
        <v>97030.750653706345</v>
      </c>
      <c r="AE47" s="33">
        <f t="shared" si="31"/>
        <v>3.3639675646930276</v>
      </c>
      <c r="AF47" s="3"/>
      <c r="AG47" s="29">
        <f t="shared" si="33"/>
        <v>30</v>
      </c>
      <c r="AH47" s="32">
        <f t="shared" si="29"/>
        <v>45500</v>
      </c>
      <c r="AI47" s="31">
        <v>107552.59180448463</v>
      </c>
      <c r="AJ47" s="33">
        <f t="shared" si="30"/>
        <v>14.572571436174634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6" t="s">
        <v>99</v>
      </c>
      <c r="B48" s="5">
        <f>(1+(B16/100))*B46</f>
        <v>9780.75</v>
      </c>
      <c r="C48" s="3" t="s">
        <v>3</v>
      </c>
      <c r="D48" s="3"/>
      <c r="E48" s="3" t="s">
        <v>132</v>
      </c>
      <c r="F48" s="67">
        <f>(F46/F47)*J25</f>
        <v>9.9820500609374974E-2</v>
      </c>
      <c r="G48" s="3" t="s">
        <v>4</v>
      </c>
      <c r="H48" s="3"/>
      <c r="I48" s="3"/>
      <c r="J48" s="3"/>
      <c r="K48" s="3"/>
      <c r="L48" s="17"/>
      <c r="M48" s="3"/>
      <c r="N48" s="13">
        <f t="shared" si="8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>
        <f t="shared" si="4"/>
        <v>0</v>
      </c>
      <c r="T48" s="23"/>
      <c r="U48" s="23">
        <f t="shared" si="5"/>
        <v>0</v>
      </c>
      <c r="V48" s="23">
        <f t="shared" si="6"/>
        <v>0</v>
      </c>
      <c r="W48" s="22">
        <f t="shared" si="9"/>
        <v>0</v>
      </c>
      <c r="X48" s="20">
        <f t="shared" si="0"/>
        <v>0</v>
      </c>
      <c r="Y48" s="4"/>
      <c r="Z48" s="8"/>
      <c r="AA48" s="3"/>
      <c r="AB48" s="29">
        <f t="shared" si="32"/>
        <v>40</v>
      </c>
      <c r="AC48" s="32">
        <f t="shared" si="27"/>
        <v>13693.05</v>
      </c>
      <c r="AD48" s="31">
        <v>98083.368587747987</v>
      </c>
      <c r="AE48" s="33">
        <f t="shared" si="31"/>
        <v>4.4852900862573648</v>
      </c>
      <c r="AF48" s="3"/>
      <c r="AG48" s="29">
        <f t="shared" si="33"/>
        <v>40</v>
      </c>
      <c r="AH48" s="32">
        <f t="shared" si="29"/>
        <v>49000</v>
      </c>
      <c r="AI48" s="31">
        <v>109719.96607757502</v>
      </c>
      <c r="AJ48" s="33">
        <f t="shared" si="30"/>
        <v>16.88141067069526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100</v>
      </c>
      <c r="B49" s="25">
        <f>B47+B48+B39</f>
        <v>60451.717741935485</v>
      </c>
      <c r="C49" s="3" t="s">
        <v>3</v>
      </c>
      <c r="D49" s="3"/>
      <c r="E49" s="3" t="s">
        <v>133</v>
      </c>
      <c r="F49" s="8">
        <f>J26*365</f>
        <v>36500</v>
      </c>
      <c r="G49" s="3" t="s">
        <v>40</v>
      </c>
      <c r="H49" s="3"/>
      <c r="I49" s="3"/>
      <c r="J49" s="3"/>
      <c r="K49" s="3"/>
      <c r="L49" s="17"/>
      <c r="M49" s="3"/>
      <c r="N49" s="14" t="s">
        <v>101</v>
      </c>
      <c r="O49" s="20">
        <f t="shared" ref="O49:S49" si="34">SUM(O8:O48)</f>
        <v>21519.690134870005</v>
      </c>
      <c r="P49" s="20">
        <f t="shared" si="34"/>
        <v>54677.643228326051</v>
      </c>
      <c r="Q49" s="20">
        <f t="shared" si="34"/>
        <v>5844.7284908670645</v>
      </c>
      <c r="R49" s="20">
        <f t="shared" si="34"/>
        <v>0</v>
      </c>
      <c r="S49" s="20">
        <f t="shared" si="34"/>
        <v>15885.265179056154</v>
      </c>
      <c r="T49" s="20"/>
      <c r="U49" s="20">
        <f t="shared" ref="U49:X49" si="35">SUM(U8:U48)</f>
        <v>11486.554757449074</v>
      </c>
      <c r="V49" s="20">
        <f t="shared" si="35"/>
        <v>0</v>
      </c>
      <c r="W49" s="20">
        <f t="shared" si="35"/>
        <v>-15540.984938986971</v>
      </c>
      <c r="X49" s="20">
        <f t="shared" si="35"/>
        <v>93872.896851581405</v>
      </c>
      <c r="Y49" s="4"/>
      <c r="Z49" s="4"/>
      <c r="AA49" s="3"/>
      <c r="AB49" s="29">
        <f t="shared" si="32"/>
        <v>50</v>
      </c>
      <c r="AC49" s="32">
        <f t="shared" si="27"/>
        <v>14671.125</v>
      </c>
      <c r="AD49" s="31">
        <v>99135.986521789659</v>
      </c>
      <c r="AE49" s="33">
        <f t="shared" si="31"/>
        <v>5.6066126078217327</v>
      </c>
      <c r="AF49" s="3"/>
      <c r="AG49" s="29">
        <f t="shared" si="33"/>
        <v>50</v>
      </c>
      <c r="AH49" s="32">
        <f t="shared" si="29"/>
        <v>52500</v>
      </c>
      <c r="AI49" s="31">
        <v>111887.34035066541</v>
      </c>
      <c r="AJ49" s="33">
        <f t="shared" si="30"/>
        <v>19.190249905215889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6" t="s">
        <v>102</v>
      </c>
      <c r="B50" s="8">
        <f>B49+B35+B37+B38+B40</f>
        <v>71732.300449566683</v>
      </c>
      <c r="C50" s="3" t="s">
        <v>3</v>
      </c>
      <c r="D50" s="3"/>
      <c r="E50" s="3" t="s">
        <v>134</v>
      </c>
      <c r="F50" s="5">
        <f>F48*F49</f>
        <v>3643.4482722421867</v>
      </c>
      <c r="G50" s="68" t="s">
        <v>46</v>
      </c>
      <c r="H50" s="3"/>
      <c r="I50" s="3"/>
      <c r="J50" s="3"/>
      <c r="K50" s="3"/>
      <c r="L50" s="17"/>
      <c r="M50" s="3"/>
      <c r="N50" s="3"/>
      <c r="O50" s="3"/>
      <c r="P50" s="8"/>
      <c r="Q50" s="3"/>
      <c r="R50" s="25"/>
      <c r="S50" s="25"/>
      <c r="T50" s="3"/>
      <c r="U50" s="3"/>
      <c r="V50" s="3"/>
      <c r="W50" s="3"/>
      <c r="X50" s="25"/>
      <c r="Y50" s="25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6" t="s">
        <v>152</v>
      </c>
      <c r="B51" s="8">
        <f>SUM(B31:B32)</f>
        <v>0</v>
      </c>
      <c r="C51" s="3" t="s">
        <v>3</v>
      </c>
      <c r="D51" s="3"/>
      <c r="E51" s="3" t="s">
        <v>135</v>
      </c>
      <c r="F51" s="69">
        <f>IF(F12&gt;F49,(F12-F49)*F48,0)</f>
        <v>0</v>
      </c>
      <c r="G51" s="68" t="s">
        <v>46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45</v>
      </c>
      <c r="AC51" s="29"/>
      <c r="AD51" s="29"/>
      <c r="AE51" s="29"/>
      <c r="AF51" s="3"/>
      <c r="AG51" s="28" t="s">
        <v>127</v>
      </c>
      <c r="AH51" s="29"/>
      <c r="AI51" s="29"/>
      <c r="AJ51" s="29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6" t="s">
        <v>144</v>
      </c>
      <c r="B52" s="8">
        <f>B50-B51</f>
        <v>71732.300449566683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68</v>
      </c>
      <c r="AC52" s="29" t="s">
        <v>119</v>
      </c>
      <c r="AD52" s="29" t="s">
        <v>21</v>
      </c>
      <c r="AE52" s="29" t="s">
        <v>70</v>
      </c>
      <c r="AF52" s="3"/>
      <c r="AG52" s="29" t="s">
        <v>68</v>
      </c>
      <c r="AH52" s="29" t="s">
        <v>136</v>
      </c>
      <c r="AI52" s="29" t="s">
        <v>21</v>
      </c>
      <c r="AJ52" s="29" t="s">
        <v>70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74</v>
      </c>
      <c r="AC53" s="32">
        <v>2100</v>
      </c>
      <c r="AD53" s="31">
        <f>X49</f>
        <v>93872.896851581405</v>
      </c>
      <c r="AE53" s="29"/>
      <c r="AF53" s="3"/>
      <c r="AG53" s="29" t="s">
        <v>74</v>
      </c>
      <c r="AH53" s="32">
        <v>100</v>
      </c>
      <c r="AI53" s="31">
        <f>X49</f>
        <v>93872.896851581405</v>
      </c>
      <c r="AJ53" s="29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45"/>
      <c r="V54" s="47"/>
      <c r="W54" s="3"/>
      <c r="X54" s="27"/>
      <c r="Y54" s="27"/>
      <c r="Z54" s="47"/>
      <c r="AA54" s="27"/>
      <c r="AB54" s="29">
        <f t="shared" ref="AB54:AB58" si="36">AB55-10</f>
        <v>-50</v>
      </c>
      <c r="AC54" s="32">
        <f t="shared" ref="AC54:AC64" si="37">$AC$53*(1+(AB54/100))</f>
        <v>1050</v>
      </c>
      <c r="AD54" s="31">
        <f t="dataTable" ref="AD54:AD64" dt2D="0" dtr="0" r1="J42" ca="1"/>
        <v>85958.389731562958</v>
      </c>
      <c r="AE54" s="33">
        <f t="shared" ref="AE54:AE64" si="38">100*((AD54-$AD$59)/$AD$59)</f>
        <v>-8.4310886160589575</v>
      </c>
      <c r="AF54" s="3"/>
      <c r="AG54" s="29">
        <f t="shared" ref="AG54:AG56" si="39">AG55-20</f>
        <v>-100</v>
      </c>
      <c r="AH54" s="32">
        <f>$AH$53*(1+(AG54/100))</f>
        <v>0</v>
      </c>
      <c r="AI54" s="31">
        <f t="dataTable" ref="AI54:AI64" dt2D="0" dtr="0" r1="J26" ca="1"/>
        <v>93872.896851581405</v>
      </c>
      <c r="AJ54" s="33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76197.333363196056</v>
      </c>
      <c r="Q55" s="3" t="s">
        <v>3</v>
      </c>
      <c r="R55" s="48">
        <f t="shared" ref="R55:R59" si="40">P55/$J$34</f>
        <v>0.21770666675198874</v>
      </c>
      <c r="S55" s="3" t="s">
        <v>4</v>
      </c>
      <c r="T55" s="3"/>
      <c r="U55" s="3"/>
      <c r="V55" s="47"/>
      <c r="W55" s="3"/>
      <c r="X55" s="27"/>
      <c r="Y55" s="27"/>
      <c r="Z55" s="47"/>
      <c r="AA55" s="27"/>
      <c r="AB55" s="29">
        <f t="shared" si="36"/>
        <v>-40</v>
      </c>
      <c r="AC55" s="32">
        <f t="shared" si="37"/>
        <v>1260</v>
      </c>
      <c r="AD55" s="31">
        <v>87541.291155566651</v>
      </c>
      <c r="AE55" s="33">
        <f t="shared" si="38"/>
        <v>-6.744870892847163</v>
      </c>
      <c r="AF55" s="3"/>
      <c r="AG55" s="29">
        <f t="shared" si="39"/>
        <v>-80</v>
      </c>
      <c r="AH55" s="32">
        <f t="shared" ref="AH55:AH64" si="41">$AH$53*(1+(AG55/100))</f>
        <v>19.999999999999996</v>
      </c>
      <c r="AI55" s="31">
        <v>93872.896851581405</v>
      </c>
      <c r="AJ55" s="33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SUM(Q49:R49)</f>
        <v>5844.7284908670645</v>
      </c>
      <c r="Q56" s="3" t="s">
        <v>3</v>
      </c>
      <c r="R56" s="48">
        <f t="shared" si="40"/>
        <v>1.6699224259620185E-2</v>
      </c>
      <c r="S56" s="3" t="s">
        <v>4</v>
      </c>
      <c r="T56" s="3"/>
      <c r="U56" s="3"/>
      <c r="V56" s="47"/>
      <c r="W56" s="3"/>
      <c r="X56" s="27"/>
      <c r="Y56" s="27"/>
      <c r="Z56" s="47"/>
      <c r="AA56" s="27"/>
      <c r="AB56" s="29">
        <f t="shared" si="36"/>
        <v>-30</v>
      </c>
      <c r="AC56" s="32">
        <f t="shared" si="37"/>
        <v>1470</v>
      </c>
      <c r="AD56" s="31">
        <v>89124.192579570328</v>
      </c>
      <c r="AE56" s="33">
        <f t="shared" si="38"/>
        <v>-5.0586531696353836</v>
      </c>
      <c r="AF56" s="3"/>
      <c r="AG56" s="29">
        <f t="shared" si="39"/>
        <v>-60</v>
      </c>
      <c r="AH56" s="32">
        <f t="shared" si="41"/>
        <v>40</v>
      </c>
      <c r="AI56" s="31">
        <v>93872.896851581405</v>
      </c>
      <c r="AJ56" s="33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SUM(S49:T49)</f>
        <v>15885.265179056154</v>
      </c>
      <c r="Q57" s="3" t="s">
        <v>3</v>
      </c>
      <c r="R57" s="48">
        <f t="shared" si="40"/>
        <v>4.538647194016044E-2</v>
      </c>
      <c r="S57" s="3" t="s">
        <v>4</v>
      </c>
      <c r="T57" s="3"/>
      <c r="U57" s="3"/>
      <c r="V57" s="47"/>
      <c r="W57" s="3"/>
      <c r="X57" s="27"/>
      <c r="Y57" s="27"/>
      <c r="Z57" s="47"/>
      <c r="AA57" s="27"/>
      <c r="AB57" s="29">
        <f t="shared" si="36"/>
        <v>-20</v>
      </c>
      <c r="AC57" s="32">
        <f t="shared" si="37"/>
        <v>1680</v>
      </c>
      <c r="AD57" s="31">
        <v>90707.094003574035</v>
      </c>
      <c r="AE57" s="33">
        <f t="shared" si="38"/>
        <v>-3.3724354464235731</v>
      </c>
      <c r="AF57" s="3"/>
      <c r="AG57" s="29">
        <f>AG58-20</f>
        <v>-40</v>
      </c>
      <c r="AH57" s="32">
        <f t="shared" si="41"/>
        <v>60</v>
      </c>
      <c r="AI57" s="31">
        <v>93872.896851581405</v>
      </c>
      <c r="AJ57" s="33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107</v>
      </c>
      <c r="P58" s="25">
        <f>SUM(U49:V49)</f>
        <v>11486.554757449074</v>
      </c>
      <c r="Q58" s="3" t="s">
        <v>3</v>
      </c>
      <c r="R58" s="48">
        <f t="shared" si="40"/>
        <v>3.2818727878425928E-2</v>
      </c>
      <c r="S58" s="3" t="s">
        <v>4</v>
      </c>
      <c r="T58" s="3"/>
      <c r="U58" s="3"/>
      <c r="V58" s="47"/>
      <c r="W58" s="3"/>
      <c r="X58" s="27"/>
      <c r="Y58" s="27"/>
      <c r="Z58" s="47"/>
      <c r="AA58" s="27"/>
      <c r="AB58" s="29">
        <f t="shared" si="36"/>
        <v>-10</v>
      </c>
      <c r="AC58" s="32">
        <f t="shared" si="37"/>
        <v>1890</v>
      </c>
      <c r="AD58" s="31">
        <v>92289.995427577698</v>
      </c>
      <c r="AE58" s="33">
        <f t="shared" si="38"/>
        <v>-1.6862177232118098</v>
      </c>
      <c r="AF58" s="3"/>
      <c r="AG58" s="29">
        <f>AG59-20</f>
        <v>-20</v>
      </c>
      <c r="AH58" s="32">
        <f t="shared" si="41"/>
        <v>80</v>
      </c>
      <c r="AI58" s="31">
        <v>93872.896851581405</v>
      </c>
      <c r="AJ58" s="33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143</v>
      </c>
      <c r="P59" s="25">
        <f>W49</f>
        <v>-15540.984938986971</v>
      </c>
      <c r="Q59" s="3" t="s">
        <v>3</v>
      </c>
      <c r="R59" s="48">
        <f t="shared" si="40"/>
        <v>-4.4402814111391346E-2</v>
      </c>
      <c r="S59" s="3" t="s">
        <v>4</v>
      </c>
      <c r="T59" s="3"/>
      <c r="U59" s="3"/>
      <c r="V59" s="47"/>
      <c r="W59" s="3"/>
      <c r="X59" s="27"/>
      <c r="Y59" s="27"/>
      <c r="Z59" s="47"/>
      <c r="AA59" s="27"/>
      <c r="AB59" s="52">
        <v>0</v>
      </c>
      <c r="AC59" s="57">
        <f t="shared" si="37"/>
        <v>2100</v>
      </c>
      <c r="AD59" s="54">
        <v>93872.896851581405</v>
      </c>
      <c r="AE59" s="55">
        <f t="shared" si="38"/>
        <v>0</v>
      </c>
      <c r="AF59" s="3"/>
      <c r="AG59" s="38">
        <v>0</v>
      </c>
      <c r="AH59" s="56">
        <f t="shared" si="41"/>
        <v>100</v>
      </c>
      <c r="AI59" s="39">
        <v>93872.896851581405</v>
      </c>
      <c r="AJ59" s="5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93872.896851581376</v>
      </c>
      <c r="Q60" s="1" t="s">
        <v>3</v>
      </c>
      <c r="R60" s="43">
        <f>SUM(R55:R59)</f>
        <v>0.26820827671880393</v>
      </c>
      <c r="S60" s="1" t="s">
        <v>4</v>
      </c>
      <c r="T60" s="1"/>
      <c r="U60" s="3"/>
      <c r="V60" s="47"/>
      <c r="W60" s="3"/>
      <c r="X60" s="27"/>
      <c r="Y60" s="27"/>
      <c r="Z60" s="47"/>
      <c r="AA60" s="27"/>
      <c r="AB60" s="29">
        <f t="shared" ref="AB60:AB64" si="43">AB59+10</f>
        <v>10</v>
      </c>
      <c r="AC60" s="32">
        <f t="shared" si="37"/>
        <v>2310</v>
      </c>
      <c r="AD60" s="31">
        <v>95455.798275585053</v>
      </c>
      <c r="AE60" s="33">
        <f t="shared" si="38"/>
        <v>1.6862177232117481</v>
      </c>
      <c r="AF60" s="3"/>
      <c r="AG60" s="29">
        <f>AG59+20</f>
        <v>20</v>
      </c>
      <c r="AH60" s="32">
        <f t="shared" si="41"/>
        <v>120</v>
      </c>
      <c r="AI60" s="31">
        <v>93872.896851581405</v>
      </c>
      <c r="AJ60" s="33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7"/>
      <c r="W61" s="3"/>
      <c r="X61" s="27"/>
      <c r="Y61" s="27"/>
      <c r="Z61" s="47"/>
      <c r="AA61" s="27"/>
      <c r="AB61" s="29">
        <f t="shared" si="43"/>
        <v>20</v>
      </c>
      <c r="AC61" s="32">
        <f t="shared" si="37"/>
        <v>2520</v>
      </c>
      <c r="AD61" s="31">
        <v>97038.699699588731</v>
      </c>
      <c r="AE61" s="33">
        <f t="shared" si="38"/>
        <v>3.3724354464235264</v>
      </c>
      <c r="AF61" s="3"/>
      <c r="AG61" s="29">
        <f t="shared" ref="AG61:AG64" si="44">AG60+20</f>
        <v>40</v>
      </c>
      <c r="AH61" s="32">
        <f t="shared" si="41"/>
        <v>140</v>
      </c>
      <c r="AI61" s="31">
        <v>93872.896851581405</v>
      </c>
      <c r="AJ61" s="33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7"/>
      <c r="W62" s="3"/>
      <c r="X62" s="27"/>
      <c r="Y62" s="27"/>
      <c r="Z62" s="47"/>
      <c r="AA62" s="27"/>
      <c r="AB62" s="29">
        <f t="shared" si="43"/>
        <v>30</v>
      </c>
      <c r="AC62" s="32">
        <f t="shared" si="37"/>
        <v>2730</v>
      </c>
      <c r="AD62" s="31">
        <v>98621.601123592423</v>
      </c>
      <c r="AE62" s="33">
        <f t="shared" si="38"/>
        <v>5.0586531696353214</v>
      </c>
      <c r="AF62" s="3"/>
      <c r="AG62" s="29">
        <f t="shared" si="44"/>
        <v>60</v>
      </c>
      <c r="AH62" s="32">
        <f t="shared" si="41"/>
        <v>160</v>
      </c>
      <c r="AI62" s="31">
        <v>93872.896851581405</v>
      </c>
      <c r="AJ62" s="33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7"/>
      <c r="W63" s="3"/>
      <c r="X63" s="27"/>
      <c r="Y63" s="27"/>
      <c r="Z63" s="47"/>
      <c r="AA63" s="27"/>
      <c r="AB63" s="29">
        <f t="shared" si="43"/>
        <v>40</v>
      </c>
      <c r="AC63" s="32">
        <f t="shared" si="37"/>
        <v>2940</v>
      </c>
      <c r="AD63" s="31">
        <v>100204.50254759613</v>
      </c>
      <c r="AE63" s="33">
        <f t="shared" si="38"/>
        <v>6.744870892847131</v>
      </c>
      <c r="AF63" s="3"/>
      <c r="AG63" s="29">
        <f t="shared" si="44"/>
        <v>80</v>
      </c>
      <c r="AH63" s="32">
        <f t="shared" si="41"/>
        <v>180</v>
      </c>
      <c r="AI63" s="31">
        <v>93872.896851581405</v>
      </c>
      <c r="AJ63" s="33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7"/>
      <c r="W64" s="3"/>
      <c r="X64" s="27"/>
      <c r="Y64" s="27"/>
      <c r="Z64" s="47"/>
      <c r="AA64" s="27"/>
      <c r="AB64" s="29">
        <f t="shared" si="43"/>
        <v>50</v>
      </c>
      <c r="AC64" s="32">
        <f t="shared" si="37"/>
        <v>3150</v>
      </c>
      <c r="AD64" s="31">
        <v>101787.40397159982</v>
      </c>
      <c r="AE64" s="33">
        <f t="shared" si="38"/>
        <v>8.4310886160589256</v>
      </c>
      <c r="AF64" s="3"/>
      <c r="AG64" s="29">
        <f t="shared" si="44"/>
        <v>100</v>
      </c>
      <c r="AH64" s="32">
        <f t="shared" si="41"/>
        <v>200</v>
      </c>
      <c r="AI64" s="31">
        <v>93872.896851581405</v>
      </c>
      <c r="AJ64" s="33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7"/>
      <c r="W65" s="3"/>
      <c r="X65" s="27"/>
      <c r="Y65" s="27"/>
      <c r="Z65" s="47"/>
      <c r="AA65" s="27"/>
      <c r="AB65" s="3"/>
      <c r="AC65" s="3"/>
      <c r="AD65" s="3"/>
      <c r="AE65" s="3"/>
      <c r="AF65" s="3"/>
      <c r="AG65" s="3"/>
      <c r="AH65" s="7"/>
      <c r="AI65" s="8"/>
      <c r="AJ65" s="34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7"/>
      <c r="W66" s="3"/>
      <c r="X66" s="27"/>
      <c r="Y66" s="27"/>
      <c r="Z66" s="47"/>
      <c r="AA66" s="27"/>
      <c r="AB66" s="28" t="s">
        <v>172</v>
      </c>
      <c r="AC66" s="29"/>
      <c r="AD66" s="29"/>
      <c r="AE66" s="29"/>
      <c r="AF66" s="3"/>
      <c r="AG66" s="3"/>
      <c r="AH66" s="7"/>
      <c r="AI66" s="8"/>
      <c r="AJ66" s="34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7"/>
      <c r="W67" s="3"/>
      <c r="X67" s="27"/>
      <c r="Y67" s="27"/>
      <c r="Z67" s="47"/>
      <c r="AA67" s="27"/>
      <c r="AB67" s="29" t="s">
        <v>68</v>
      </c>
      <c r="AC67" s="29" t="s">
        <v>172</v>
      </c>
      <c r="AD67" s="29" t="s">
        <v>21</v>
      </c>
      <c r="AE67" s="29" t="s">
        <v>70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7"/>
      <c r="W68" s="3"/>
      <c r="X68" s="27"/>
      <c r="Y68" s="27"/>
      <c r="Z68" s="47"/>
      <c r="AA68" s="27"/>
      <c r="AB68" s="29" t="s">
        <v>74</v>
      </c>
      <c r="AC68" s="30">
        <v>0.19</v>
      </c>
      <c r="AD68" s="31">
        <f>X49</f>
        <v>93872.896851581405</v>
      </c>
      <c r="AE68" s="29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9"/>
      <c r="Y69" s="49"/>
      <c r="Z69" s="3"/>
      <c r="AA69" s="49"/>
      <c r="AB69" s="29">
        <f t="shared" ref="AB69:AB73" si="45">AB70-10</f>
        <v>-50</v>
      </c>
      <c r="AC69" s="30">
        <f>$AC$68*(1-(AB69/100))</f>
        <v>0.28500000000000003</v>
      </c>
      <c r="AD69" s="31">
        <f t="dataTable" ref="AD69:AD79" dt2D="0" dtr="0" r1="J17" ca="1"/>
        <v>96795.261097014911</v>
      </c>
      <c r="AE69" s="33">
        <f>100*((AD69-$AD$74)/$AD$74)</f>
        <v>3.1131075565441817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9">
        <f t="shared" si="45"/>
        <v>-40</v>
      </c>
      <c r="AC70" s="30">
        <f t="shared" ref="AC70:AC73" si="46">$AC$68*(1-(AB70/100))</f>
        <v>0.26599999999999996</v>
      </c>
      <c r="AD70" s="31">
        <v>96210.788247928198</v>
      </c>
      <c r="AE70" s="33">
        <f t="shared" ref="AE70:AE79" si="47">100*((AD70-$AD$74)/$AD$74)</f>
        <v>2.490486045235333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9">
        <f t="shared" si="45"/>
        <v>-30</v>
      </c>
      <c r="AC71" s="30">
        <f t="shared" si="46"/>
        <v>0.24700000000000003</v>
      </c>
      <c r="AD71" s="31">
        <v>95626.315398841514</v>
      </c>
      <c r="AE71" s="33">
        <f t="shared" si="47"/>
        <v>1.8678645339265152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9">
        <f t="shared" si="45"/>
        <v>-20</v>
      </c>
      <c r="AC72" s="30">
        <f t="shared" si="46"/>
        <v>0.22799999999999998</v>
      </c>
      <c r="AD72" s="31">
        <v>95041.842549754801</v>
      </c>
      <c r="AE72" s="33">
        <f t="shared" si="47"/>
        <v>1.2452430226176665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9">
        <f t="shared" si="45"/>
        <v>-10</v>
      </c>
      <c r="AC73" s="30">
        <f t="shared" si="46"/>
        <v>0.20900000000000002</v>
      </c>
      <c r="AD73" s="31">
        <v>94457.369700668089</v>
      </c>
      <c r="AE73" s="33">
        <f t="shared" si="47"/>
        <v>0.62262151130881771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8">
        <v>0</v>
      </c>
      <c r="AC74" s="53">
        <f t="shared" ref="AC74" si="48">$AC$68*(1+(AB74/100))</f>
        <v>0.19</v>
      </c>
      <c r="AD74" s="39">
        <v>93872.896851581405</v>
      </c>
      <c r="AE74" s="55">
        <f t="shared" si="47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9">
        <f t="shared" ref="AB75:AB79" si="49">AB74+10</f>
        <v>10</v>
      </c>
      <c r="AC75" s="30">
        <f t="shared" ref="AC75:AC79" si="50">$AC$68*(1-(AB75/100))</f>
        <v>0.17100000000000001</v>
      </c>
      <c r="AD75" s="31">
        <v>93288.424002494692</v>
      </c>
      <c r="AE75" s="33">
        <f t="shared" si="47"/>
        <v>-0.6226215113088488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9">
        <f t="shared" si="49"/>
        <v>20</v>
      </c>
      <c r="AC76" s="30">
        <f t="shared" si="50"/>
        <v>0.15200000000000002</v>
      </c>
      <c r="AD76" s="31">
        <v>92703.951153407965</v>
      </c>
      <c r="AE76" s="33">
        <f t="shared" si="47"/>
        <v>-1.2452430226177129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9">
        <f t="shared" si="49"/>
        <v>30</v>
      </c>
      <c r="AC77" s="30">
        <f t="shared" si="50"/>
        <v>0.13299999999999998</v>
      </c>
      <c r="AD77" s="31">
        <v>92119.478304321252</v>
      </c>
      <c r="AE77" s="33">
        <f t="shared" si="47"/>
        <v>-1.8678645339265616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9">
        <f t="shared" si="49"/>
        <v>40</v>
      </c>
      <c r="AC78" s="30">
        <f t="shared" si="50"/>
        <v>0.11399999999999999</v>
      </c>
      <c r="AD78" s="31">
        <v>91535.005455234554</v>
      </c>
      <c r="AE78" s="33">
        <f t="shared" si="47"/>
        <v>-2.4904860452353952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9">
        <f t="shared" si="49"/>
        <v>50</v>
      </c>
      <c r="AC79" s="30">
        <f t="shared" si="50"/>
        <v>9.5000000000000001E-2</v>
      </c>
      <c r="AD79" s="31">
        <v>90950.53260614787</v>
      </c>
      <c r="AE79" s="33">
        <f t="shared" si="47"/>
        <v>-3.1131075565442123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count="1">
    <dataValidation type="list" allowBlank="1" showInputMessage="1" showErrorMessage="1" sqref="J24" xr:uid="{F989FCF8-5BC7-4279-9564-5946C98A1AA3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AO1000"/>
  <sheetViews>
    <sheetView zoomScale="70" zoomScaleNormal="70" workbookViewId="0">
      <selection activeCell="I7" sqref="I7:J16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4.42578125" customWidth="1"/>
    <col min="7" max="7" width="8.85546875" customWidth="1"/>
    <col min="8" max="8" width="19.42578125" customWidth="1"/>
    <col min="9" max="9" width="50.5703125" bestFit="1" customWidth="1"/>
    <col min="10" max="10" width="17.42578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570312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5703125" customWidth="1"/>
    <col min="31" max="31" width="20.140625" customWidth="1"/>
    <col min="32" max="32" width="19.42578125" customWidth="1"/>
    <col min="33" max="33" width="11.425781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52361.506176876348</v>
      </c>
      <c r="C2" s="1" t="s">
        <v>3</v>
      </c>
      <c r="D2" s="3"/>
      <c r="E2" s="3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6">
        <f>B2/F41</f>
        <v>0.14960430336250385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108</v>
      </c>
      <c r="R7" s="13" t="s">
        <v>109</v>
      </c>
      <c r="S7" s="13"/>
      <c r="T7" s="13" t="s">
        <v>142</v>
      </c>
      <c r="U7" s="14" t="s">
        <v>21</v>
      </c>
      <c r="V7" s="1"/>
      <c r="W7" s="3"/>
      <c r="X7" s="3"/>
      <c r="Y7" s="3"/>
      <c r="Z7" s="3" t="s">
        <v>22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12967.741935483873</v>
      </c>
      <c r="K8" s="3" t="s">
        <v>26</v>
      </c>
      <c r="L8" s="17"/>
      <c r="M8" s="3"/>
      <c r="N8" s="13">
        <v>0</v>
      </c>
      <c r="O8" s="19">
        <f>F31</f>
        <v>4123.0883485796821</v>
      </c>
      <c r="P8" s="13"/>
      <c r="Q8" s="13"/>
      <c r="R8" s="13"/>
      <c r="S8" s="13"/>
      <c r="T8" s="13"/>
      <c r="U8" s="20">
        <f t="shared" ref="U8:U48" si="0">SUM(O8:T8)</f>
        <v>4123.0883485796821</v>
      </c>
      <c r="V8" s="4"/>
      <c r="W8" s="8"/>
      <c r="X8" s="3"/>
      <c r="Y8" s="3"/>
      <c r="Z8" s="3" t="s">
        <v>154</v>
      </c>
      <c r="AA8" s="21">
        <f>F36</f>
        <v>0.23134328358208953</v>
      </c>
      <c r="AB8" s="3" t="s">
        <v>111</v>
      </c>
      <c r="AC8" s="3"/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7"/>
      <c r="G9" s="3"/>
      <c r="H9" s="17"/>
      <c r="I9" s="3"/>
      <c r="J9" s="3"/>
      <c r="K9" s="3"/>
      <c r="L9" s="17"/>
      <c r="M9" s="3"/>
      <c r="N9" s="13">
        <v>1</v>
      </c>
      <c r="O9" s="13"/>
      <c r="P9" s="22">
        <f t="shared" ref="P9:P48" si="1">IF(N9&gt;0,IF(N9&lt;=$J$15,(($F$32+$F$33)/$J$15)/((1+($F$11/100))^N9),0),0)</f>
        <v>2325.3436657866455</v>
      </c>
      <c r="Q9" s="23">
        <f t="shared" ref="Q9:Q48" si="2">IF(N9&gt;0,($F$38*((1+($F$14/100))^(N9-1)))/((1+($F$11/100))^N9),0)</f>
        <v>1227.9833062177265</v>
      </c>
      <c r="R9" s="23">
        <f t="shared" ref="R9:R48" si="3">IF(N9&gt;0,$J$31/((1+($F$11/100))^N9),0)</f>
        <v>3876.3528329914407</v>
      </c>
      <c r="S9" s="23"/>
      <c r="T9" s="22">
        <f t="shared" ref="T9:T48" si="4">IF(N9=$B$5,((((1-$J$12/100)^N9)*$B$44)/((1+($F$11/100))^N9))*-1,0)</f>
        <v>0</v>
      </c>
      <c r="U9" s="20">
        <f t="shared" si="0"/>
        <v>7429.6798049958124</v>
      </c>
      <c r="V9" s="4"/>
      <c r="W9" s="8"/>
      <c r="X9" s="3"/>
      <c r="Y9" s="3"/>
      <c r="Z9" s="3" t="s">
        <v>146</v>
      </c>
      <c r="AA9" s="25">
        <f>B47</f>
        <v>13743.627828598941</v>
      </c>
      <c r="AB9" s="3" t="s">
        <v>3</v>
      </c>
      <c r="AC9" s="3"/>
      <c r="AD9" s="8"/>
      <c r="AE9" s="3"/>
      <c r="AF9" s="3"/>
      <c r="AG9" s="3"/>
      <c r="AH9" s="3"/>
    </row>
    <row r="10" spans="1:34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112</v>
      </c>
      <c r="J10" s="16">
        <v>0.16</v>
      </c>
      <c r="K10" s="3" t="s">
        <v>113</v>
      </c>
      <c r="L10" s="17"/>
      <c r="M10" s="3"/>
      <c r="N10" s="13">
        <f t="shared" ref="N10:N48" si="5">IF((N9+1)&gt;$B$5,,IF(N9=0,,N9+1))</f>
        <v>2</v>
      </c>
      <c r="O10" s="13"/>
      <c r="P10" s="22">
        <f t="shared" si="1"/>
        <v>2204.1172187551142</v>
      </c>
      <c r="Q10" s="23">
        <f t="shared" si="2"/>
        <v>1175.6048713553591</v>
      </c>
      <c r="R10" s="23">
        <f t="shared" si="3"/>
        <v>3674.2680881435458</v>
      </c>
      <c r="S10" s="23"/>
      <c r="T10" s="22">
        <f t="shared" si="4"/>
        <v>0</v>
      </c>
      <c r="U10" s="20">
        <f t="shared" si="0"/>
        <v>7053.9901782540192</v>
      </c>
      <c r="V10" s="4"/>
      <c r="W10" s="8"/>
      <c r="X10" s="3"/>
      <c r="Y10" s="3"/>
      <c r="Z10" s="3" t="s">
        <v>39</v>
      </c>
      <c r="AA10" s="8">
        <f>F12</f>
        <v>35000</v>
      </c>
      <c r="AB10" s="3" t="s">
        <v>40</v>
      </c>
      <c r="AC10" s="3"/>
      <c r="AD10" s="8"/>
      <c r="AE10" s="3"/>
      <c r="AF10" s="3"/>
      <c r="AG10" s="3"/>
      <c r="AH10" s="3"/>
    </row>
    <row r="11" spans="1:34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5.5</v>
      </c>
      <c r="G11" s="3" t="s">
        <v>35</v>
      </c>
      <c r="H11" s="17"/>
      <c r="I11" s="18" t="s">
        <v>49</v>
      </c>
      <c r="J11" s="3">
        <v>30</v>
      </c>
      <c r="K11" s="3" t="s">
        <v>50</v>
      </c>
      <c r="L11" s="17"/>
      <c r="M11" s="3"/>
      <c r="N11" s="13">
        <f t="shared" si="5"/>
        <v>3</v>
      </c>
      <c r="O11" s="13"/>
      <c r="P11" s="22">
        <f t="shared" si="1"/>
        <v>2089.2106338911035</v>
      </c>
      <c r="Q11" s="23">
        <f t="shared" si="2"/>
        <v>1125.4605877430452</v>
      </c>
      <c r="R11" s="23">
        <f t="shared" si="3"/>
        <v>3482.7185669607074</v>
      </c>
      <c r="S11" s="23"/>
      <c r="T11" s="22">
        <f t="shared" si="4"/>
        <v>0</v>
      </c>
      <c r="U11" s="20">
        <f t="shared" si="0"/>
        <v>6697.3897885948554</v>
      </c>
      <c r="V11" s="4"/>
      <c r="W11" s="8"/>
      <c r="X11" s="3"/>
      <c r="Y11" s="3"/>
      <c r="Z11" s="18" t="s">
        <v>45</v>
      </c>
      <c r="AA11" s="8">
        <f>J36</f>
        <v>3500</v>
      </c>
      <c r="AB11" s="3" t="s">
        <v>46</v>
      </c>
      <c r="AC11" s="3"/>
      <c r="AD11" s="8"/>
      <c r="AE11" s="3"/>
      <c r="AF11" s="3"/>
      <c r="AG11" s="3"/>
      <c r="AH11" s="3"/>
    </row>
    <row r="12" spans="1:34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35000</v>
      </c>
      <c r="G12" s="3" t="s">
        <v>40</v>
      </c>
      <c r="H12" s="17"/>
      <c r="I12" s="18" t="s">
        <v>56</v>
      </c>
      <c r="J12" s="3">
        <v>7.08</v>
      </c>
      <c r="K12" s="3" t="s">
        <v>57</v>
      </c>
      <c r="L12" s="17"/>
      <c r="M12" s="3"/>
      <c r="N12" s="13">
        <f t="shared" si="5"/>
        <v>4</v>
      </c>
      <c r="O12" s="13"/>
      <c r="P12" s="22">
        <f t="shared" si="1"/>
        <v>1980.2944397072074</v>
      </c>
      <c r="Q12" s="23">
        <f t="shared" si="2"/>
        <v>1077.4551598298347</v>
      </c>
      <c r="R12" s="23">
        <f t="shared" si="3"/>
        <v>3301.1550397731821</v>
      </c>
      <c r="S12" s="23"/>
      <c r="T12" s="22">
        <f t="shared" si="4"/>
        <v>0</v>
      </c>
      <c r="U12" s="20">
        <f t="shared" si="0"/>
        <v>6358.9046393102235</v>
      </c>
      <c r="V12" s="4"/>
      <c r="W12" s="8"/>
      <c r="X12" s="3"/>
      <c r="Y12" s="3"/>
      <c r="Z12" s="87" t="s">
        <v>172</v>
      </c>
      <c r="AA12" s="88">
        <f>J10</f>
        <v>0.16</v>
      </c>
      <c r="AB12" s="87" t="s">
        <v>113</v>
      </c>
      <c r="AC12" s="3"/>
      <c r="AD12" s="8"/>
      <c r="AE12" s="3"/>
      <c r="AF12" s="3"/>
      <c r="AG12" s="3"/>
      <c r="AH12" s="3"/>
    </row>
    <row r="13" spans="1:34" x14ac:dyDescent="0.25">
      <c r="A13" s="26" t="s">
        <v>47</v>
      </c>
      <c r="B13" s="3">
        <v>0</v>
      </c>
      <c r="C13" s="3" t="s">
        <v>35</v>
      </c>
      <c r="D13" s="3"/>
      <c r="E13" s="18" t="s">
        <v>110</v>
      </c>
      <c r="F13" s="16">
        <v>0.31</v>
      </c>
      <c r="G13" s="3" t="s">
        <v>114</v>
      </c>
      <c r="H13" s="17"/>
      <c r="I13" s="18"/>
      <c r="J13" s="8"/>
      <c r="K13" s="3"/>
      <c r="L13" s="17"/>
      <c r="M13" s="3"/>
      <c r="N13" s="13">
        <f t="shared" si="5"/>
        <v>5</v>
      </c>
      <c r="O13" s="13"/>
      <c r="P13" s="22">
        <f t="shared" si="1"/>
        <v>1877.056340954699</v>
      </c>
      <c r="Q13" s="23">
        <f t="shared" si="2"/>
        <v>1031.4973568039177</v>
      </c>
      <c r="R13" s="23">
        <f t="shared" si="3"/>
        <v>3129.0569097376138</v>
      </c>
      <c r="S13" s="23"/>
      <c r="T13" s="22">
        <f t="shared" si="4"/>
        <v>0</v>
      </c>
      <c r="U13" s="20">
        <f t="shared" si="0"/>
        <v>6037.6106074962299</v>
      </c>
      <c r="V13" s="4"/>
      <c r="W13" s="8"/>
      <c r="X13" s="3"/>
      <c r="Y13" s="3"/>
      <c r="Z13" s="3"/>
      <c r="AA13" s="3"/>
      <c r="AB13" s="3"/>
      <c r="AC13" s="3"/>
      <c r="AD13" s="8"/>
      <c r="AE13" s="3"/>
      <c r="AF13" s="3"/>
      <c r="AG13" s="3"/>
      <c r="AH13" s="3"/>
    </row>
    <row r="14" spans="1:34" x14ac:dyDescent="0.25">
      <c r="A14" s="26"/>
      <c r="B14" s="3"/>
      <c r="C14" s="3"/>
      <c r="D14" s="3"/>
      <c r="E14" s="18" t="s">
        <v>115</v>
      </c>
      <c r="F14" s="3">
        <v>1</v>
      </c>
      <c r="G14" s="3" t="s">
        <v>52</v>
      </c>
      <c r="H14" s="17"/>
      <c r="I14" s="1" t="s">
        <v>67</v>
      </c>
      <c r="J14" s="3"/>
      <c r="K14" s="3"/>
      <c r="L14" s="17"/>
      <c r="M14" s="3"/>
      <c r="N14" s="13">
        <f t="shared" si="5"/>
        <v>6</v>
      </c>
      <c r="O14" s="13"/>
      <c r="P14" s="22">
        <f t="shared" si="1"/>
        <v>0</v>
      </c>
      <c r="Q14" s="23">
        <f t="shared" si="2"/>
        <v>987.49983921512501</v>
      </c>
      <c r="R14" s="23">
        <f t="shared" si="3"/>
        <v>2965.9307201304396</v>
      </c>
      <c r="S14" s="23"/>
      <c r="T14" s="22">
        <f t="shared" si="4"/>
        <v>0</v>
      </c>
      <c r="U14" s="20">
        <f t="shared" si="0"/>
        <v>3953.4305593455647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18" t="s">
        <v>54</v>
      </c>
      <c r="B15" s="3">
        <v>18.5</v>
      </c>
      <c r="C15" s="3" t="s">
        <v>35</v>
      </c>
      <c r="D15" s="3"/>
      <c r="E15" s="18" t="s">
        <v>140</v>
      </c>
      <c r="F15" s="3">
        <v>10</v>
      </c>
      <c r="G15" s="3" t="s">
        <v>59</v>
      </c>
      <c r="H15" s="17"/>
      <c r="I15" s="18" t="s">
        <v>73</v>
      </c>
      <c r="J15" s="3">
        <v>5</v>
      </c>
      <c r="K15" s="3" t="s">
        <v>50</v>
      </c>
      <c r="L15" s="17"/>
      <c r="M15" s="3"/>
      <c r="N15" s="13">
        <f t="shared" si="5"/>
        <v>7</v>
      </c>
      <c r="O15" s="13"/>
      <c r="P15" s="22">
        <f t="shared" si="1"/>
        <v>0</v>
      </c>
      <c r="Q15" s="23">
        <f t="shared" si="2"/>
        <v>945.37899299267906</v>
      </c>
      <c r="R15" s="23">
        <f t="shared" si="3"/>
        <v>2811.3087394601325</v>
      </c>
      <c r="S15" s="23"/>
      <c r="T15" s="22">
        <f t="shared" si="4"/>
        <v>0</v>
      </c>
      <c r="U15" s="20">
        <f t="shared" si="0"/>
        <v>3756.6877324528114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26" t="s">
        <v>58</v>
      </c>
      <c r="B16" s="3">
        <v>15</v>
      </c>
      <c r="C16" s="3" t="s">
        <v>35</v>
      </c>
      <c r="D16" s="3"/>
      <c r="E16" s="18" t="s">
        <v>138</v>
      </c>
      <c r="F16" s="8">
        <f>39*10*2</f>
        <v>780</v>
      </c>
      <c r="G16" s="3" t="s">
        <v>59</v>
      </c>
      <c r="H16" s="17"/>
      <c r="I16" s="18" t="s">
        <v>76</v>
      </c>
      <c r="J16" s="3">
        <v>30</v>
      </c>
      <c r="K16" s="3" t="s">
        <v>77</v>
      </c>
      <c r="L16" s="17"/>
      <c r="M16" s="3"/>
      <c r="N16" s="13">
        <f t="shared" si="5"/>
        <v>8</v>
      </c>
      <c r="O16" s="13"/>
      <c r="P16" s="22">
        <f t="shared" si="1"/>
        <v>0</v>
      </c>
      <c r="Q16" s="23">
        <f t="shared" si="2"/>
        <v>905.05477054275411</v>
      </c>
      <c r="R16" s="23">
        <f t="shared" si="3"/>
        <v>2664.747620341358</v>
      </c>
      <c r="S16" s="23"/>
      <c r="T16" s="22">
        <f t="shared" si="4"/>
        <v>0</v>
      </c>
      <c r="U16" s="20">
        <f t="shared" si="0"/>
        <v>3569.8023908841124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26" t="s">
        <v>156</v>
      </c>
      <c r="B17" s="3">
        <v>100</v>
      </c>
      <c r="C17" s="3" t="s">
        <v>26</v>
      </c>
      <c r="D17" s="3"/>
      <c r="E17" s="18"/>
      <c r="F17" s="3"/>
      <c r="G17" s="3"/>
      <c r="H17" s="17"/>
      <c r="I17" s="3"/>
      <c r="J17" s="3"/>
      <c r="K17" s="3"/>
      <c r="L17" s="17"/>
      <c r="M17" s="3"/>
      <c r="N17" s="13">
        <f t="shared" si="5"/>
        <v>9</v>
      </c>
      <c r="O17" s="13"/>
      <c r="P17" s="22">
        <f t="shared" si="1"/>
        <v>0</v>
      </c>
      <c r="Q17" s="23">
        <f t="shared" si="2"/>
        <v>866.45053862386908</v>
      </c>
      <c r="R17" s="23">
        <f t="shared" si="3"/>
        <v>2525.8271282856472</v>
      </c>
      <c r="S17" s="23"/>
      <c r="T17" s="22">
        <f t="shared" si="4"/>
        <v>0</v>
      </c>
      <c r="U17" s="20">
        <f t="shared" si="0"/>
        <v>3392.2776669095165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18"/>
      <c r="J18" s="3"/>
      <c r="K18" s="3"/>
      <c r="L18" s="17"/>
      <c r="M18" s="3"/>
      <c r="N18" s="13">
        <f t="shared" si="5"/>
        <v>10</v>
      </c>
      <c r="O18" s="13"/>
      <c r="P18" s="22">
        <f t="shared" si="1"/>
        <v>0</v>
      </c>
      <c r="Q18" s="23">
        <f t="shared" si="2"/>
        <v>829.49293271100282</v>
      </c>
      <c r="R18" s="23">
        <f t="shared" si="3"/>
        <v>2394.1489367636468</v>
      </c>
      <c r="S18" s="23"/>
      <c r="T18" s="22">
        <f t="shared" si="4"/>
        <v>-3234.9974094211302</v>
      </c>
      <c r="U18" s="20">
        <f t="shared" si="0"/>
        <v>-11.355539946480349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26" t="s">
        <v>64</v>
      </c>
      <c r="B19" s="27">
        <f>4%*J8</f>
        <v>518.70967741935488</v>
      </c>
      <c r="C19" s="3" t="s">
        <v>26</v>
      </c>
      <c r="D19" s="3"/>
      <c r="E19" s="18"/>
      <c r="F19" s="8"/>
      <c r="G19" s="3"/>
      <c r="H19" s="17"/>
      <c r="I19" s="3"/>
      <c r="J19" s="3"/>
      <c r="K19" s="3"/>
      <c r="L19" s="17"/>
      <c r="M19" s="3"/>
      <c r="N19" s="13">
        <f t="shared" si="5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/>
      <c r="T19" s="22">
        <f t="shared" si="4"/>
        <v>0</v>
      </c>
      <c r="U19" s="20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3" t="s">
        <v>65</v>
      </c>
      <c r="B20" s="3">
        <v>5</v>
      </c>
      <c r="C20" s="3" t="s">
        <v>26</v>
      </c>
      <c r="D20" s="3"/>
      <c r="E20" s="18" t="s">
        <v>45</v>
      </c>
      <c r="F20" s="27">
        <v>0.13400000000000001</v>
      </c>
      <c r="G20" s="3" t="s">
        <v>121</v>
      </c>
      <c r="H20" s="17"/>
      <c r="I20" s="3"/>
      <c r="J20" s="3"/>
      <c r="K20" s="3"/>
      <c r="L20" s="17"/>
      <c r="M20" s="3"/>
      <c r="N20" s="13">
        <f t="shared" si="5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/>
      <c r="T20" s="22">
        <f t="shared" si="4"/>
        <v>0</v>
      </c>
      <c r="U20" s="20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26"/>
      <c r="B21" s="3"/>
      <c r="C21" s="3"/>
      <c r="D21" s="3"/>
      <c r="E21" s="18" t="s">
        <v>72</v>
      </c>
      <c r="F21" s="3">
        <v>5.5</v>
      </c>
      <c r="G21" s="3" t="s">
        <v>57</v>
      </c>
      <c r="H21" s="17"/>
      <c r="I21" s="3"/>
      <c r="J21" s="3"/>
      <c r="K21" s="3"/>
      <c r="L21" s="17"/>
      <c r="M21" s="3"/>
      <c r="N21" s="13">
        <f t="shared" si="5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/>
      <c r="T21" s="22">
        <f t="shared" si="4"/>
        <v>0</v>
      </c>
      <c r="U21" s="20">
        <f t="shared" si="0"/>
        <v>0</v>
      </c>
      <c r="V21" s="4"/>
      <c r="W21" s="8"/>
      <c r="X21" s="3"/>
      <c r="Y21" s="3"/>
      <c r="Z21" s="28" t="s">
        <v>110</v>
      </c>
      <c r="AA21" s="29"/>
      <c r="AB21" s="29"/>
      <c r="AC21" s="29"/>
      <c r="AD21" s="3"/>
      <c r="AE21" s="28" t="s">
        <v>25</v>
      </c>
      <c r="AF21" s="29"/>
      <c r="AG21" s="29"/>
      <c r="AH21" s="29"/>
      <c r="AJ21" s="81" t="s">
        <v>160</v>
      </c>
      <c r="AK21" s="81" t="s">
        <v>162</v>
      </c>
      <c r="AL21" s="81" t="s">
        <v>170</v>
      </c>
      <c r="AM21" s="81" t="s">
        <v>165</v>
      </c>
      <c r="AN21" s="81" t="s">
        <v>164</v>
      </c>
      <c r="AO21" s="86" t="str">
        <f>Z51</f>
        <v>Energy Efficiency</v>
      </c>
    </row>
    <row r="22" spans="1:41" ht="15.75" customHeight="1" x14ac:dyDescent="0.25">
      <c r="A22" s="26"/>
      <c r="B22" s="3"/>
      <c r="C22" s="3"/>
      <c r="D22" s="3"/>
      <c r="E22" s="3"/>
      <c r="F22" s="5"/>
      <c r="G22" s="3"/>
      <c r="H22" s="17"/>
      <c r="I22" s="3"/>
      <c r="J22" s="3"/>
      <c r="K22" s="3"/>
      <c r="L22" s="17"/>
      <c r="M22" s="3"/>
      <c r="N22" s="13">
        <f t="shared" si="5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/>
      <c r="T22" s="22">
        <f t="shared" si="4"/>
        <v>0</v>
      </c>
      <c r="U22" s="20">
        <f t="shared" si="0"/>
        <v>0</v>
      </c>
      <c r="V22" s="4"/>
      <c r="W22" s="8"/>
      <c r="X22" s="3"/>
      <c r="Y22" s="3"/>
      <c r="Z22" s="29" t="s">
        <v>68</v>
      </c>
      <c r="AA22" s="29" t="s">
        <v>116</v>
      </c>
      <c r="AB22" s="29" t="s">
        <v>21</v>
      </c>
      <c r="AC22" s="29" t="s">
        <v>70</v>
      </c>
      <c r="AD22" s="3"/>
      <c r="AE22" s="29" t="s">
        <v>68</v>
      </c>
      <c r="AF22" s="29" t="s">
        <v>71</v>
      </c>
      <c r="AG22" s="29" t="s">
        <v>21</v>
      </c>
      <c r="AH22" s="29" t="s">
        <v>70</v>
      </c>
      <c r="AJ22" s="82">
        <v>-50</v>
      </c>
      <c r="AK22" s="83">
        <f>AH24</f>
        <v>-13.940690130607472</v>
      </c>
      <c r="AL22" s="83">
        <f>AC24</f>
        <v>-9.7131262054178436</v>
      </c>
      <c r="AM22" s="84">
        <f t="shared" ref="AM22:AM32" si="6">AC39</f>
        <v>-25.191875030241128</v>
      </c>
      <c r="AN22" s="84">
        <f t="shared" ref="AN22:AN32" si="7">AH39</f>
        <v>-34.905001235658986</v>
      </c>
      <c r="AO22" s="34">
        <f>AC54</f>
        <v>9.7131262054178293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5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/>
      <c r="T23" s="22">
        <f t="shared" si="4"/>
        <v>0</v>
      </c>
      <c r="U23" s="20">
        <f t="shared" si="0"/>
        <v>0</v>
      </c>
      <c r="V23" s="4"/>
      <c r="W23" s="8"/>
      <c r="X23" s="3"/>
      <c r="Y23" s="3"/>
      <c r="Z23" s="29" t="s">
        <v>75</v>
      </c>
      <c r="AA23" s="30">
        <v>0.23134328358208953</v>
      </c>
      <c r="AB23" s="31">
        <f>U49</f>
        <v>52361.506176876348</v>
      </c>
      <c r="AC23" s="29"/>
      <c r="AD23" s="3"/>
      <c r="AE23" s="29" t="s">
        <v>75</v>
      </c>
      <c r="AF23" s="32">
        <v>13743.627828598941</v>
      </c>
      <c r="AG23" s="31">
        <f>U49</f>
        <v>52361.506176876348</v>
      </c>
      <c r="AH23" s="29"/>
      <c r="AJ23" s="82">
        <v>-40</v>
      </c>
      <c r="AK23" s="83">
        <f>AH25</f>
        <v>-11.152552104485975</v>
      </c>
      <c r="AL23" s="83">
        <f t="shared" ref="AL23:AL32" si="8">AC25</f>
        <v>-7.7705009643342775</v>
      </c>
      <c r="AM23" s="84">
        <f t="shared" si="6"/>
        <v>-20.153500024192933</v>
      </c>
      <c r="AN23" s="84">
        <f t="shared" si="7"/>
        <v>-27.924000988527197</v>
      </c>
      <c r="AO23" s="34">
        <f t="shared" ref="AO23:AO32" si="9">AC55</f>
        <v>7.7705009643342633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5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/>
      <c r="T24" s="22">
        <f t="shared" si="4"/>
        <v>0</v>
      </c>
      <c r="U24" s="20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0.11567164179104476</v>
      </c>
      <c r="AB24" s="31">
        <f t="dataTable" ref="AB24:AB34" dt2D="0" dtr="0" r1="F36"/>
        <v>47275.566998858689</v>
      </c>
      <c r="AC24" s="33">
        <f t="shared" ref="AC24:AC34" si="12">100*((AB24-$AB$29)/$AB$29)</f>
        <v>-9.7131262054178436</v>
      </c>
      <c r="AD24" s="3"/>
      <c r="AE24" s="29">
        <f t="shared" ref="AE24:AE28" si="13">AE25-10</f>
        <v>-50</v>
      </c>
      <c r="AF24" s="32">
        <f t="shared" ref="AF24:AF34" si="14">$AF$23*(1+(AE24/100))</f>
        <v>6871.8139142994705</v>
      </c>
      <c r="AG24" s="31">
        <f t="dataTable" ref="AG24:AG34" dt2D="0" dtr="0" r1="B47" ca="1"/>
        <v>45061.950853039125</v>
      </c>
      <c r="AH24" s="33">
        <f t="shared" ref="AH24:AH34" si="15">100*((AG24-$AG$29)/$AG$29)</f>
        <v>-13.940690130607472</v>
      </c>
      <c r="AJ24" s="82">
        <v>-30</v>
      </c>
      <c r="AK24" s="83">
        <f t="shared" ref="AK24:AK32" si="16">AH26</f>
        <v>-8.3644140783644776</v>
      </c>
      <c r="AL24" s="83">
        <f t="shared" si="8"/>
        <v>-5.8278757232506981</v>
      </c>
      <c r="AM24" s="84">
        <f t="shared" si="6"/>
        <v>-15.115125018144681</v>
      </c>
      <c r="AN24" s="84">
        <f t="shared" si="7"/>
        <v>-20.943000741395394</v>
      </c>
      <c r="AO24" s="34">
        <f t="shared" si="9"/>
        <v>5.8278757232506839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5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/>
      <c r="T25" s="22">
        <f t="shared" si="4"/>
        <v>0</v>
      </c>
      <c r="U25" s="20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0.13880597014925372</v>
      </c>
      <c r="AB25" s="31">
        <v>48292.754834462219</v>
      </c>
      <c r="AC25" s="33">
        <f t="shared" si="12"/>
        <v>-7.7705009643342775</v>
      </c>
      <c r="AD25" s="3"/>
      <c r="AE25" s="29">
        <f t="shared" si="13"/>
        <v>-40</v>
      </c>
      <c r="AF25" s="32">
        <f t="shared" si="14"/>
        <v>8246.1766971593643</v>
      </c>
      <c r="AG25" s="31">
        <v>46521.861917806571</v>
      </c>
      <c r="AH25" s="33">
        <f t="shared" si="15"/>
        <v>-11.152552104485975</v>
      </c>
      <c r="AJ25" s="82">
        <v>-20</v>
      </c>
      <c r="AK25" s="83">
        <f t="shared" si="16"/>
        <v>-5.5762760522429948</v>
      </c>
      <c r="AL25" s="83">
        <f t="shared" si="8"/>
        <v>-3.8852504821671316</v>
      </c>
      <c r="AM25" s="84">
        <f t="shared" si="6"/>
        <v>-10.076750012096474</v>
      </c>
      <c r="AN25" s="84">
        <f t="shared" si="7"/>
        <v>-13.962000494263604</v>
      </c>
      <c r="AO25" s="34">
        <f t="shared" si="9"/>
        <v>3.8852504821671316</v>
      </c>
    </row>
    <row r="26" spans="1:4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/>
      <c r="J26" s="36"/>
      <c r="K26" s="36"/>
      <c r="L26" s="37"/>
      <c r="M26" s="3"/>
      <c r="N26" s="13">
        <f t="shared" si="5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/>
      <c r="T26" s="22">
        <f t="shared" si="4"/>
        <v>0</v>
      </c>
      <c r="U26" s="20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0.16194029850746267</v>
      </c>
      <c r="AB26" s="31">
        <v>49309.942670065757</v>
      </c>
      <c r="AC26" s="33">
        <f t="shared" si="12"/>
        <v>-5.8278757232506981</v>
      </c>
      <c r="AD26" s="3"/>
      <c r="AE26" s="29">
        <f t="shared" si="13"/>
        <v>-30</v>
      </c>
      <c r="AF26" s="32">
        <f t="shared" si="14"/>
        <v>9620.5394800192589</v>
      </c>
      <c r="AG26" s="31">
        <v>47981.772982574017</v>
      </c>
      <c r="AH26" s="33">
        <f t="shared" si="15"/>
        <v>-8.3644140783644776</v>
      </c>
      <c r="AJ26" s="82">
        <v>-10</v>
      </c>
      <c r="AK26" s="83">
        <f t="shared" si="16"/>
        <v>-2.7881380261214836</v>
      </c>
      <c r="AL26" s="83">
        <f t="shared" si="8"/>
        <v>-1.9426252410835798</v>
      </c>
      <c r="AM26" s="84">
        <f t="shared" si="6"/>
        <v>-5.0383750060482226</v>
      </c>
      <c r="AN26" s="84">
        <f t="shared" si="7"/>
        <v>-6.981000247131802</v>
      </c>
      <c r="AO26" s="34">
        <f t="shared" si="9"/>
        <v>1.9426252410835936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/>
      <c r="T27" s="22">
        <f t="shared" si="4"/>
        <v>0</v>
      </c>
      <c r="U27" s="20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0.18507462686567164</v>
      </c>
      <c r="AB27" s="31">
        <v>50327.130505669287</v>
      </c>
      <c r="AC27" s="33">
        <f t="shared" si="12"/>
        <v>-3.8852504821671316</v>
      </c>
      <c r="AD27" s="3"/>
      <c r="AE27" s="29">
        <f t="shared" si="13"/>
        <v>-20</v>
      </c>
      <c r="AF27" s="32">
        <f t="shared" si="14"/>
        <v>10994.902262879154</v>
      </c>
      <c r="AG27" s="31">
        <v>49441.684047341456</v>
      </c>
      <c r="AH27" s="33">
        <f t="shared" si="15"/>
        <v>-5.5762760522429948</v>
      </c>
      <c r="AJ27" s="82">
        <v>0</v>
      </c>
      <c r="AK27" s="83">
        <f t="shared" si="16"/>
        <v>0</v>
      </c>
      <c r="AL27" s="83">
        <f t="shared" si="8"/>
        <v>0</v>
      </c>
      <c r="AM27" s="84">
        <f t="shared" si="6"/>
        <v>0</v>
      </c>
      <c r="AN27" s="84">
        <f t="shared" si="7"/>
        <v>0</v>
      </c>
      <c r="AO27" s="34">
        <f t="shared" si="9"/>
        <v>0</v>
      </c>
    </row>
    <row r="28" spans="1:4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/>
      <c r="T28" s="22">
        <f t="shared" si="4"/>
        <v>0</v>
      </c>
      <c r="U28" s="20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0.20820895522388058</v>
      </c>
      <c r="AB28" s="31">
        <v>51344.31834127281</v>
      </c>
      <c r="AC28" s="33">
        <f t="shared" si="12"/>
        <v>-1.9426252410835798</v>
      </c>
      <c r="AD28" s="3"/>
      <c r="AE28" s="29">
        <f t="shared" si="13"/>
        <v>-10</v>
      </c>
      <c r="AF28" s="32">
        <f t="shared" si="14"/>
        <v>12369.265045739046</v>
      </c>
      <c r="AG28" s="31">
        <v>50901.595112108909</v>
      </c>
      <c r="AH28" s="33">
        <f t="shared" si="15"/>
        <v>-2.7881380261214836</v>
      </c>
      <c r="AJ28" s="82">
        <v>10</v>
      </c>
      <c r="AK28" s="83">
        <f t="shared" si="16"/>
        <v>2.7881380261215112</v>
      </c>
      <c r="AL28" s="83">
        <f t="shared" si="8"/>
        <v>1.9426252410835936</v>
      </c>
      <c r="AM28" s="84">
        <f t="shared" si="6"/>
        <v>5.0383750060482502</v>
      </c>
      <c r="AN28" s="84">
        <f t="shared" si="7"/>
        <v>6.9810002471318162</v>
      </c>
      <c r="AO28" s="34">
        <f t="shared" si="9"/>
        <v>-1.9426252410835798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/>
      <c r="T29" s="22">
        <f t="shared" si="4"/>
        <v>0</v>
      </c>
      <c r="U29" s="20">
        <f t="shared" si="0"/>
        <v>0</v>
      </c>
      <c r="V29" s="4"/>
      <c r="W29" s="8"/>
      <c r="X29" s="3"/>
      <c r="Y29" s="3"/>
      <c r="Z29" s="38">
        <v>0</v>
      </c>
      <c r="AA29" s="50">
        <f t="shared" si="11"/>
        <v>0.23134328358208953</v>
      </c>
      <c r="AB29" s="39">
        <v>52361.506176876348</v>
      </c>
      <c r="AC29" s="51">
        <f t="shared" si="12"/>
        <v>0</v>
      </c>
      <c r="AD29" s="3"/>
      <c r="AE29" s="38">
        <v>0</v>
      </c>
      <c r="AF29" s="44">
        <f t="shared" si="14"/>
        <v>13743.627828598941</v>
      </c>
      <c r="AG29" s="39">
        <v>52361.506176876348</v>
      </c>
      <c r="AH29" s="51">
        <f t="shared" si="15"/>
        <v>0</v>
      </c>
      <c r="AJ29" s="82">
        <v>20</v>
      </c>
      <c r="AK29" s="83">
        <f t="shared" si="16"/>
        <v>5.5762760522429948</v>
      </c>
      <c r="AL29" s="83">
        <f t="shared" si="8"/>
        <v>3.8852504821671316</v>
      </c>
      <c r="AM29" s="84">
        <f t="shared" si="6"/>
        <v>10.076750012096431</v>
      </c>
      <c r="AN29" s="84">
        <f t="shared" si="7"/>
        <v>13.962000494263618</v>
      </c>
      <c r="AO29" s="34">
        <f t="shared" si="9"/>
        <v>-3.8852504821671316</v>
      </c>
    </row>
    <row r="30" spans="1:4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/>
      <c r="J30" s="40"/>
      <c r="K30" s="10"/>
      <c r="L30" s="11"/>
      <c r="M30" s="3"/>
      <c r="N30" s="13">
        <f t="shared" si="5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/>
      <c r="T30" s="22">
        <f t="shared" si="4"/>
        <v>0</v>
      </c>
      <c r="U30" s="20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0.2544776119402985</v>
      </c>
      <c r="AB30" s="31">
        <v>53378.694012479893</v>
      </c>
      <c r="AC30" s="33">
        <f t="shared" si="12"/>
        <v>1.9426252410835936</v>
      </c>
      <c r="AD30" s="3"/>
      <c r="AE30" s="29">
        <f t="shared" ref="AE30:AE34" si="18">AE29+10</f>
        <v>10</v>
      </c>
      <c r="AF30" s="32">
        <f t="shared" si="14"/>
        <v>15117.990611458836</v>
      </c>
      <c r="AG30" s="31">
        <v>53821.417241643801</v>
      </c>
      <c r="AH30" s="33">
        <f t="shared" si="15"/>
        <v>2.7881380261215112</v>
      </c>
      <c r="AJ30" s="82">
        <v>30</v>
      </c>
      <c r="AK30" s="83">
        <f t="shared" si="16"/>
        <v>8.3644140783644918</v>
      </c>
      <c r="AL30" s="83">
        <f t="shared" si="8"/>
        <v>5.8278757232506839</v>
      </c>
      <c r="AM30" s="84">
        <f t="shared" si="6"/>
        <v>15.115125018144695</v>
      </c>
      <c r="AN30" s="84">
        <f t="shared" si="7"/>
        <v>20.943000741395394</v>
      </c>
      <c r="AO30" s="34">
        <f t="shared" si="9"/>
        <v>-5.8278757232507115</v>
      </c>
    </row>
    <row r="31" spans="1:41" ht="15.75" customHeight="1" x14ac:dyDescent="0.25">
      <c r="A31" s="26" t="s">
        <v>151</v>
      </c>
      <c r="B31" s="8">
        <f t="shared" ref="B31:B32" si="19">IF(B11=0,0,-(B11/100)*$B$45)</f>
        <v>0</v>
      </c>
      <c r="C31" s="3" t="s">
        <v>3</v>
      </c>
      <c r="D31" s="3"/>
      <c r="E31" s="18" t="s">
        <v>82</v>
      </c>
      <c r="F31" s="25">
        <f>(J16/100)*B47</f>
        <v>4123.0883485796821</v>
      </c>
      <c r="G31" s="3" t="s">
        <v>3</v>
      </c>
      <c r="H31" s="3"/>
      <c r="I31" s="1" t="s">
        <v>153</v>
      </c>
      <c r="J31" s="42">
        <f>SUM(J32:J36)</f>
        <v>4089.5522388059699</v>
      </c>
      <c r="K31" s="1" t="s">
        <v>46</v>
      </c>
      <c r="L31" s="17"/>
      <c r="M31" s="3"/>
      <c r="N31" s="13">
        <f t="shared" si="5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/>
      <c r="T31" s="22">
        <f t="shared" si="4"/>
        <v>0</v>
      </c>
      <c r="U31" s="20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0.27761194029850744</v>
      </c>
      <c r="AB31" s="31">
        <v>54395.881848083409</v>
      </c>
      <c r="AC31" s="33">
        <f t="shared" si="12"/>
        <v>3.8852504821671316</v>
      </c>
      <c r="AD31" s="3"/>
      <c r="AE31" s="29">
        <f t="shared" si="18"/>
        <v>20</v>
      </c>
      <c r="AF31" s="32">
        <f t="shared" si="14"/>
        <v>16492.353394318729</v>
      </c>
      <c r="AG31" s="31">
        <v>55281.32830641124</v>
      </c>
      <c r="AH31" s="33">
        <f t="shared" si="15"/>
        <v>5.5762760522429948</v>
      </c>
      <c r="AJ31" s="82">
        <v>40</v>
      </c>
      <c r="AK31" s="83">
        <f t="shared" si="16"/>
        <v>11.15255210448599</v>
      </c>
      <c r="AL31" s="83">
        <f t="shared" si="8"/>
        <v>7.7705009643342633</v>
      </c>
      <c r="AM31" s="84">
        <f t="shared" si="6"/>
        <v>20.153500024192919</v>
      </c>
      <c r="AN31" s="84">
        <f t="shared" si="7"/>
        <v>27.924000988527197</v>
      </c>
      <c r="AO31" s="34">
        <f t="shared" si="9"/>
        <v>-7.7705009643342775</v>
      </c>
    </row>
    <row r="32" spans="1:41" ht="15.75" customHeight="1" x14ac:dyDescent="0.25">
      <c r="A32" s="26" t="s">
        <v>41</v>
      </c>
      <c r="B32" s="8">
        <f t="shared" si="19"/>
        <v>0</v>
      </c>
      <c r="C32" s="3" t="s">
        <v>3</v>
      </c>
      <c r="D32" s="3"/>
      <c r="E32" s="18" t="s">
        <v>84</v>
      </c>
      <c r="F32" s="8">
        <f>B47-F31</f>
        <v>9620.5394800192589</v>
      </c>
      <c r="G32" s="3" t="s">
        <v>3</v>
      </c>
      <c r="H32" s="3"/>
      <c r="I32" s="18" t="s">
        <v>138</v>
      </c>
      <c r="J32" s="16">
        <f>F16/$B$8</f>
        <v>582.08955223880594</v>
      </c>
      <c r="K32" s="3" t="s">
        <v>46</v>
      </c>
      <c r="L32" s="17"/>
      <c r="M32" s="3"/>
      <c r="N32" s="13">
        <f t="shared" si="5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/>
      <c r="T32" s="22">
        <f t="shared" si="4"/>
        <v>0</v>
      </c>
      <c r="U32" s="20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0.30074626865671639</v>
      </c>
      <c r="AB32" s="31">
        <v>55413.069683686932</v>
      </c>
      <c r="AC32" s="33">
        <f t="shared" si="12"/>
        <v>5.8278757232506839</v>
      </c>
      <c r="AD32" s="3"/>
      <c r="AE32" s="29">
        <f t="shared" si="18"/>
        <v>30</v>
      </c>
      <c r="AF32" s="32">
        <f t="shared" si="14"/>
        <v>17866.716177178623</v>
      </c>
      <c r="AG32" s="31">
        <v>56741.239371178686</v>
      </c>
      <c r="AH32" s="33">
        <f t="shared" si="15"/>
        <v>8.3644140783644918</v>
      </c>
      <c r="AJ32" s="82">
        <v>50</v>
      </c>
      <c r="AK32" s="83">
        <f t="shared" si="16"/>
        <v>13.9406901306075</v>
      </c>
      <c r="AL32" s="83">
        <f t="shared" si="8"/>
        <v>9.7131262054178293</v>
      </c>
      <c r="AM32" s="84">
        <f t="shared" si="6"/>
        <v>25.191875030241157</v>
      </c>
      <c r="AN32" s="84">
        <f t="shared" si="7"/>
        <v>34.905001235658986</v>
      </c>
      <c r="AO32" s="34">
        <f t="shared" si="9"/>
        <v>-9.7131262054178436</v>
      </c>
    </row>
    <row r="33" spans="1:34" ht="15.75" customHeight="1" x14ac:dyDescent="0.25">
      <c r="A33" s="26" t="s">
        <v>47</v>
      </c>
      <c r="B33" s="8">
        <f>IF(B13=0,0,(B13/100)*$B$44)</f>
        <v>0</v>
      </c>
      <c r="C33" s="3" t="s">
        <v>3</v>
      </c>
      <c r="D33" s="3"/>
      <c r="E33" s="18" t="s">
        <v>85</v>
      </c>
      <c r="F33" s="25">
        <f>F32*(F21/100)*J15</f>
        <v>2645.648357005296</v>
      </c>
      <c r="G33" s="3" t="s">
        <v>3</v>
      </c>
      <c r="H33" s="3"/>
      <c r="I33" s="18" t="s">
        <v>141</v>
      </c>
      <c r="J33" s="16">
        <f>F15/B8</f>
        <v>7.4626865671641784</v>
      </c>
      <c r="K33" s="3" t="s">
        <v>46</v>
      </c>
      <c r="L33" s="17"/>
      <c r="M33" s="3"/>
      <c r="N33" s="13">
        <f t="shared" si="5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/>
      <c r="T33" s="22">
        <f t="shared" si="4"/>
        <v>0</v>
      </c>
      <c r="U33" s="20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0.32388059701492533</v>
      </c>
      <c r="AB33" s="31">
        <v>56430.25751929047</v>
      </c>
      <c r="AC33" s="33">
        <f t="shared" si="12"/>
        <v>7.7705009643342633</v>
      </c>
      <c r="AD33" s="3"/>
      <c r="AE33" s="29">
        <f t="shared" si="18"/>
        <v>40</v>
      </c>
      <c r="AF33" s="32">
        <f t="shared" si="14"/>
        <v>19241.078960038518</v>
      </c>
      <c r="AG33" s="31">
        <v>58201.150435946132</v>
      </c>
      <c r="AH33" s="33">
        <f t="shared" si="15"/>
        <v>11.15255210448599</v>
      </c>
    </row>
    <row r="34" spans="1:34" ht="15.75" customHeight="1" x14ac:dyDescent="0.25">
      <c r="A34" s="26"/>
      <c r="B34" s="8"/>
      <c r="C34" s="3"/>
      <c r="D34" s="3"/>
      <c r="E34" s="3"/>
      <c r="F34" s="27"/>
      <c r="G34" s="3"/>
      <c r="H34" s="3"/>
      <c r="I34" s="18"/>
      <c r="J34" s="16"/>
      <c r="K34" s="3"/>
      <c r="L34" s="17"/>
      <c r="M34" s="3"/>
      <c r="N34" s="13">
        <f t="shared" si="5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/>
      <c r="T34" s="22">
        <f t="shared" si="4"/>
        <v>0</v>
      </c>
      <c r="U34" s="20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0.34701492537313428</v>
      </c>
      <c r="AB34" s="31">
        <v>57447.445354894</v>
      </c>
      <c r="AC34" s="33">
        <f t="shared" si="12"/>
        <v>9.7131262054178293</v>
      </c>
      <c r="AD34" s="3"/>
      <c r="AE34" s="29">
        <f t="shared" si="18"/>
        <v>50</v>
      </c>
      <c r="AF34" s="32">
        <f t="shared" si="14"/>
        <v>20615.441742898412</v>
      </c>
      <c r="AG34" s="31">
        <v>59661.061500713586</v>
      </c>
      <c r="AH34" s="33">
        <f t="shared" si="15"/>
        <v>13.9406901306075</v>
      </c>
    </row>
    <row r="35" spans="1:34" ht="15.75" customHeight="1" x14ac:dyDescent="0.25">
      <c r="A35" s="18" t="s">
        <v>54</v>
      </c>
      <c r="B35" s="5">
        <f t="shared" ref="B35:B36" si="20">IF(B15=0,0,(B15/100)*$B$44)</f>
        <v>2130.483870967742</v>
      </c>
      <c r="C35" s="3" t="s">
        <v>3</v>
      </c>
      <c r="D35" s="3"/>
      <c r="E35" s="1" t="s">
        <v>88</v>
      </c>
      <c r="F35" s="3"/>
      <c r="G35" s="3"/>
      <c r="H35" s="3"/>
      <c r="I35" s="3"/>
      <c r="J35" s="27"/>
      <c r="K35" s="3"/>
      <c r="L35" s="17"/>
      <c r="M35" s="3"/>
      <c r="N35" s="13">
        <f t="shared" si="5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/>
      <c r="T35" s="22">
        <f t="shared" si="4"/>
        <v>0</v>
      </c>
      <c r="U35" s="20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6" t="s">
        <v>58</v>
      </c>
      <c r="B36" s="5">
        <f t="shared" si="20"/>
        <v>1727.4193548387095</v>
      </c>
      <c r="C36" s="3" t="s">
        <v>3</v>
      </c>
      <c r="D36" s="3"/>
      <c r="E36" s="18" t="s">
        <v>147</v>
      </c>
      <c r="F36" s="16">
        <f>F13/$B$8</f>
        <v>0.23134328358208953</v>
      </c>
      <c r="G36" s="3" t="s">
        <v>111</v>
      </c>
      <c r="H36" s="3"/>
      <c r="I36" s="18" t="s">
        <v>45</v>
      </c>
      <c r="J36" s="7">
        <f>F20*F12/$B$8</f>
        <v>3500</v>
      </c>
      <c r="K36" s="3" t="s">
        <v>46</v>
      </c>
      <c r="L36" s="17"/>
      <c r="M36" s="3"/>
      <c r="N36" s="13">
        <f t="shared" si="5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/>
      <c r="T36" s="22">
        <f t="shared" si="4"/>
        <v>0</v>
      </c>
      <c r="U36" s="20">
        <f t="shared" si="0"/>
        <v>0</v>
      </c>
      <c r="V36" s="4"/>
      <c r="W36" s="8"/>
      <c r="X36" s="3"/>
      <c r="Y36" s="3"/>
      <c r="Z36" s="28" t="s">
        <v>45</v>
      </c>
      <c r="AA36" s="29"/>
      <c r="AB36" s="29"/>
      <c r="AC36" s="29"/>
      <c r="AD36" s="3"/>
      <c r="AE36" s="28" t="s">
        <v>89</v>
      </c>
      <c r="AF36" s="29"/>
      <c r="AG36" s="29"/>
      <c r="AH36" s="29"/>
    </row>
    <row r="37" spans="1:34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150</v>
      </c>
      <c r="F37" s="16">
        <f>F36*J10</f>
        <v>3.7014925373134326E-2</v>
      </c>
      <c r="G37" s="3" t="s">
        <v>4</v>
      </c>
      <c r="H37" s="3"/>
      <c r="I37" s="3"/>
      <c r="J37" s="3"/>
      <c r="K37" s="3"/>
      <c r="L37" s="17"/>
      <c r="M37" s="3"/>
      <c r="N37" s="13">
        <f t="shared" si="5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/>
      <c r="T37" s="22">
        <f t="shared" si="4"/>
        <v>0</v>
      </c>
      <c r="U37" s="20">
        <f t="shared" si="0"/>
        <v>0</v>
      </c>
      <c r="V37" s="4"/>
      <c r="W37" s="8"/>
      <c r="X37" s="3"/>
      <c r="Y37" s="3"/>
      <c r="Z37" s="29" t="s">
        <v>68</v>
      </c>
      <c r="AA37" s="29" t="s">
        <v>103</v>
      </c>
      <c r="AB37" s="29" t="s">
        <v>21</v>
      </c>
      <c r="AC37" s="29" t="s">
        <v>70</v>
      </c>
      <c r="AD37" s="3"/>
      <c r="AE37" s="29" t="s">
        <v>68</v>
      </c>
      <c r="AF37" s="29" t="s">
        <v>92</v>
      </c>
      <c r="AG37" s="29" t="s">
        <v>21</v>
      </c>
      <c r="AH37" s="29" t="s">
        <v>70</v>
      </c>
    </row>
    <row r="38" spans="1:34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117</v>
      </c>
      <c r="F38" s="27">
        <f>F37*F12</f>
        <v>1295.5223880597014</v>
      </c>
      <c r="G38" s="3" t="s">
        <v>46</v>
      </c>
      <c r="H38" s="3"/>
      <c r="I38" s="3"/>
      <c r="J38" s="3"/>
      <c r="K38" s="3"/>
      <c r="L38" s="17"/>
      <c r="M38" s="3"/>
      <c r="N38" s="13">
        <f t="shared" si="5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/>
      <c r="T38" s="22">
        <f t="shared" si="4"/>
        <v>0</v>
      </c>
      <c r="U38" s="20">
        <f t="shared" si="0"/>
        <v>0</v>
      </c>
      <c r="V38" s="4"/>
      <c r="W38" s="8"/>
      <c r="X38" s="3"/>
      <c r="Y38" s="3"/>
      <c r="Z38" s="29" t="s">
        <v>75</v>
      </c>
      <c r="AA38" s="30">
        <v>3500</v>
      </c>
      <c r="AB38" s="31">
        <f>U49</f>
        <v>52361.506176876348</v>
      </c>
      <c r="AC38" s="29"/>
      <c r="AD38" s="3"/>
      <c r="AE38" s="29" t="s">
        <v>75</v>
      </c>
      <c r="AF38" s="32">
        <v>35000</v>
      </c>
      <c r="AG38" s="31">
        <f>U49</f>
        <v>52361.506176876348</v>
      </c>
      <c r="AH38" s="29"/>
    </row>
    <row r="39" spans="1:34" ht="15.75" customHeight="1" x14ac:dyDescent="0.25">
      <c r="A39" s="26" t="s">
        <v>64</v>
      </c>
      <c r="B39" s="8">
        <f>B19/B8</f>
        <v>387.09677419354841</v>
      </c>
      <c r="C39" s="3" t="s">
        <v>3</v>
      </c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5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/>
      <c r="T39" s="22">
        <f t="shared" si="4"/>
        <v>0</v>
      </c>
      <c r="U39" s="20">
        <f t="shared" si="0"/>
        <v>0</v>
      </c>
      <c r="V39" s="4"/>
      <c r="W39" s="8"/>
      <c r="X39" s="3"/>
      <c r="Y39" s="3"/>
      <c r="Z39" s="29">
        <f t="shared" ref="Z39:Z43" si="21">Z40-10</f>
        <v>-50</v>
      </c>
      <c r="AA39" s="30">
        <f t="shared" ref="AA39:AA49" si="22">$AA$38*(1+(Z39/100))</f>
        <v>1750</v>
      </c>
      <c r="AB39" s="31">
        <f t="dataTable" ref="AB39:AB49" dt2D="0" dtr="0" r1="J36" ca="1"/>
        <v>39170.660976845669</v>
      </c>
      <c r="AC39" s="33">
        <f t="shared" ref="AC39:AC49" si="23">100*((AB39-$AB$44)/$AB$44)</f>
        <v>-25.191875030241128</v>
      </c>
      <c r="AD39" s="3"/>
      <c r="AE39" s="29">
        <f t="shared" ref="AE39:AE43" si="24">AE40-10</f>
        <v>-50</v>
      </c>
      <c r="AF39" s="32">
        <f t="shared" ref="AF39:AF49" si="25">$AF$38*(1+(AE39/100))</f>
        <v>17500</v>
      </c>
      <c r="AG39" s="31">
        <f t="dataTable" ref="AG39:AG49" dt2D="0" dtr="0" r1="F12" ca="1"/>
        <v>34084.721798828003</v>
      </c>
      <c r="AH39" s="33">
        <f t="shared" ref="AH39:AH49" si="26">100*((AG39-$AG$44)/$AG$44)</f>
        <v>-34.905001235658986</v>
      </c>
    </row>
    <row r="40" spans="1:34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5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/>
      <c r="T40" s="22">
        <f t="shared" si="4"/>
        <v>0</v>
      </c>
      <c r="U40" s="20">
        <f t="shared" si="0"/>
        <v>0</v>
      </c>
      <c r="V40" s="4"/>
      <c r="W40" s="8"/>
      <c r="X40" s="3"/>
      <c r="Y40" s="3"/>
      <c r="Z40" s="29">
        <f t="shared" si="21"/>
        <v>-40</v>
      </c>
      <c r="AA40" s="30">
        <f t="shared" si="22"/>
        <v>2100</v>
      </c>
      <c r="AB40" s="31">
        <v>41808.830016851789</v>
      </c>
      <c r="AC40" s="33">
        <f t="shared" si="23"/>
        <v>-20.153500024192933</v>
      </c>
      <c r="AD40" s="3"/>
      <c r="AE40" s="29">
        <f t="shared" si="24"/>
        <v>-40</v>
      </c>
      <c r="AF40" s="32">
        <f t="shared" si="25"/>
        <v>21000</v>
      </c>
      <c r="AG40" s="31">
        <v>37740.078674437667</v>
      </c>
      <c r="AH40" s="33">
        <f t="shared" si="26"/>
        <v>-27.924000988527197</v>
      </c>
    </row>
    <row r="41" spans="1:34" ht="15.75" customHeight="1" x14ac:dyDescent="0.25">
      <c r="A41" s="3"/>
      <c r="B41" s="3"/>
      <c r="C41" s="3"/>
      <c r="D41" s="3"/>
      <c r="E41" s="18" t="s">
        <v>86</v>
      </c>
      <c r="F41" s="8">
        <f>F12*B5</f>
        <v>350000</v>
      </c>
      <c r="G41" s="3" t="s">
        <v>87</v>
      </c>
      <c r="H41" s="3"/>
      <c r="I41" s="3"/>
      <c r="J41" s="3"/>
      <c r="K41" s="3"/>
      <c r="L41" s="17"/>
      <c r="M41" s="3"/>
      <c r="N41" s="13">
        <f t="shared" si="5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/>
      <c r="T41" s="22">
        <f t="shared" si="4"/>
        <v>0</v>
      </c>
      <c r="U41" s="20">
        <f t="shared" si="0"/>
        <v>0</v>
      </c>
      <c r="V41" s="4"/>
      <c r="W41" s="8"/>
      <c r="X41" s="3"/>
      <c r="Y41" s="3"/>
      <c r="Z41" s="29">
        <f t="shared" si="21"/>
        <v>-30</v>
      </c>
      <c r="AA41" s="30">
        <f t="shared" si="22"/>
        <v>2450</v>
      </c>
      <c r="AB41" s="31">
        <v>44446.999056857938</v>
      </c>
      <c r="AC41" s="33">
        <f t="shared" si="23"/>
        <v>-15.115125018144681</v>
      </c>
      <c r="AD41" s="3"/>
      <c r="AE41" s="29">
        <f t="shared" si="24"/>
        <v>-30</v>
      </c>
      <c r="AF41" s="32">
        <f t="shared" si="25"/>
        <v>24500</v>
      </c>
      <c r="AG41" s="31">
        <v>41395.435550047339</v>
      </c>
      <c r="AH41" s="33">
        <f t="shared" si="26"/>
        <v>-20.943000741395394</v>
      </c>
    </row>
    <row r="42" spans="1:34" ht="15.75" customHeight="1" x14ac:dyDescent="0.25">
      <c r="A42" s="24" t="s">
        <v>96</v>
      </c>
      <c r="B42" s="4"/>
      <c r="C42" s="1"/>
      <c r="D42" s="3"/>
      <c r="E42" s="18"/>
      <c r="F42" s="16"/>
      <c r="G42" s="3"/>
      <c r="H42" s="3"/>
      <c r="I42" s="1"/>
      <c r="J42" s="3"/>
      <c r="K42" s="3"/>
      <c r="L42" s="17"/>
      <c r="M42" s="3"/>
      <c r="N42" s="13">
        <f t="shared" si="5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/>
      <c r="T42" s="22">
        <f t="shared" si="4"/>
        <v>0</v>
      </c>
      <c r="U42" s="20">
        <f t="shared" si="0"/>
        <v>0</v>
      </c>
      <c r="V42" s="4"/>
      <c r="W42" s="8"/>
      <c r="X42" s="3"/>
      <c r="Y42" s="3"/>
      <c r="Z42" s="29">
        <f t="shared" si="21"/>
        <v>-20</v>
      </c>
      <c r="AA42" s="30">
        <f t="shared" si="22"/>
        <v>2800</v>
      </c>
      <c r="AB42" s="31">
        <v>47085.168096864065</v>
      </c>
      <c r="AC42" s="33">
        <f t="shared" si="23"/>
        <v>-10.076750012096474</v>
      </c>
      <c r="AD42" s="3"/>
      <c r="AE42" s="29">
        <f t="shared" si="24"/>
        <v>-20</v>
      </c>
      <c r="AF42" s="32">
        <f t="shared" si="25"/>
        <v>28000</v>
      </c>
      <c r="AG42" s="31">
        <v>45050.792425657004</v>
      </c>
      <c r="AH42" s="33">
        <f t="shared" si="26"/>
        <v>-13.962000494263604</v>
      </c>
    </row>
    <row r="43" spans="1:34" ht="15.75" customHeight="1" x14ac:dyDescent="0.25">
      <c r="A43" s="18" t="s">
        <v>145</v>
      </c>
      <c r="B43" s="8">
        <f>J8/B8</f>
        <v>9677.4193548387102</v>
      </c>
      <c r="C43" s="3" t="s">
        <v>3</v>
      </c>
      <c r="D43" s="3"/>
      <c r="E43" s="3"/>
      <c r="F43" s="3"/>
      <c r="G43" s="3"/>
      <c r="H43" s="3"/>
      <c r="I43" s="18"/>
      <c r="J43" s="7"/>
      <c r="K43" s="3"/>
      <c r="L43" s="17"/>
      <c r="M43" s="3"/>
      <c r="N43" s="13">
        <f t="shared" si="5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/>
      <c r="T43" s="22">
        <f t="shared" si="4"/>
        <v>0</v>
      </c>
      <c r="U43" s="20">
        <f t="shared" si="0"/>
        <v>0</v>
      </c>
      <c r="V43" s="4"/>
      <c r="W43" s="8"/>
      <c r="X43" s="3"/>
      <c r="Y43" s="3"/>
      <c r="Z43" s="29">
        <f t="shared" si="21"/>
        <v>-10</v>
      </c>
      <c r="AA43" s="30">
        <f t="shared" si="22"/>
        <v>3150</v>
      </c>
      <c r="AB43" s="31">
        <v>49723.337136870214</v>
      </c>
      <c r="AC43" s="33">
        <f t="shared" si="23"/>
        <v>-5.0383750060482226</v>
      </c>
      <c r="AD43" s="3"/>
      <c r="AE43" s="29">
        <f t="shared" si="24"/>
        <v>-10</v>
      </c>
      <c r="AF43" s="32">
        <f t="shared" si="25"/>
        <v>31500</v>
      </c>
      <c r="AG43" s="31">
        <v>48706.149301266676</v>
      </c>
      <c r="AH43" s="33">
        <f t="shared" si="26"/>
        <v>-6.981000247131802</v>
      </c>
    </row>
    <row r="44" spans="1:34" ht="15.75" customHeight="1" x14ac:dyDescent="0.25">
      <c r="A44" s="3" t="s">
        <v>100</v>
      </c>
      <c r="B44" s="25">
        <f>((1+B16/100)*B43)+B39</f>
        <v>11516.129032258064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5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/>
      <c r="T44" s="22">
        <f t="shared" si="4"/>
        <v>0</v>
      </c>
      <c r="U44" s="20">
        <f t="shared" si="0"/>
        <v>0</v>
      </c>
      <c r="V44" s="4"/>
      <c r="W44" s="8"/>
      <c r="X44" s="3"/>
      <c r="Y44" s="3"/>
      <c r="Z44" s="38">
        <v>0</v>
      </c>
      <c r="AA44" s="50">
        <f t="shared" si="22"/>
        <v>3500</v>
      </c>
      <c r="AB44" s="39">
        <v>52361.506176876348</v>
      </c>
      <c r="AC44" s="55">
        <f t="shared" si="23"/>
        <v>0</v>
      </c>
      <c r="AD44" s="3"/>
      <c r="AE44" s="38">
        <v>0</v>
      </c>
      <c r="AF44" s="44">
        <f t="shared" si="25"/>
        <v>35000</v>
      </c>
      <c r="AG44" s="39">
        <v>52361.506176876348</v>
      </c>
      <c r="AH44" s="51">
        <f t="shared" si="26"/>
        <v>0</v>
      </c>
    </row>
    <row r="45" spans="1:34" ht="15.75" customHeight="1" x14ac:dyDescent="0.25">
      <c r="A45" s="26" t="s">
        <v>118</v>
      </c>
      <c r="B45" s="8">
        <f>B44+B37+B38+B40+B35</f>
        <v>13743.627828598941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5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/>
      <c r="T45" s="22">
        <f t="shared" si="4"/>
        <v>0</v>
      </c>
      <c r="U45" s="20">
        <f t="shared" si="0"/>
        <v>0</v>
      </c>
      <c r="V45" s="4"/>
      <c r="W45" s="8"/>
      <c r="X45" s="3"/>
      <c r="Y45" s="3"/>
      <c r="Z45" s="29">
        <f t="shared" ref="Z45:Z49" si="27">Z44+10</f>
        <v>10</v>
      </c>
      <c r="AA45" s="30">
        <f t="shared" si="22"/>
        <v>3850.0000000000005</v>
      </c>
      <c r="AB45" s="31">
        <v>54999.675216882497</v>
      </c>
      <c r="AC45" s="33">
        <f t="shared" si="23"/>
        <v>5.0383750060482502</v>
      </c>
      <c r="AD45" s="3"/>
      <c r="AE45" s="29">
        <f t="shared" ref="AE45:AE49" si="28">AE44+10</f>
        <v>10</v>
      </c>
      <c r="AF45" s="32">
        <f t="shared" si="25"/>
        <v>38500</v>
      </c>
      <c r="AG45" s="31">
        <v>56016.863052486027</v>
      </c>
      <c r="AH45" s="33">
        <f t="shared" si="26"/>
        <v>6.9810002471318162</v>
      </c>
    </row>
    <row r="46" spans="1:34" ht="15.75" customHeight="1" x14ac:dyDescent="0.25">
      <c r="A46" s="26" t="s">
        <v>152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5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/>
      <c r="T46" s="22">
        <f t="shared" si="4"/>
        <v>0</v>
      </c>
      <c r="U46" s="20">
        <f t="shared" si="0"/>
        <v>0</v>
      </c>
      <c r="V46" s="4"/>
      <c r="W46" s="8"/>
      <c r="X46" s="3"/>
      <c r="Y46" s="3"/>
      <c r="Z46" s="29">
        <f t="shared" si="27"/>
        <v>20</v>
      </c>
      <c r="AA46" s="30">
        <f t="shared" si="22"/>
        <v>4200</v>
      </c>
      <c r="AB46" s="31">
        <v>57637.844256888609</v>
      </c>
      <c r="AC46" s="33">
        <f t="shared" si="23"/>
        <v>10.076750012096431</v>
      </c>
      <c r="AD46" s="3"/>
      <c r="AE46" s="29">
        <f t="shared" si="28"/>
        <v>20</v>
      </c>
      <c r="AF46" s="32">
        <f t="shared" si="25"/>
        <v>42000</v>
      </c>
      <c r="AG46" s="31">
        <v>59672.219928095699</v>
      </c>
      <c r="AH46" s="33">
        <f t="shared" si="26"/>
        <v>13.962000494263618</v>
      </c>
    </row>
    <row r="47" spans="1:34" ht="15.75" customHeight="1" x14ac:dyDescent="0.25">
      <c r="A47" s="26" t="s">
        <v>144</v>
      </c>
      <c r="B47" s="8">
        <f>SUM(B45:B46)</f>
        <v>13743.627828598941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5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/>
      <c r="T47" s="22">
        <f t="shared" si="4"/>
        <v>0</v>
      </c>
      <c r="U47" s="20">
        <f t="shared" si="0"/>
        <v>0</v>
      </c>
      <c r="V47" s="4"/>
      <c r="W47" s="8"/>
      <c r="X47" s="3"/>
      <c r="Y47" s="3"/>
      <c r="Z47" s="29">
        <f t="shared" si="27"/>
        <v>30</v>
      </c>
      <c r="AA47" s="30">
        <f t="shared" si="22"/>
        <v>4550</v>
      </c>
      <c r="AB47" s="31">
        <v>60276.013296894766</v>
      </c>
      <c r="AC47" s="33">
        <f t="shared" si="23"/>
        <v>15.115125018144695</v>
      </c>
      <c r="AD47" s="3"/>
      <c r="AE47" s="29">
        <f t="shared" si="28"/>
        <v>30</v>
      </c>
      <c r="AF47" s="32">
        <f t="shared" si="25"/>
        <v>45500</v>
      </c>
      <c r="AG47" s="31">
        <v>63327.576803705357</v>
      </c>
      <c r="AH47" s="33">
        <f t="shared" si="26"/>
        <v>20.943000741395394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5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/>
      <c r="T48" s="22">
        <f t="shared" si="4"/>
        <v>0</v>
      </c>
      <c r="U48" s="20">
        <f t="shared" si="0"/>
        <v>0</v>
      </c>
      <c r="V48" s="4"/>
      <c r="W48" s="8"/>
      <c r="X48" s="3"/>
      <c r="Y48" s="3"/>
      <c r="Z48" s="29">
        <f t="shared" si="27"/>
        <v>40</v>
      </c>
      <c r="AA48" s="30">
        <f t="shared" si="22"/>
        <v>4900</v>
      </c>
      <c r="AB48" s="31">
        <v>62914.1823369009</v>
      </c>
      <c r="AC48" s="33">
        <f t="shared" si="23"/>
        <v>20.153500024192919</v>
      </c>
      <c r="AD48" s="3"/>
      <c r="AE48" s="29">
        <f t="shared" si="28"/>
        <v>40</v>
      </c>
      <c r="AF48" s="32">
        <f t="shared" si="25"/>
        <v>49000</v>
      </c>
      <c r="AG48" s="31">
        <v>66982.933679315029</v>
      </c>
      <c r="AH48" s="33">
        <f t="shared" si="26"/>
        <v>27.924000988527197</v>
      </c>
    </row>
    <row r="49" spans="1:34" ht="15.75" customHeight="1" x14ac:dyDescent="0.25">
      <c r="A49" s="15"/>
      <c r="B49" s="5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101</v>
      </c>
      <c r="O49" s="20">
        <f t="shared" ref="O49:R49" si="29">SUM(O8:O48)</f>
        <v>4123.0883485796821</v>
      </c>
      <c r="P49" s="20">
        <f t="shared" si="29"/>
        <v>10476.02229909477</v>
      </c>
      <c r="Q49" s="20">
        <f t="shared" si="29"/>
        <v>10171.878356035311</v>
      </c>
      <c r="R49" s="20">
        <f t="shared" si="29"/>
        <v>30825.514582587712</v>
      </c>
      <c r="S49" s="20"/>
      <c r="T49" s="20">
        <f t="shared" ref="T49:U49" si="30">SUM(T8:T48)</f>
        <v>-3234.9974094211302</v>
      </c>
      <c r="U49" s="20">
        <f t="shared" si="30"/>
        <v>52361.506176876348</v>
      </c>
      <c r="V49" s="4"/>
      <c r="W49" s="4"/>
      <c r="X49" s="3"/>
      <c r="Y49" s="3"/>
      <c r="Z49" s="29">
        <f t="shared" si="27"/>
        <v>50</v>
      </c>
      <c r="AA49" s="30">
        <f t="shared" si="22"/>
        <v>5250</v>
      </c>
      <c r="AB49" s="31">
        <v>65552.351376907041</v>
      </c>
      <c r="AC49" s="33">
        <f t="shared" si="23"/>
        <v>25.191875030241157</v>
      </c>
      <c r="AD49" s="3"/>
      <c r="AE49" s="29">
        <f t="shared" si="28"/>
        <v>50</v>
      </c>
      <c r="AF49" s="32">
        <f t="shared" si="25"/>
        <v>52500</v>
      </c>
      <c r="AG49" s="31">
        <v>70638.290554924693</v>
      </c>
      <c r="AH49" s="33">
        <f t="shared" si="26"/>
        <v>34.905001235658986</v>
      </c>
    </row>
    <row r="50" spans="1:34" ht="15.75" customHeight="1" x14ac:dyDescent="0.25">
      <c r="A50" s="3"/>
      <c r="B50" s="2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25">
        <f>SUM(R49:S49)</f>
        <v>30825.514582587712</v>
      </c>
      <c r="S50" s="3"/>
      <c r="T50" s="3"/>
      <c r="U50" s="3"/>
      <c r="V50" s="3"/>
      <c r="W50" s="3"/>
      <c r="X50" s="25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8" t="s">
        <v>172</v>
      </c>
      <c r="AA51" s="29"/>
      <c r="AB51" s="29"/>
      <c r="AC51" s="29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9" t="s">
        <v>68</v>
      </c>
      <c r="AA52" s="29" t="s">
        <v>172</v>
      </c>
      <c r="AB52" s="29" t="s">
        <v>21</v>
      </c>
      <c r="AC52" s="29" t="s">
        <v>70</v>
      </c>
      <c r="AD52" s="3"/>
      <c r="AE52" s="3"/>
      <c r="AF52" s="3"/>
      <c r="AG52" s="3"/>
      <c r="AH52" s="3"/>
    </row>
    <row r="53" spans="1:34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27"/>
      <c r="Y53" s="3"/>
      <c r="Z53" s="29" t="s">
        <v>75</v>
      </c>
      <c r="AA53" s="30">
        <v>0.16</v>
      </c>
      <c r="AB53" s="31">
        <f>U49</f>
        <v>52361.506176876348</v>
      </c>
      <c r="AC53" s="29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3"/>
      <c r="V54" s="3"/>
      <c r="W54" s="3"/>
      <c r="X54" s="27"/>
      <c r="Y54" s="3"/>
      <c r="Z54" s="29">
        <f t="shared" ref="Z54:Z58" si="31">Z55-10</f>
        <v>-50</v>
      </c>
      <c r="AA54" s="30">
        <f>$AA$53*(1-(Z54/100))</f>
        <v>0.24</v>
      </c>
      <c r="AB54" s="31">
        <f t="dataTable" ref="AB54:AB64" dt2D="0" dtr="0" r1="J10" ca="1"/>
        <v>57447.445354894</v>
      </c>
      <c r="AC54" s="33">
        <f>100*((AB54-$AB$59)/$AB$59)</f>
        <v>9.7131262054178293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14599.110647674452</v>
      </c>
      <c r="Q55" s="3" t="s">
        <v>3</v>
      </c>
      <c r="R55" s="48">
        <f t="shared" ref="R55:R58" si="32">P55/$F$41</f>
        <v>4.1711744707641288E-2</v>
      </c>
      <c r="S55" s="3" t="s">
        <v>4</v>
      </c>
      <c r="T55" s="3"/>
      <c r="U55" s="3"/>
      <c r="V55" s="3"/>
      <c r="W55" s="3"/>
      <c r="X55" s="27"/>
      <c r="Y55" s="3"/>
      <c r="Z55" s="29">
        <f t="shared" si="31"/>
        <v>-40</v>
      </c>
      <c r="AA55" s="30">
        <f t="shared" ref="AA55:AA58" si="33">$AA$53*(1-(Z55/100))</f>
        <v>0.22399999999999998</v>
      </c>
      <c r="AB55" s="31">
        <v>56430.25751929047</v>
      </c>
      <c r="AC55" s="33">
        <f t="shared" ref="AC55:AC64" si="34">100*((AB55-$AB$59)/$AB$59)</f>
        <v>7.7705009643342633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SUM(Q49)</f>
        <v>10171.878356035311</v>
      </c>
      <c r="Q56" s="3" t="s">
        <v>3</v>
      </c>
      <c r="R56" s="48">
        <f t="shared" si="32"/>
        <v>2.9062509588672319E-2</v>
      </c>
      <c r="S56" s="3" t="s">
        <v>4</v>
      </c>
      <c r="T56" s="3"/>
      <c r="U56" s="3"/>
      <c r="V56" s="3"/>
      <c r="W56" s="3"/>
      <c r="X56" s="27"/>
      <c r="Y56" s="3"/>
      <c r="Z56" s="29">
        <f t="shared" si="31"/>
        <v>-30</v>
      </c>
      <c r="AA56" s="30">
        <f t="shared" si="33"/>
        <v>0.20800000000000002</v>
      </c>
      <c r="AB56" s="31">
        <v>55413.069683686932</v>
      </c>
      <c r="AC56" s="33">
        <f t="shared" si="34"/>
        <v>5.8278757232506839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SUM(R49:S49)</f>
        <v>30825.514582587712</v>
      </c>
      <c r="Q57" s="3" t="s">
        <v>3</v>
      </c>
      <c r="R57" s="48">
        <f t="shared" si="32"/>
        <v>8.8072898807393468E-2</v>
      </c>
      <c r="S57" s="3" t="s">
        <v>4</v>
      </c>
      <c r="T57" s="3"/>
      <c r="U57" s="3"/>
      <c r="V57" s="3"/>
      <c r="W57" s="3"/>
      <c r="X57" s="27"/>
      <c r="Y57" s="3"/>
      <c r="Z57" s="29">
        <f t="shared" si="31"/>
        <v>-20</v>
      </c>
      <c r="AA57" s="30">
        <f t="shared" si="33"/>
        <v>0.192</v>
      </c>
      <c r="AB57" s="31">
        <v>54395.881848083409</v>
      </c>
      <c r="AC57" s="33">
        <f t="shared" si="34"/>
        <v>3.8852504821671316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143</v>
      </c>
      <c r="P58" s="25">
        <f>T49</f>
        <v>-3234.9974094211302</v>
      </c>
      <c r="Q58" s="3" t="s">
        <v>3</v>
      </c>
      <c r="R58" s="48">
        <f t="shared" si="32"/>
        <v>-9.2428497412032299E-3</v>
      </c>
      <c r="S58" s="3" t="s">
        <v>4</v>
      </c>
      <c r="T58" s="3"/>
      <c r="U58" s="3"/>
      <c r="V58" s="3"/>
      <c r="W58" s="3"/>
      <c r="X58" s="27"/>
      <c r="Y58" s="3"/>
      <c r="Z58" s="29">
        <f t="shared" si="31"/>
        <v>-10</v>
      </c>
      <c r="AA58" s="30">
        <f t="shared" si="33"/>
        <v>0.17600000000000002</v>
      </c>
      <c r="AB58" s="31">
        <v>53378.694012479893</v>
      </c>
      <c r="AC58" s="33">
        <f t="shared" si="34"/>
        <v>1.9426252410835936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7"/>
      <c r="Y59" s="3"/>
      <c r="Z59" s="38">
        <v>0</v>
      </c>
      <c r="AA59" s="53">
        <f t="shared" ref="AA59" si="35">$AA$53*(1+(Z59/100))</f>
        <v>0.16</v>
      </c>
      <c r="AB59" s="39">
        <v>52361.506176876348</v>
      </c>
      <c r="AC59" s="55">
        <f t="shared" si="34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52361.506176876348</v>
      </c>
      <c r="Q60" s="1" t="s">
        <v>3</v>
      </c>
      <c r="R60" s="43">
        <f>SUM(R55:R58)</f>
        <v>0.14960430336250383</v>
      </c>
      <c r="S60" s="1" t="s">
        <v>4</v>
      </c>
      <c r="T60" s="3"/>
      <c r="U60" s="3"/>
      <c r="V60" s="3"/>
      <c r="W60" s="3"/>
      <c r="X60" s="27"/>
      <c r="Y60" s="3"/>
      <c r="Z60" s="29">
        <f t="shared" ref="Z60:Z64" si="36">Z59+10</f>
        <v>10</v>
      </c>
      <c r="AA60" s="30">
        <f t="shared" ref="AA60:AA64" si="37">$AA$53*(1-(Z60/100))</f>
        <v>0.14400000000000002</v>
      </c>
      <c r="AB60" s="31">
        <v>51344.31834127281</v>
      </c>
      <c r="AC60" s="33">
        <f t="shared" si="34"/>
        <v>-1.9426252410835798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7"/>
      <c r="Y61" s="3"/>
      <c r="Z61" s="29">
        <f t="shared" si="36"/>
        <v>20</v>
      </c>
      <c r="AA61" s="30">
        <f t="shared" si="37"/>
        <v>0.128</v>
      </c>
      <c r="AB61" s="31">
        <v>50327.130505669287</v>
      </c>
      <c r="AC61" s="33">
        <f t="shared" si="34"/>
        <v>-3.8852504821671316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7"/>
      <c r="Y62" s="3"/>
      <c r="Z62" s="29">
        <f t="shared" si="36"/>
        <v>30</v>
      </c>
      <c r="AA62" s="30">
        <f t="shared" si="37"/>
        <v>0.11199999999999999</v>
      </c>
      <c r="AB62" s="31">
        <v>49309.94267006575</v>
      </c>
      <c r="AC62" s="33">
        <f t="shared" si="34"/>
        <v>-5.8278757232507115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7"/>
      <c r="Y63" s="3"/>
      <c r="Z63" s="29">
        <f t="shared" si="36"/>
        <v>40</v>
      </c>
      <c r="AA63" s="30">
        <f t="shared" si="37"/>
        <v>9.6000000000000002E-2</v>
      </c>
      <c r="AB63" s="31">
        <v>48292.754834462219</v>
      </c>
      <c r="AC63" s="33">
        <f t="shared" si="34"/>
        <v>-7.7705009643342775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7"/>
      <c r="Y64" s="3"/>
      <c r="Z64" s="29">
        <f t="shared" si="36"/>
        <v>50</v>
      </c>
      <c r="AA64" s="30">
        <f t="shared" si="37"/>
        <v>0.08</v>
      </c>
      <c r="AB64" s="31">
        <v>47275.566998858689</v>
      </c>
      <c r="AC64" s="33">
        <f t="shared" si="34"/>
        <v>-9.7131262054178436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AY1000"/>
  <sheetViews>
    <sheetView zoomScale="70" zoomScaleNormal="55" workbookViewId="0">
      <selection activeCell="I7" sqref="I7:J26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7" customWidth="1"/>
    <col min="7" max="7" width="8.85546875" customWidth="1"/>
    <col min="8" max="8" width="19.42578125" customWidth="1"/>
    <col min="9" max="9" width="50.5703125" bestFit="1" customWidth="1"/>
    <col min="10" max="10" width="17.5703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33.5703125" customWidth="1"/>
    <col min="19" max="19" width="16.5703125" customWidth="1"/>
    <col min="20" max="20" width="11.140625" customWidth="1"/>
    <col min="21" max="22" width="31.42578125" customWidth="1"/>
    <col min="23" max="23" width="23.85546875" customWidth="1"/>
    <col min="24" max="25" width="13.42578125" customWidth="1"/>
    <col min="26" max="26" width="19.5703125" customWidth="1"/>
    <col min="27" max="27" width="12.42578125" customWidth="1"/>
    <col min="28" max="28" width="20.140625" customWidth="1"/>
    <col min="29" max="29" width="25.42578125" customWidth="1"/>
    <col min="30" max="30" width="12.85546875" customWidth="1"/>
    <col min="31" max="31" width="19" customWidth="1"/>
    <col min="32" max="32" width="4.5703125" customWidth="1"/>
    <col min="33" max="33" width="20.140625" customWidth="1"/>
    <col min="34" max="34" width="19.42578125" customWidth="1"/>
    <col min="35" max="35" width="11.42578125" customWidth="1"/>
    <col min="36" max="36" width="17.85546875" customWidth="1"/>
    <col min="37" max="38" width="8.85546875" customWidth="1"/>
    <col min="39" max="39" width="17.5703125" customWidth="1"/>
    <col min="40" max="40" width="9.5703125" customWidth="1"/>
    <col min="41" max="41" width="15.5703125" customWidth="1"/>
    <col min="42" max="42" width="8.85546875" customWidth="1"/>
    <col min="43" max="44" width="12.5703125" customWidth="1"/>
    <col min="45" max="51" width="8.85546875" customWidth="1"/>
  </cols>
  <sheetData>
    <row r="1" spans="1:51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2</v>
      </c>
      <c r="B2" s="4">
        <f>X49</f>
        <v>36783.26288392883</v>
      </c>
      <c r="C2" s="1" t="s">
        <v>3</v>
      </c>
      <c r="D2" s="3"/>
      <c r="E2" s="3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/>
      <c r="B3" s="6">
        <f>B2/J34</f>
        <v>0.10509503681122523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" t="s">
        <v>7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spans="1:51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16</v>
      </c>
      <c r="R7" s="13" t="s">
        <v>17</v>
      </c>
      <c r="S7" s="13" t="s">
        <v>18</v>
      </c>
      <c r="T7" s="13"/>
      <c r="U7" s="13" t="s">
        <v>19</v>
      </c>
      <c r="V7" s="13" t="s">
        <v>20</v>
      </c>
      <c r="W7" s="13" t="s">
        <v>142</v>
      </c>
      <c r="X7" s="14" t="s">
        <v>21</v>
      </c>
      <c r="Y7" s="1"/>
      <c r="Z7" s="3"/>
      <c r="AA7" s="3"/>
      <c r="AB7" s="3" t="s">
        <v>22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15734.193548387098</v>
      </c>
      <c r="K8" s="3" t="s">
        <v>26</v>
      </c>
      <c r="L8" s="17"/>
      <c r="M8" s="3"/>
      <c r="N8" s="13">
        <v>0</v>
      </c>
      <c r="O8" s="19">
        <f>F31</f>
        <v>6799.389824386134</v>
      </c>
      <c r="P8" s="13"/>
      <c r="Q8" s="13"/>
      <c r="R8" s="13"/>
      <c r="S8" s="13"/>
      <c r="T8" s="13"/>
      <c r="U8" s="13"/>
      <c r="V8" s="13"/>
      <c r="W8" s="13"/>
      <c r="X8" s="20">
        <f t="shared" ref="X8:X48" si="0">SUM(O8:W8)</f>
        <v>6799.389824386134</v>
      </c>
      <c r="Y8" s="4"/>
      <c r="Z8" s="8"/>
      <c r="AA8" s="3"/>
      <c r="AB8" s="3" t="s">
        <v>27</v>
      </c>
      <c r="AC8" s="21">
        <f>F36</f>
        <v>0.11194029850746268</v>
      </c>
      <c r="AD8" s="3" t="s">
        <v>28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15"/>
      <c r="B9" s="3"/>
      <c r="C9" s="3"/>
      <c r="D9" s="3"/>
      <c r="E9" s="3"/>
      <c r="F9" s="7"/>
      <c r="G9" s="3"/>
      <c r="H9" s="17"/>
      <c r="I9" s="18" t="s">
        <v>29</v>
      </c>
      <c r="J9" s="8">
        <v>105</v>
      </c>
      <c r="K9" s="3" t="s">
        <v>28</v>
      </c>
      <c r="L9" s="17"/>
      <c r="M9" s="3"/>
      <c r="N9" s="13">
        <v>1</v>
      </c>
      <c r="O9" s="13"/>
      <c r="P9" s="22">
        <f t="shared" ref="P9:P48" si="1">IF(N9&gt;0,IF(N9&lt;=$J$20,(($F$32+$F$33)/$J$20)/((1+($F$11/100))^N9),0),0)</f>
        <v>3834.7269625684835</v>
      </c>
      <c r="Q9" s="23">
        <f t="shared" ref="Q9:Q48" si="2">IF(N9&gt;0,($F$41*((1+($F$14/100))^(N9-1)))/((1+($F$11/100))^N9),0)</f>
        <v>527.33960529108003</v>
      </c>
      <c r="R9" s="23">
        <f t="shared" ref="R9:R48" si="3">IF(N9&gt;0,$F$40/((1+($F$11/100))^N9),0)</f>
        <v>0</v>
      </c>
      <c r="S9" s="23">
        <f t="shared" ref="S9:S48" si="4">IF(N9&gt;0,$J$37/((1+($F$11/100))^N9),0)</f>
        <v>833.1399872674541</v>
      </c>
      <c r="T9" s="23"/>
      <c r="U9" s="23">
        <f t="shared" ref="U9:U48" si="5">IF(AND(MOD(N9,$J$31)=0,N9&gt;0),$B$46/((1+($F$11/100))^N9),0)</f>
        <v>0</v>
      </c>
      <c r="V9" s="23">
        <f t="shared" ref="V9:V48" si="6">IF(N9&gt;0,$J$32/((1+($F$11/100))^N9),0)</f>
        <v>0</v>
      </c>
      <c r="W9" s="22">
        <f t="shared" ref="W9:W18" si="7">IF(N9=$B$5,((((1-$J$15/100)^N9)*$B$47+((1-$J$16/100)^N9)*$B$48)/((1+($F$11/100))^N9))*-1,0)</f>
        <v>0</v>
      </c>
      <c r="X9" s="20">
        <f t="shared" si="0"/>
        <v>5195.2065551270171</v>
      </c>
      <c r="Y9" s="4"/>
      <c r="Z9" s="8"/>
      <c r="AA9" s="3"/>
      <c r="AB9" s="3" t="s">
        <v>30</v>
      </c>
      <c r="AC9" s="5">
        <f>B48</f>
        <v>5071.5</v>
      </c>
      <c r="AD9" s="3" t="s">
        <v>3</v>
      </c>
      <c r="AE9" s="3"/>
      <c r="AF9" s="8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33</v>
      </c>
      <c r="J10" s="8">
        <v>42</v>
      </c>
      <c r="K10" s="3" t="s">
        <v>34</v>
      </c>
      <c r="L10" s="17"/>
      <c r="M10" s="3"/>
      <c r="N10" s="13">
        <f t="shared" ref="N10:N48" si="8">IF((N9+1)&gt;$B$5,,IF(N9=0,,N9+1))</f>
        <v>2</v>
      </c>
      <c r="O10" s="13"/>
      <c r="P10" s="22">
        <f t="shared" si="1"/>
        <v>3634.8122867947709</v>
      </c>
      <c r="Q10" s="23">
        <f t="shared" si="2"/>
        <v>504.84644677155529</v>
      </c>
      <c r="R10" s="23">
        <f t="shared" si="3"/>
        <v>0</v>
      </c>
      <c r="S10" s="23">
        <f t="shared" si="4"/>
        <v>789.70614906867684</v>
      </c>
      <c r="T10" s="23"/>
      <c r="U10" s="23">
        <f t="shared" si="5"/>
        <v>0</v>
      </c>
      <c r="V10" s="23">
        <f t="shared" si="6"/>
        <v>0</v>
      </c>
      <c r="W10" s="22">
        <f t="shared" si="7"/>
        <v>0</v>
      </c>
      <c r="X10" s="20">
        <f t="shared" si="0"/>
        <v>4929.3648826350027</v>
      </c>
      <c r="Y10" s="4"/>
      <c r="Z10" s="8"/>
      <c r="AA10" s="3"/>
      <c r="AB10" s="3" t="s">
        <v>146</v>
      </c>
      <c r="AC10" s="25">
        <f>B52</f>
        <v>22664.632747953779</v>
      </c>
      <c r="AD10" s="3" t="s">
        <v>3</v>
      </c>
      <c r="AE10" s="3"/>
      <c r="AF10" s="8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5.5</v>
      </c>
      <c r="G11" s="3" t="s">
        <v>35</v>
      </c>
      <c r="H11" s="17"/>
      <c r="I11" s="18" t="s">
        <v>37</v>
      </c>
      <c r="J11" s="8">
        <v>536</v>
      </c>
      <c r="K11" s="3" t="s">
        <v>120</v>
      </c>
      <c r="L11" s="17"/>
      <c r="M11" s="3"/>
      <c r="N11" s="13">
        <f t="shared" si="8"/>
        <v>3</v>
      </c>
      <c r="O11" s="13"/>
      <c r="P11" s="22">
        <f t="shared" si="1"/>
        <v>3445.3197031230061</v>
      </c>
      <c r="Q11" s="23">
        <f t="shared" si="2"/>
        <v>483.31271207513828</v>
      </c>
      <c r="R11" s="23">
        <f t="shared" si="3"/>
        <v>0</v>
      </c>
      <c r="S11" s="23">
        <f t="shared" si="4"/>
        <v>748.53663418831945</v>
      </c>
      <c r="T11" s="23"/>
      <c r="U11" s="23">
        <f t="shared" si="5"/>
        <v>0</v>
      </c>
      <c r="V11" s="23">
        <f t="shared" si="6"/>
        <v>0</v>
      </c>
      <c r="W11" s="22">
        <f t="shared" si="7"/>
        <v>0</v>
      </c>
      <c r="X11" s="20">
        <f t="shared" si="0"/>
        <v>4677.1690493864635</v>
      </c>
      <c r="Y11" s="4"/>
      <c r="Z11" s="8"/>
      <c r="AA11" s="3"/>
      <c r="AB11" s="3" t="s">
        <v>39</v>
      </c>
      <c r="AC11" s="8">
        <f>F12</f>
        <v>35000</v>
      </c>
      <c r="AD11" s="3" t="s">
        <v>40</v>
      </c>
      <c r="AE11" s="3"/>
      <c r="AF11" s="8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35000</v>
      </c>
      <c r="G12" s="3" t="s">
        <v>40</v>
      </c>
      <c r="H12" s="17"/>
      <c r="I12" s="18" t="s">
        <v>43</v>
      </c>
      <c r="J12" s="8">
        <v>300</v>
      </c>
      <c r="K12" s="3" t="s">
        <v>44</v>
      </c>
      <c r="L12" s="17"/>
      <c r="M12" s="3"/>
      <c r="N12" s="13">
        <f t="shared" si="8"/>
        <v>4</v>
      </c>
      <c r="O12" s="13"/>
      <c r="P12" s="22">
        <f t="shared" si="1"/>
        <v>3265.7058797374466</v>
      </c>
      <c r="Q12" s="23">
        <f t="shared" si="2"/>
        <v>462.69747791079584</v>
      </c>
      <c r="R12" s="23">
        <f t="shared" si="3"/>
        <v>0</v>
      </c>
      <c r="S12" s="23">
        <f t="shared" si="4"/>
        <v>709.51339733489988</v>
      </c>
      <c r="T12" s="23"/>
      <c r="U12" s="23">
        <f t="shared" si="5"/>
        <v>3559.8258379627091</v>
      </c>
      <c r="V12" s="23">
        <f t="shared" si="6"/>
        <v>0</v>
      </c>
      <c r="W12" s="22">
        <f t="shared" si="7"/>
        <v>0</v>
      </c>
      <c r="X12" s="20">
        <f t="shared" si="0"/>
        <v>7997.7425929458514</v>
      </c>
      <c r="Y12" s="4"/>
      <c r="Z12" s="8"/>
      <c r="AA12" s="3"/>
      <c r="AB12" s="18" t="s">
        <v>45</v>
      </c>
      <c r="AC12" s="25">
        <f>J42</f>
        <v>871.49999999999989</v>
      </c>
      <c r="AD12" s="3" t="s">
        <v>46</v>
      </c>
      <c r="AE12" s="3"/>
      <c r="AF12" s="8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26" t="s">
        <v>47</v>
      </c>
      <c r="B13" s="3">
        <v>0</v>
      </c>
      <c r="C13" s="3" t="s">
        <v>35</v>
      </c>
      <c r="D13" s="3"/>
      <c r="E13" s="18" t="s">
        <v>27</v>
      </c>
      <c r="F13" s="16">
        <v>0.15</v>
      </c>
      <c r="G13" s="3" t="s">
        <v>48</v>
      </c>
      <c r="H13" s="17"/>
      <c r="I13" s="18" t="s">
        <v>49</v>
      </c>
      <c r="J13" s="3">
        <v>30</v>
      </c>
      <c r="K13" s="3" t="s">
        <v>50</v>
      </c>
      <c r="L13" s="17"/>
      <c r="M13" s="3"/>
      <c r="N13" s="13">
        <f t="shared" si="8"/>
        <v>5</v>
      </c>
      <c r="O13" s="13"/>
      <c r="P13" s="22">
        <f t="shared" si="1"/>
        <v>3095.4558101776747</v>
      </c>
      <c r="Q13" s="23">
        <f t="shared" si="2"/>
        <v>442.96156653071461</v>
      </c>
      <c r="R13" s="23">
        <f t="shared" si="3"/>
        <v>0</v>
      </c>
      <c r="S13" s="23">
        <f t="shared" si="4"/>
        <v>672.52454723687197</v>
      </c>
      <c r="T13" s="23"/>
      <c r="U13" s="23">
        <f t="shared" si="5"/>
        <v>0</v>
      </c>
      <c r="V13" s="23">
        <f t="shared" si="6"/>
        <v>0</v>
      </c>
      <c r="W13" s="22">
        <f t="shared" si="7"/>
        <v>0</v>
      </c>
      <c r="X13" s="20">
        <f t="shared" si="0"/>
        <v>4210.9419239452618</v>
      </c>
      <c r="Y13" s="4"/>
      <c r="Z13" s="8"/>
      <c r="AA13" s="3"/>
      <c r="AB13" s="3" t="s">
        <v>137</v>
      </c>
      <c r="AC13" s="8">
        <f>J26</f>
        <v>150</v>
      </c>
      <c r="AD13" s="3" t="s">
        <v>128</v>
      </c>
      <c r="AE13" s="3"/>
      <c r="AF13" s="8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26"/>
      <c r="B14" s="3"/>
      <c r="C14" s="3"/>
      <c r="D14" s="3"/>
      <c r="E14" s="18" t="s">
        <v>51</v>
      </c>
      <c r="F14" s="3">
        <v>1</v>
      </c>
      <c r="G14" s="3" t="s">
        <v>52</v>
      </c>
      <c r="H14" s="17"/>
      <c r="I14" s="18" t="s">
        <v>53</v>
      </c>
      <c r="J14" s="5">
        <v>20</v>
      </c>
      <c r="K14" s="3" t="s">
        <v>35</v>
      </c>
      <c r="L14" s="17"/>
      <c r="M14" s="3"/>
      <c r="N14" s="13">
        <f t="shared" si="8"/>
        <v>6</v>
      </c>
      <c r="O14" s="13"/>
      <c r="P14" s="22">
        <f t="shared" si="1"/>
        <v>0</v>
      </c>
      <c r="Q14" s="23">
        <f t="shared" si="2"/>
        <v>424.06747127584998</v>
      </c>
      <c r="R14" s="23">
        <f t="shared" si="3"/>
        <v>0</v>
      </c>
      <c r="S14" s="23">
        <f t="shared" si="4"/>
        <v>637.46402581694031</v>
      </c>
      <c r="T14" s="23"/>
      <c r="U14" s="23">
        <f t="shared" si="5"/>
        <v>0</v>
      </c>
      <c r="V14" s="23">
        <f t="shared" si="6"/>
        <v>0</v>
      </c>
      <c r="W14" s="22">
        <f t="shared" si="7"/>
        <v>0</v>
      </c>
      <c r="X14" s="20">
        <f t="shared" si="0"/>
        <v>1061.5314970927902</v>
      </c>
      <c r="Y14" s="4"/>
      <c r="Z14" s="8"/>
      <c r="AA14" s="3"/>
      <c r="AB14" s="3" t="s">
        <v>172</v>
      </c>
      <c r="AC14" s="16">
        <f>J17</f>
        <v>0.14199999999999999</v>
      </c>
      <c r="AD14" s="3" t="s">
        <v>63</v>
      </c>
      <c r="AE14" s="3"/>
      <c r="AF14" s="8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18" t="s">
        <v>54</v>
      </c>
      <c r="B15" s="3">
        <v>18.5</v>
      </c>
      <c r="C15" s="3" t="s">
        <v>35</v>
      </c>
      <c r="D15" s="3"/>
      <c r="E15" s="18" t="s">
        <v>55</v>
      </c>
      <c r="F15" s="3">
        <v>0</v>
      </c>
      <c r="G15" s="3" t="s">
        <v>48</v>
      </c>
      <c r="H15" s="17"/>
      <c r="I15" s="18" t="s">
        <v>56</v>
      </c>
      <c r="J15" s="3">
        <v>7.08</v>
      </c>
      <c r="K15" s="3" t="s">
        <v>57</v>
      </c>
      <c r="L15" s="17"/>
      <c r="M15" s="3"/>
      <c r="N15" s="13">
        <f t="shared" si="8"/>
        <v>7</v>
      </c>
      <c r="O15" s="13"/>
      <c r="P15" s="22">
        <f t="shared" si="1"/>
        <v>0</v>
      </c>
      <c r="Q15" s="23">
        <f t="shared" si="2"/>
        <v>405.97928529725925</v>
      </c>
      <c r="R15" s="23">
        <f t="shared" si="3"/>
        <v>0</v>
      </c>
      <c r="S15" s="23">
        <f t="shared" si="4"/>
        <v>604.23130409188661</v>
      </c>
      <c r="T15" s="23"/>
      <c r="U15" s="23">
        <f t="shared" si="5"/>
        <v>0</v>
      </c>
      <c r="V15" s="23">
        <f t="shared" si="6"/>
        <v>0</v>
      </c>
      <c r="W15" s="22">
        <f t="shared" si="7"/>
        <v>0</v>
      </c>
      <c r="X15" s="20">
        <f t="shared" si="0"/>
        <v>1010.2105893891459</v>
      </c>
      <c r="Y15" s="4"/>
      <c r="Z15" s="8"/>
      <c r="AA15" s="3"/>
      <c r="AB15" s="3"/>
      <c r="AC15" s="3"/>
      <c r="AD15" s="3"/>
      <c r="AE15" s="3"/>
      <c r="AF15" s="8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26" t="s">
        <v>58</v>
      </c>
      <c r="B16" s="3">
        <v>15</v>
      </c>
      <c r="C16" s="3" t="s">
        <v>35</v>
      </c>
      <c r="D16" s="3"/>
      <c r="E16" s="18" t="s">
        <v>140</v>
      </c>
      <c r="F16" s="3">
        <v>10</v>
      </c>
      <c r="G16" s="3" t="s">
        <v>59</v>
      </c>
      <c r="H16" s="17"/>
      <c r="I16" s="18" t="s">
        <v>60</v>
      </c>
      <c r="J16" s="3">
        <v>11</v>
      </c>
      <c r="K16" s="3" t="s">
        <v>57</v>
      </c>
      <c r="L16" s="17"/>
      <c r="M16" s="3"/>
      <c r="N16" s="13">
        <f t="shared" si="8"/>
        <v>8</v>
      </c>
      <c r="O16" s="13"/>
      <c r="P16" s="22">
        <f t="shared" si="1"/>
        <v>0</v>
      </c>
      <c r="Q16" s="23">
        <f t="shared" si="2"/>
        <v>388.66263331775525</v>
      </c>
      <c r="R16" s="23">
        <f t="shared" si="3"/>
        <v>0</v>
      </c>
      <c r="S16" s="23">
        <f t="shared" si="4"/>
        <v>572.73109392595882</v>
      </c>
      <c r="T16" s="23"/>
      <c r="U16" s="23">
        <f t="shared" si="5"/>
        <v>2873.5510196432883</v>
      </c>
      <c r="V16" s="23">
        <f t="shared" si="6"/>
        <v>0</v>
      </c>
      <c r="W16" s="22">
        <f t="shared" si="7"/>
        <v>0</v>
      </c>
      <c r="X16" s="20">
        <f t="shared" si="0"/>
        <v>3834.9447468870021</v>
      </c>
      <c r="Y16" s="4"/>
      <c r="Z16" s="8"/>
      <c r="AA16" s="3"/>
      <c r="AB16" s="3"/>
      <c r="AC16" s="3"/>
      <c r="AD16" s="3"/>
      <c r="AE16" s="3"/>
      <c r="AF16" s="8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</row>
    <row r="17" spans="1:51" x14ac:dyDescent="0.25">
      <c r="A17" s="26" t="s">
        <v>156</v>
      </c>
      <c r="B17" s="3">
        <v>100</v>
      </c>
      <c r="C17" s="3" t="s">
        <v>26</v>
      </c>
      <c r="D17" s="3"/>
      <c r="E17" s="18" t="s">
        <v>138</v>
      </c>
      <c r="F17" s="8"/>
      <c r="G17" s="3" t="s">
        <v>59</v>
      </c>
      <c r="H17" s="17"/>
      <c r="I17" s="18" t="s">
        <v>62</v>
      </c>
      <c r="J17" s="16">
        <v>0.14199999999999999</v>
      </c>
      <c r="K17" s="3" t="s">
        <v>63</v>
      </c>
      <c r="L17" s="17"/>
      <c r="M17" s="3"/>
      <c r="N17" s="13">
        <f t="shared" si="8"/>
        <v>9</v>
      </c>
      <c r="O17" s="13"/>
      <c r="P17" s="22">
        <f t="shared" si="1"/>
        <v>0</v>
      </c>
      <c r="Q17" s="23">
        <f t="shared" si="2"/>
        <v>372.08460630420183</v>
      </c>
      <c r="R17" s="23">
        <f t="shared" si="3"/>
        <v>0</v>
      </c>
      <c r="S17" s="23">
        <f t="shared" si="4"/>
        <v>542.87307481133541</v>
      </c>
      <c r="T17" s="23"/>
      <c r="U17" s="23">
        <f t="shared" si="5"/>
        <v>0</v>
      </c>
      <c r="V17" s="23">
        <f t="shared" si="6"/>
        <v>0</v>
      </c>
      <c r="W17" s="22">
        <f t="shared" si="7"/>
        <v>0</v>
      </c>
      <c r="X17" s="20">
        <f t="shared" si="0"/>
        <v>914.9576811155373</v>
      </c>
      <c r="Y17" s="4"/>
      <c r="Z17" s="8"/>
      <c r="AA17" s="3"/>
      <c r="AB17" s="3"/>
      <c r="AC17" s="3"/>
      <c r="AD17" s="3"/>
      <c r="AE17" s="3"/>
      <c r="AF17" s="8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</row>
    <row r="18" spans="1:5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3"/>
      <c r="J18" s="3"/>
      <c r="K18" s="3"/>
      <c r="L18" s="17"/>
      <c r="M18" s="3"/>
      <c r="N18" s="13">
        <f t="shared" si="8"/>
        <v>10</v>
      </c>
      <c r="O18" s="13"/>
      <c r="P18" s="22">
        <f t="shared" si="1"/>
        <v>0</v>
      </c>
      <c r="Q18" s="23">
        <f t="shared" si="2"/>
        <v>356.21369892629747</v>
      </c>
      <c r="R18" s="23">
        <f t="shared" si="3"/>
        <v>0</v>
      </c>
      <c r="S18" s="23">
        <f t="shared" si="4"/>
        <v>514.57163489226105</v>
      </c>
      <c r="T18" s="23"/>
      <c r="U18" s="23">
        <f t="shared" si="5"/>
        <v>0</v>
      </c>
      <c r="V18" s="23">
        <f t="shared" si="6"/>
        <v>0</v>
      </c>
      <c r="W18" s="22">
        <f t="shared" si="7"/>
        <v>-4718.9817927999293</v>
      </c>
      <c r="X18" s="20">
        <f t="shared" si="0"/>
        <v>-3848.1964589813706</v>
      </c>
      <c r="Y18" s="4"/>
      <c r="Z18" s="8"/>
      <c r="AA18" s="3"/>
      <c r="AB18" s="3"/>
      <c r="AC18" s="3"/>
      <c r="AD18" s="3"/>
      <c r="AE18" s="3"/>
      <c r="AF18" s="8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</row>
    <row r="19" spans="1:51" x14ac:dyDescent="0.25">
      <c r="A19" s="26" t="s">
        <v>64</v>
      </c>
      <c r="B19" s="27">
        <f>4%*J8</f>
        <v>629.36774193548399</v>
      </c>
      <c r="C19" s="3" t="s">
        <v>26</v>
      </c>
      <c r="D19" s="3"/>
      <c r="E19" s="18"/>
      <c r="F19" s="3"/>
      <c r="G19" s="3"/>
      <c r="H19" s="17"/>
      <c r="I19" s="1" t="s">
        <v>67</v>
      </c>
      <c r="J19" s="3"/>
      <c r="K19" s="3"/>
      <c r="L19" s="17"/>
      <c r="M19" s="3"/>
      <c r="N19" s="13">
        <f t="shared" si="8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>
        <f t="shared" si="4"/>
        <v>0</v>
      </c>
      <c r="T19" s="23"/>
      <c r="U19" s="23">
        <f t="shared" si="5"/>
        <v>0</v>
      </c>
      <c r="V19" s="23">
        <f t="shared" si="6"/>
        <v>0</v>
      </c>
      <c r="W19" s="22">
        <f t="shared" ref="W19:W48" si="9">IF(N19=$B$5,((((1-$J$15/100)^N19)*$B$52+((1-$J$16/100)^N19)*$B$48)/((1+($F$11/100))^N19))*-1,0)</f>
        <v>0</v>
      </c>
      <c r="X19" s="20">
        <f t="shared" si="0"/>
        <v>0</v>
      </c>
      <c r="Y19" s="4"/>
      <c r="Z19" s="8"/>
      <c r="AA19" s="3"/>
      <c r="AB19" s="3"/>
      <c r="AC19" s="3"/>
      <c r="AD19" s="3"/>
      <c r="AE19" s="3"/>
      <c r="AF19" s="8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</row>
    <row r="20" spans="1:51" x14ac:dyDescent="0.25">
      <c r="A20" s="3" t="s">
        <v>65</v>
      </c>
      <c r="B20" s="3">
        <v>5</v>
      </c>
      <c r="C20" s="3" t="s">
        <v>26</v>
      </c>
      <c r="D20" s="3"/>
      <c r="E20" s="18"/>
      <c r="F20" s="8"/>
      <c r="G20" s="3"/>
      <c r="H20" s="17"/>
      <c r="I20" s="18" t="s">
        <v>73</v>
      </c>
      <c r="J20" s="3">
        <v>5</v>
      </c>
      <c r="K20" s="3" t="s">
        <v>50</v>
      </c>
      <c r="L20" s="17"/>
      <c r="M20" s="3"/>
      <c r="N20" s="13">
        <f t="shared" si="8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>
        <f t="shared" si="4"/>
        <v>0</v>
      </c>
      <c r="T20" s="23"/>
      <c r="U20" s="23">
        <f t="shared" si="5"/>
        <v>0</v>
      </c>
      <c r="V20" s="23">
        <f t="shared" si="6"/>
        <v>0</v>
      </c>
      <c r="W20" s="22">
        <f t="shared" si="9"/>
        <v>0</v>
      </c>
      <c r="X20" s="20">
        <f t="shared" si="0"/>
        <v>0</v>
      </c>
      <c r="Y20" s="4"/>
      <c r="Z20" s="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</row>
    <row r="21" spans="1:51" ht="15.75" customHeight="1" x14ac:dyDescent="0.25">
      <c r="A21" s="26"/>
      <c r="B21" s="3"/>
      <c r="C21" s="3"/>
      <c r="D21" s="3"/>
      <c r="E21" s="18" t="s">
        <v>66</v>
      </c>
      <c r="F21" s="8"/>
      <c r="G21" s="3"/>
      <c r="H21" s="17"/>
      <c r="I21" s="18" t="s">
        <v>76</v>
      </c>
      <c r="J21" s="3">
        <v>30</v>
      </c>
      <c r="K21" s="3" t="s">
        <v>77</v>
      </c>
      <c r="L21" s="17"/>
      <c r="M21" s="3"/>
      <c r="N21" s="13">
        <f t="shared" si="8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>
        <f t="shared" si="4"/>
        <v>0</v>
      </c>
      <c r="T21" s="23"/>
      <c r="U21" s="23">
        <f t="shared" si="5"/>
        <v>0</v>
      </c>
      <c r="V21" s="23">
        <f t="shared" si="6"/>
        <v>0</v>
      </c>
      <c r="W21" s="22">
        <f t="shared" si="9"/>
        <v>0</v>
      </c>
      <c r="X21" s="20">
        <f t="shared" si="0"/>
        <v>0</v>
      </c>
      <c r="Y21" s="4"/>
      <c r="Z21" s="8"/>
      <c r="AA21" s="3"/>
      <c r="AB21" s="28" t="s">
        <v>27</v>
      </c>
      <c r="AC21" s="29"/>
      <c r="AD21" s="29"/>
      <c r="AE21" s="29"/>
      <c r="AF21" s="3"/>
      <c r="AG21" s="28" t="s">
        <v>25</v>
      </c>
      <c r="AH21" s="29"/>
      <c r="AI21" s="29"/>
      <c r="AJ21" s="29"/>
      <c r="AK21" s="3"/>
      <c r="AL21" s="81" t="s">
        <v>160</v>
      </c>
      <c r="AM21" s="81" t="s">
        <v>162</v>
      </c>
      <c r="AN21" s="81" t="s">
        <v>163</v>
      </c>
      <c r="AO21" s="81" t="s">
        <v>30</v>
      </c>
      <c r="AP21" s="81" t="s">
        <v>164</v>
      </c>
      <c r="AQ21" s="81" t="s">
        <v>165</v>
      </c>
      <c r="AR21" s="86" t="str">
        <f>AB66</f>
        <v>Energy Efficiency</v>
      </c>
      <c r="AS21" s="3"/>
      <c r="AT21" s="3"/>
      <c r="AU21" s="3"/>
      <c r="AV21" s="3"/>
      <c r="AW21" s="3"/>
      <c r="AX21" s="3"/>
      <c r="AY21" s="3"/>
    </row>
    <row r="22" spans="1:51" ht="15.75" customHeight="1" x14ac:dyDescent="0.25">
      <c r="A22" s="26"/>
      <c r="B22" s="3"/>
      <c r="C22" s="3"/>
      <c r="D22" s="3"/>
      <c r="E22" s="18" t="s">
        <v>45</v>
      </c>
      <c r="F22" s="27">
        <v>3.3366E-2</v>
      </c>
      <c r="G22" s="3" t="s">
        <v>121</v>
      </c>
      <c r="H22" s="17"/>
      <c r="I22" s="65"/>
      <c r="J22" s="65"/>
      <c r="K22" s="65"/>
      <c r="L22" s="17"/>
      <c r="M22" s="3"/>
      <c r="N22" s="13">
        <f t="shared" si="8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>
        <f t="shared" si="4"/>
        <v>0</v>
      </c>
      <c r="T22" s="23"/>
      <c r="U22" s="23">
        <f t="shared" si="5"/>
        <v>0</v>
      </c>
      <c r="V22" s="23">
        <f t="shared" si="6"/>
        <v>0</v>
      </c>
      <c r="W22" s="22">
        <f t="shared" si="9"/>
        <v>0</v>
      </c>
      <c r="X22" s="20">
        <f t="shared" si="0"/>
        <v>0</v>
      </c>
      <c r="Y22" s="4"/>
      <c r="Z22" s="8"/>
      <c r="AA22" s="3"/>
      <c r="AB22" s="29" t="s">
        <v>68</v>
      </c>
      <c r="AC22" s="29" t="s">
        <v>69</v>
      </c>
      <c r="AD22" s="29" t="s">
        <v>21</v>
      </c>
      <c r="AE22" s="29" t="s">
        <v>70</v>
      </c>
      <c r="AF22" s="3"/>
      <c r="AG22" s="29" t="s">
        <v>68</v>
      </c>
      <c r="AH22" s="29" t="s">
        <v>71</v>
      </c>
      <c r="AI22" s="29" t="s">
        <v>21</v>
      </c>
      <c r="AJ22" s="29" t="s">
        <v>70</v>
      </c>
      <c r="AK22" s="3"/>
      <c r="AL22" s="82">
        <v>-50</v>
      </c>
      <c r="AM22" s="83">
        <f>AJ24</f>
        <v>-32.726039751773115</v>
      </c>
      <c r="AN22" s="83">
        <f>AE24</f>
        <v>-5.9377080242779812</v>
      </c>
      <c r="AO22" s="84">
        <f t="shared" ref="AO22:AO32" si="10">AE39</f>
        <v>-7.4191609027127861</v>
      </c>
      <c r="AP22" s="84">
        <f t="shared" ref="AP22:AP32" si="11">AJ39</f>
        <v>-24.952204623364576</v>
      </c>
      <c r="AQ22" s="84">
        <f>AE54</f>
        <v>-8.9293885242646418</v>
      </c>
      <c r="AR22" s="34">
        <f>AE69</f>
        <v>5.9377080242780211</v>
      </c>
      <c r="AS22" s="3"/>
      <c r="AT22" s="3"/>
      <c r="AU22" s="3"/>
      <c r="AV22" s="3"/>
      <c r="AW22" s="3"/>
      <c r="AX22" s="3"/>
      <c r="AY22" s="3"/>
    </row>
    <row r="23" spans="1:51" ht="15.75" customHeight="1" x14ac:dyDescent="0.25">
      <c r="A23" s="3"/>
      <c r="B23" s="3"/>
      <c r="C23" s="3"/>
      <c r="D23" s="3"/>
      <c r="E23" s="18" t="s">
        <v>72</v>
      </c>
      <c r="F23" s="3">
        <v>5.5</v>
      </c>
      <c r="G23" s="3" t="s">
        <v>57</v>
      </c>
      <c r="H23" s="17"/>
      <c r="I23" s="59" t="s">
        <v>123</v>
      </c>
      <c r="J23" s="60"/>
      <c r="K23" s="60"/>
      <c r="L23" s="61"/>
      <c r="M23" s="3"/>
      <c r="N23" s="13">
        <f t="shared" si="8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>
        <f t="shared" si="4"/>
        <v>0</v>
      </c>
      <c r="T23" s="23"/>
      <c r="U23" s="23">
        <f t="shared" si="5"/>
        <v>0</v>
      </c>
      <c r="V23" s="23">
        <f t="shared" si="6"/>
        <v>0</v>
      </c>
      <c r="W23" s="22">
        <f t="shared" si="9"/>
        <v>0</v>
      </c>
      <c r="X23" s="20">
        <f t="shared" si="0"/>
        <v>0</v>
      </c>
      <c r="Y23" s="4"/>
      <c r="Z23" s="8"/>
      <c r="AA23" s="3"/>
      <c r="AB23" s="29" t="s">
        <v>74</v>
      </c>
      <c r="AC23" s="30">
        <v>0.11194029850746268</v>
      </c>
      <c r="AD23" s="31">
        <f>X49</f>
        <v>36783.26288392883</v>
      </c>
      <c r="AE23" s="29"/>
      <c r="AF23" s="3"/>
      <c r="AG23" s="29" t="s">
        <v>74</v>
      </c>
      <c r="AH23" s="32">
        <v>22664.632747953779</v>
      </c>
      <c r="AI23" s="31">
        <f>X49</f>
        <v>36783.26288392883</v>
      </c>
      <c r="AJ23" s="29"/>
      <c r="AK23" s="3"/>
      <c r="AL23" s="82">
        <v>-40</v>
      </c>
      <c r="AM23" s="83">
        <f>AJ25</f>
        <v>-26.180831801418471</v>
      </c>
      <c r="AN23" s="83">
        <f t="shared" ref="AN23:AN32" si="12">AE25</f>
        <v>-4.750166419422432</v>
      </c>
      <c r="AO23" s="84">
        <f t="shared" si="10"/>
        <v>-5.9353287221702171</v>
      </c>
      <c r="AP23" s="84">
        <f t="shared" si="11"/>
        <v>-21.141852265113862</v>
      </c>
      <c r="AQ23" s="84">
        <f t="shared" ref="AQ23:AQ32" si="13">AE55</f>
        <v>-7.1435108194117092</v>
      </c>
      <c r="AR23" s="34">
        <f t="shared" ref="AR23:AR32" si="14">AE70</f>
        <v>4.750166419422432</v>
      </c>
      <c r="AS23" s="27"/>
      <c r="AT23" s="27"/>
      <c r="AU23" s="27"/>
      <c r="AV23" s="27"/>
      <c r="AW23" s="27"/>
      <c r="AX23" s="27"/>
      <c r="AY23" s="27"/>
    </row>
    <row r="24" spans="1:51" ht="15.75" customHeight="1" x14ac:dyDescent="0.25">
      <c r="A24" s="15"/>
      <c r="B24" s="3"/>
      <c r="C24" s="3"/>
      <c r="D24" s="3"/>
      <c r="E24" s="3"/>
      <c r="F24" s="5"/>
      <c r="G24" s="3"/>
      <c r="H24" s="17"/>
      <c r="I24" s="60" t="s">
        <v>124</v>
      </c>
      <c r="J24" s="62" t="s">
        <v>122</v>
      </c>
      <c r="K24" s="60"/>
      <c r="L24" s="61"/>
      <c r="M24" s="3"/>
      <c r="N24" s="13">
        <f t="shared" si="8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>
        <f t="shared" si="4"/>
        <v>0</v>
      </c>
      <c r="T24" s="23"/>
      <c r="U24" s="23">
        <f t="shared" si="5"/>
        <v>0</v>
      </c>
      <c r="V24" s="23">
        <f t="shared" si="6"/>
        <v>0</v>
      </c>
      <c r="W24" s="22">
        <f t="shared" si="9"/>
        <v>0</v>
      </c>
      <c r="X24" s="20">
        <f t="shared" si="0"/>
        <v>0</v>
      </c>
      <c r="Y24" s="4"/>
      <c r="Z24" s="8"/>
      <c r="AA24" s="3"/>
      <c r="AB24" s="29">
        <f t="shared" ref="AB24:AB28" si="15">AB25-10</f>
        <v>-50</v>
      </c>
      <c r="AC24" s="30">
        <f t="shared" ref="AC24:AC34" si="16">$AC$23*(1+(AB24/100))</f>
        <v>5.5970149253731338E-2</v>
      </c>
      <c r="AD24" s="31">
        <f t="dataTable" ref="AD24:AD34" dt2D="0" dtr="0" r1="F36"/>
        <v>34599.180132078523</v>
      </c>
      <c r="AE24" s="33">
        <f t="shared" ref="AE24:AE34" si="17">100*((AD24-$AD$29)/$AD$29)</f>
        <v>-5.9377080242779812</v>
      </c>
      <c r="AF24" s="3"/>
      <c r="AG24" s="29">
        <f t="shared" ref="AG24:AG28" si="18">AG25-10</f>
        <v>-50</v>
      </c>
      <c r="AH24" s="32">
        <f t="shared" ref="AH24:AH34" si="19">$AH$23*(1+(AG24/100))</f>
        <v>11332.31637397689</v>
      </c>
      <c r="AI24" s="31">
        <f t="dataTable" ref="AI24:AI34" dt2D="0" dtr="0" r1="B52" ca="1"/>
        <v>24745.557650535076</v>
      </c>
      <c r="AJ24" s="33">
        <f t="shared" ref="AJ24:AJ34" si="20">100*((AI24-$AI$29)/$AI$29)</f>
        <v>-32.726039751773115</v>
      </c>
      <c r="AK24" s="3"/>
      <c r="AL24" s="82">
        <v>-30</v>
      </c>
      <c r="AM24" s="83">
        <f t="shared" ref="AM24:AM32" si="21">AJ26</f>
        <v>-19.635623851063865</v>
      </c>
      <c r="AN24" s="83">
        <f t="shared" si="12"/>
        <v>-3.5626248145668047</v>
      </c>
      <c r="AO24" s="84">
        <f t="shared" si="10"/>
        <v>-4.4514965416276873</v>
      </c>
      <c r="AP24" s="84">
        <f t="shared" si="11"/>
        <v>-17.715134947447329</v>
      </c>
      <c r="AQ24" s="84">
        <f t="shared" si="13"/>
        <v>-5.357633114558757</v>
      </c>
      <c r="AR24" s="34">
        <f t="shared" si="14"/>
        <v>3.5626248145668638</v>
      </c>
      <c r="AS24" s="27"/>
      <c r="AT24" s="27"/>
      <c r="AU24" s="27"/>
      <c r="AV24" s="27"/>
      <c r="AW24" s="27"/>
      <c r="AX24" s="27"/>
      <c r="AY24" s="27"/>
    </row>
    <row r="25" spans="1:51" ht="15.75" customHeight="1" x14ac:dyDescent="0.25">
      <c r="A25" s="15"/>
      <c r="B25" s="3"/>
      <c r="C25" s="3"/>
      <c r="D25" s="3"/>
      <c r="E25" s="3"/>
      <c r="F25" s="3"/>
      <c r="G25" s="3"/>
      <c r="H25" s="17"/>
      <c r="I25" s="63" t="s">
        <v>125</v>
      </c>
      <c r="J25" s="63">
        <v>1.3</v>
      </c>
      <c r="K25" s="63" t="s">
        <v>126</v>
      </c>
      <c r="L25" s="61"/>
      <c r="M25" s="3"/>
      <c r="N25" s="13">
        <f t="shared" si="8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>
        <f t="shared" si="4"/>
        <v>0</v>
      </c>
      <c r="T25" s="23"/>
      <c r="U25" s="23">
        <f t="shared" si="5"/>
        <v>0</v>
      </c>
      <c r="V25" s="23">
        <f t="shared" si="6"/>
        <v>0</v>
      </c>
      <c r="W25" s="22">
        <f t="shared" si="9"/>
        <v>0</v>
      </c>
      <c r="X25" s="20">
        <f t="shared" si="0"/>
        <v>0</v>
      </c>
      <c r="Y25" s="4"/>
      <c r="Z25" s="8"/>
      <c r="AA25" s="3"/>
      <c r="AB25" s="29">
        <f t="shared" si="15"/>
        <v>-40</v>
      </c>
      <c r="AC25" s="30">
        <f t="shared" si="16"/>
        <v>6.7164179104477598E-2</v>
      </c>
      <c r="AD25" s="31">
        <v>35035.996682448567</v>
      </c>
      <c r="AE25" s="33">
        <f t="shared" si="17"/>
        <v>-4.750166419422432</v>
      </c>
      <c r="AF25" s="3"/>
      <c r="AG25" s="29">
        <f t="shared" si="18"/>
        <v>-40</v>
      </c>
      <c r="AH25" s="32">
        <f t="shared" si="19"/>
        <v>13598.779648772268</v>
      </c>
      <c r="AI25" s="31">
        <v>27153.098697213834</v>
      </c>
      <c r="AJ25" s="33">
        <f t="shared" si="20"/>
        <v>-26.180831801418471</v>
      </c>
      <c r="AK25" s="3"/>
      <c r="AL25" s="82">
        <v>-20</v>
      </c>
      <c r="AM25" s="83">
        <f t="shared" si="21"/>
        <v>-13.090415900709246</v>
      </c>
      <c r="AN25" s="83">
        <f t="shared" si="12"/>
        <v>-2.375083209711216</v>
      </c>
      <c r="AO25" s="84">
        <f t="shared" si="10"/>
        <v>-2.9676643610850988</v>
      </c>
      <c r="AP25" s="84">
        <f t="shared" si="11"/>
        <v>-7.2446721025370229</v>
      </c>
      <c r="AQ25" s="84">
        <f t="shared" si="13"/>
        <v>-3.5717554097058448</v>
      </c>
      <c r="AR25" s="34">
        <f t="shared" si="14"/>
        <v>2.375083209711236</v>
      </c>
      <c r="AS25" s="27"/>
      <c r="AT25" s="27"/>
      <c r="AU25" s="27"/>
      <c r="AV25" s="27"/>
      <c r="AW25" s="27"/>
      <c r="AX25" s="27"/>
      <c r="AY25" s="27"/>
    </row>
    <row r="26" spans="1:5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 t="s">
        <v>127</v>
      </c>
      <c r="J26" s="64">
        <f>J12/2</f>
        <v>150</v>
      </c>
      <c r="K26" s="36" t="s">
        <v>128</v>
      </c>
      <c r="L26" s="37"/>
      <c r="M26" s="3"/>
      <c r="N26" s="13">
        <f t="shared" si="8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>
        <f t="shared" si="4"/>
        <v>0</v>
      </c>
      <c r="T26" s="23"/>
      <c r="U26" s="23">
        <f t="shared" si="5"/>
        <v>0</v>
      </c>
      <c r="V26" s="23">
        <f t="shared" si="6"/>
        <v>0</v>
      </c>
      <c r="W26" s="22">
        <f t="shared" si="9"/>
        <v>0</v>
      </c>
      <c r="X26" s="20">
        <f t="shared" si="0"/>
        <v>0</v>
      </c>
      <c r="Y26" s="4"/>
      <c r="Z26" s="8"/>
      <c r="AA26" s="3"/>
      <c r="AB26" s="29">
        <f t="shared" si="15"/>
        <v>-30</v>
      </c>
      <c r="AC26" s="30">
        <f t="shared" si="16"/>
        <v>7.8358208955223871E-2</v>
      </c>
      <c r="AD26" s="31">
        <v>35472.81323281864</v>
      </c>
      <c r="AE26" s="33">
        <f t="shared" si="17"/>
        <v>-3.5626248145668047</v>
      </c>
      <c r="AF26" s="3"/>
      <c r="AG26" s="29">
        <f t="shared" si="18"/>
        <v>-30</v>
      </c>
      <c r="AH26" s="32">
        <f t="shared" si="19"/>
        <v>15865.242923567645</v>
      </c>
      <c r="AI26" s="31">
        <v>29560.639743892578</v>
      </c>
      <c r="AJ26" s="33">
        <f t="shared" si="20"/>
        <v>-19.635623851063865</v>
      </c>
      <c r="AK26" s="3"/>
      <c r="AL26" s="82">
        <v>-10</v>
      </c>
      <c r="AM26" s="83">
        <f t="shared" si="21"/>
        <v>-6.5452079503546017</v>
      </c>
      <c r="AN26" s="83">
        <f t="shared" si="12"/>
        <v>-1.187541604855608</v>
      </c>
      <c r="AO26" s="84">
        <f t="shared" si="10"/>
        <v>-1.4838321805425692</v>
      </c>
      <c r="AP26" s="84">
        <f t="shared" si="11"/>
        <v>-4.271252792828462</v>
      </c>
      <c r="AQ26" s="84">
        <f t="shared" si="13"/>
        <v>-1.7858777048529124</v>
      </c>
      <c r="AR26" s="34">
        <f t="shared" si="14"/>
        <v>1.1875416048556278</v>
      </c>
      <c r="AS26" s="27"/>
      <c r="AT26" s="27"/>
      <c r="AU26" s="27"/>
      <c r="AV26" s="27"/>
      <c r="AW26" s="27"/>
      <c r="AX26" s="27"/>
      <c r="AY26" s="27"/>
    </row>
    <row r="27" spans="1:5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8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>
        <f t="shared" si="4"/>
        <v>0</v>
      </c>
      <c r="T27" s="23"/>
      <c r="U27" s="23">
        <f t="shared" si="5"/>
        <v>0</v>
      </c>
      <c r="V27" s="23">
        <f t="shared" si="6"/>
        <v>0</v>
      </c>
      <c r="W27" s="22">
        <f t="shared" si="9"/>
        <v>0</v>
      </c>
      <c r="X27" s="20">
        <f t="shared" si="0"/>
        <v>0</v>
      </c>
      <c r="Y27" s="4"/>
      <c r="Z27" s="8"/>
      <c r="AA27" s="3"/>
      <c r="AB27" s="29">
        <f t="shared" si="15"/>
        <v>-20</v>
      </c>
      <c r="AC27" s="30">
        <f t="shared" si="16"/>
        <v>8.9552238805970144E-2</v>
      </c>
      <c r="AD27" s="31">
        <v>35909.629783188699</v>
      </c>
      <c r="AE27" s="33">
        <f t="shared" si="17"/>
        <v>-2.375083209711216</v>
      </c>
      <c r="AF27" s="3"/>
      <c r="AG27" s="29">
        <f t="shared" si="18"/>
        <v>-20</v>
      </c>
      <c r="AH27" s="32">
        <f t="shared" si="19"/>
        <v>18131.706198363023</v>
      </c>
      <c r="AI27" s="31">
        <v>31968.180790571329</v>
      </c>
      <c r="AJ27" s="33">
        <f t="shared" si="20"/>
        <v>-13.090415900709246</v>
      </c>
      <c r="AK27" s="3"/>
      <c r="AL27" s="82">
        <v>0</v>
      </c>
      <c r="AM27" s="83">
        <f t="shared" si="21"/>
        <v>0</v>
      </c>
      <c r="AN27" s="83">
        <f t="shared" si="12"/>
        <v>0</v>
      </c>
      <c r="AO27" s="84">
        <f t="shared" si="10"/>
        <v>0</v>
      </c>
      <c r="AP27" s="84">
        <f t="shared" si="11"/>
        <v>0</v>
      </c>
      <c r="AQ27" s="84">
        <f t="shared" si="13"/>
        <v>0</v>
      </c>
      <c r="AR27" s="34">
        <f t="shared" si="14"/>
        <v>0</v>
      </c>
      <c r="AS27" s="27"/>
      <c r="AT27" s="27"/>
      <c r="AU27" s="27"/>
      <c r="AV27" s="27"/>
      <c r="AW27" s="27"/>
      <c r="AX27" s="27"/>
      <c r="AY27" s="27"/>
    </row>
    <row r="28" spans="1:5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8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>
        <f t="shared" si="4"/>
        <v>0</v>
      </c>
      <c r="T28" s="23"/>
      <c r="U28" s="23">
        <f t="shared" si="5"/>
        <v>0</v>
      </c>
      <c r="V28" s="23">
        <f t="shared" si="6"/>
        <v>0</v>
      </c>
      <c r="W28" s="22">
        <f t="shared" si="9"/>
        <v>0</v>
      </c>
      <c r="X28" s="20">
        <f t="shared" si="0"/>
        <v>0</v>
      </c>
      <c r="Y28" s="4"/>
      <c r="Z28" s="8"/>
      <c r="AA28" s="3"/>
      <c r="AB28" s="29">
        <f t="shared" si="15"/>
        <v>-10</v>
      </c>
      <c r="AC28" s="30">
        <f t="shared" si="16"/>
        <v>0.10074626865671642</v>
      </c>
      <c r="AD28" s="31">
        <v>36346.446333558764</v>
      </c>
      <c r="AE28" s="33">
        <f t="shared" si="17"/>
        <v>-1.187541604855608</v>
      </c>
      <c r="AF28" s="3"/>
      <c r="AG28" s="29">
        <f t="shared" si="18"/>
        <v>-10</v>
      </c>
      <c r="AH28" s="32">
        <f t="shared" si="19"/>
        <v>20398.169473158403</v>
      </c>
      <c r="AI28" s="31">
        <v>34375.721837250087</v>
      </c>
      <c r="AJ28" s="33">
        <f t="shared" si="20"/>
        <v>-6.5452079503546017</v>
      </c>
      <c r="AK28" s="3"/>
      <c r="AL28" s="82">
        <v>10</v>
      </c>
      <c r="AM28" s="83">
        <f t="shared" si="21"/>
        <v>6.5452079503546425</v>
      </c>
      <c r="AN28" s="83">
        <f t="shared" si="12"/>
        <v>1.1875416048556278</v>
      </c>
      <c r="AO28" s="84">
        <f t="shared" si="10"/>
        <v>1.4838321805425494</v>
      </c>
      <c r="AP28" s="84">
        <f t="shared" si="11"/>
        <v>2.9734193097085604</v>
      </c>
      <c r="AQ28" s="84">
        <f t="shared" si="13"/>
        <v>1.7858777048529519</v>
      </c>
      <c r="AR28" s="34">
        <f t="shared" si="14"/>
        <v>-1.187541604855608</v>
      </c>
      <c r="AS28" s="27"/>
      <c r="AT28" s="27"/>
      <c r="AU28" s="27"/>
      <c r="AV28" s="27"/>
      <c r="AW28" s="27"/>
      <c r="AX28" s="27"/>
      <c r="AY28" s="27"/>
    </row>
    <row r="29" spans="1:5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8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>
        <f t="shared" si="4"/>
        <v>0</v>
      </c>
      <c r="T29" s="23"/>
      <c r="U29" s="23">
        <f t="shared" si="5"/>
        <v>0</v>
      </c>
      <c r="V29" s="23">
        <f t="shared" si="6"/>
        <v>0</v>
      </c>
      <c r="W29" s="22">
        <f t="shared" si="9"/>
        <v>0</v>
      </c>
      <c r="X29" s="20">
        <f t="shared" si="0"/>
        <v>0</v>
      </c>
      <c r="Y29" s="4"/>
      <c r="Z29" s="8"/>
      <c r="AA29" s="3"/>
      <c r="AB29" s="38">
        <v>0</v>
      </c>
      <c r="AC29" s="50">
        <f t="shared" si="16"/>
        <v>0.11194029850746268</v>
      </c>
      <c r="AD29" s="39">
        <v>36783.26288392883</v>
      </c>
      <c r="AE29" s="51">
        <f t="shared" si="17"/>
        <v>0</v>
      </c>
      <c r="AF29" s="3"/>
      <c r="AG29" s="38">
        <v>0</v>
      </c>
      <c r="AH29" s="44">
        <f t="shared" si="19"/>
        <v>22664.632747953779</v>
      </c>
      <c r="AI29" s="39">
        <v>36783.26288392883</v>
      </c>
      <c r="AJ29" s="51">
        <f t="shared" si="20"/>
        <v>0</v>
      </c>
      <c r="AK29" s="3"/>
      <c r="AL29" s="82">
        <v>20</v>
      </c>
      <c r="AM29" s="83">
        <f t="shared" si="21"/>
        <v>13.090415900709246</v>
      </c>
      <c r="AN29" s="83">
        <f t="shared" si="12"/>
        <v>2.375083209711236</v>
      </c>
      <c r="AO29" s="84">
        <f t="shared" si="10"/>
        <v>2.9676643610851183</v>
      </c>
      <c r="AP29" s="84">
        <f t="shared" si="11"/>
        <v>14.766933176108887</v>
      </c>
      <c r="AQ29" s="84">
        <f t="shared" si="13"/>
        <v>3.5717554097058644</v>
      </c>
      <c r="AR29" s="34">
        <f t="shared" si="14"/>
        <v>-2.375083209711216</v>
      </c>
      <c r="AS29" s="27"/>
      <c r="AT29" s="27"/>
      <c r="AU29" s="27"/>
      <c r="AV29" s="27"/>
      <c r="AW29" s="27"/>
      <c r="AX29" s="27"/>
      <c r="AY29" s="27"/>
    </row>
    <row r="30" spans="1:5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 t="s">
        <v>81</v>
      </c>
      <c r="J30" s="40"/>
      <c r="K30" s="10"/>
      <c r="L30" s="11"/>
      <c r="M30" s="3"/>
      <c r="N30" s="13">
        <f t="shared" si="8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>
        <f t="shared" si="4"/>
        <v>0</v>
      </c>
      <c r="T30" s="23"/>
      <c r="U30" s="23">
        <f t="shared" si="5"/>
        <v>0</v>
      </c>
      <c r="V30" s="23">
        <f t="shared" si="6"/>
        <v>0</v>
      </c>
      <c r="W30" s="22">
        <f t="shared" si="9"/>
        <v>0</v>
      </c>
      <c r="X30" s="20">
        <f t="shared" si="0"/>
        <v>0</v>
      </c>
      <c r="Y30" s="4"/>
      <c r="Z30" s="8"/>
      <c r="AA30" s="3"/>
      <c r="AB30" s="29">
        <f t="shared" ref="AB30:AB34" si="22">AB29+10</f>
        <v>10</v>
      </c>
      <c r="AC30" s="30">
        <f t="shared" si="16"/>
        <v>0.12313432835820895</v>
      </c>
      <c r="AD30" s="31">
        <v>37220.079434298903</v>
      </c>
      <c r="AE30" s="33">
        <f t="shared" si="17"/>
        <v>1.1875416048556278</v>
      </c>
      <c r="AF30" s="3"/>
      <c r="AG30" s="29">
        <f t="shared" ref="AG30:AG34" si="23">AG29+10</f>
        <v>10</v>
      </c>
      <c r="AH30" s="32">
        <f t="shared" si="19"/>
        <v>24931.09602274916</v>
      </c>
      <c r="AI30" s="31">
        <v>39190.803930607588</v>
      </c>
      <c r="AJ30" s="33">
        <f t="shared" si="20"/>
        <v>6.5452079503546425</v>
      </c>
      <c r="AK30" s="3"/>
      <c r="AL30" s="82">
        <v>30</v>
      </c>
      <c r="AM30" s="83">
        <f t="shared" si="21"/>
        <v>19.635623851063887</v>
      </c>
      <c r="AN30" s="83">
        <f t="shared" si="12"/>
        <v>3.5626248145668638</v>
      </c>
      <c r="AO30" s="84">
        <f t="shared" si="10"/>
        <v>4.4514965416276473</v>
      </c>
      <c r="AP30" s="84">
        <f t="shared" si="11"/>
        <v>17.740352485817429</v>
      </c>
      <c r="AQ30" s="84">
        <f t="shared" si="13"/>
        <v>5.357633114558797</v>
      </c>
      <c r="AR30" s="34">
        <f t="shared" si="14"/>
        <v>-3.5626248145668047</v>
      </c>
      <c r="AS30" s="27"/>
      <c r="AT30" s="27"/>
      <c r="AU30" s="27"/>
      <c r="AV30" s="27"/>
      <c r="AW30" s="27"/>
      <c r="AX30" s="27"/>
      <c r="AY30" s="27"/>
    </row>
    <row r="31" spans="1:51" ht="15.75" customHeight="1" x14ac:dyDescent="0.25">
      <c r="A31" s="26" t="s">
        <v>151</v>
      </c>
      <c r="B31" s="8">
        <f t="shared" ref="B31:B32" si="24">IF(B11=0,0,-(B11/100)*$B$50)</f>
        <v>0</v>
      </c>
      <c r="C31" s="3" t="s">
        <v>3</v>
      </c>
      <c r="D31" s="3"/>
      <c r="E31" s="18" t="s">
        <v>82</v>
      </c>
      <c r="F31" s="25">
        <f>(J21/100)*B52</f>
        <v>6799.389824386134</v>
      </c>
      <c r="G31" s="3" t="s">
        <v>3</v>
      </c>
      <c r="H31" s="3"/>
      <c r="I31" s="18" t="s">
        <v>83</v>
      </c>
      <c r="J31" s="27">
        <f>ROUNDDOWN(J11/(F12/J12),0)</f>
        <v>4</v>
      </c>
      <c r="K31" s="3" t="s">
        <v>50</v>
      </c>
      <c r="L31" s="17"/>
      <c r="M31" s="3"/>
      <c r="N31" s="13">
        <f t="shared" si="8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>
        <f t="shared" si="4"/>
        <v>0</v>
      </c>
      <c r="T31" s="23"/>
      <c r="U31" s="23">
        <f t="shared" si="5"/>
        <v>0</v>
      </c>
      <c r="V31" s="23">
        <f t="shared" si="6"/>
        <v>0</v>
      </c>
      <c r="W31" s="22">
        <f t="shared" si="9"/>
        <v>0</v>
      </c>
      <c r="X31" s="20">
        <f t="shared" si="0"/>
        <v>0</v>
      </c>
      <c r="Y31" s="4"/>
      <c r="Z31" s="8"/>
      <c r="AA31" s="3"/>
      <c r="AB31" s="29">
        <f t="shared" si="22"/>
        <v>20</v>
      </c>
      <c r="AC31" s="30">
        <f t="shared" si="16"/>
        <v>0.1343283582089552</v>
      </c>
      <c r="AD31" s="31">
        <v>37656.895984668969</v>
      </c>
      <c r="AE31" s="33">
        <f t="shared" si="17"/>
        <v>2.375083209711236</v>
      </c>
      <c r="AF31" s="3"/>
      <c r="AG31" s="29">
        <f t="shared" si="23"/>
        <v>20</v>
      </c>
      <c r="AH31" s="32">
        <f t="shared" si="19"/>
        <v>27197.559297544536</v>
      </c>
      <c r="AI31" s="31">
        <v>41598.344977286331</v>
      </c>
      <c r="AJ31" s="33">
        <f t="shared" si="20"/>
        <v>13.090415900709246</v>
      </c>
      <c r="AK31" s="3"/>
      <c r="AL31" s="82">
        <v>40</v>
      </c>
      <c r="AM31" s="83">
        <f t="shared" si="21"/>
        <v>26.180831801418492</v>
      </c>
      <c r="AN31" s="83">
        <f t="shared" si="12"/>
        <v>4.750166419422432</v>
      </c>
      <c r="AO31" s="84">
        <f t="shared" si="10"/>
        <v>5.9353287221702367</v>
      </c>
      <c r="AP31" s="84">
        <f t="shared" si="11"/>
        <v>20.713771795526011</v>
      </c>
      <c r="AQ31" s="84">
        <f t="shared" si="13"/>
        <v>7.1435108194117287</v>
      </c>
      <c r="AR31" s="34">
        <f t="shared" si="14"/>
        <v>-4.750166419422432</v>
      </c>
      <c r="AS31" s="27"/>
      <c r="AT31" s="27"/>
      <c r="AU31" s="27"/>
      <c r="AV31" s="27"/>
      <c r="AW31" s="27"/>
      <c r="AX31" s="27"/>
      <c r="AY31" s="27"/>
    </row>
    <row r="32" spans="1:51" ht="15.75" customHeight="1" x14ac:dyDescent="0.25">
      <c r="A32" s="26" t="s">
        <v>41</v>
      </c>
      <c r="B32" s="8">
        <f t="shared" si="24"/>
        <v>0</v>
      </c>
      <c r="C32" s="3" t="s">
        <v>3</v>
      </c>
      <c r="D32" s="3"/>
      <c r="E32" s="18" t="s">
        <v>84</v>
      </c>
      <c r="F32" s="8">
        <f>B52-F31</f>
        <v>15865.242923567646</v>
      </c>
      <c r="G32" s="3" t="s">
        <v>3</v>
      </c>
      <c r="H32" s="3"/>
      <c r="I32" s="18" t="s">
        <v>55</v>
      </c>
      <c r="J32" s="16">
        <f>IF(J24="Yes",SUM(F50:F51),0)</f>
        <v>0</v>
      </c>
      <c r="K32" s="3" t="s">
        <v>46</v>
      </c>
      <c r="L32" s="17"/>
      <c r="M32" s="3"/>
      <c r="N32" s="13">
        <f t="shared" si="8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>
        <f t="shared" si="4"/>
        <v>0</v>
      </c>
      <c r="T32" s="23"/>
      <c r="U32" s="23">
        <f t="shared" si="5"/>
        <v>0</v>
      </c>
      <c r="V32" s="23">
        <f t="shared" si="6"/>
        <v>0</v>
      </c>
      <c r="W32" s="22">
        <f t="shared" si="9"/>
        <v>0</v>
      </c>
      <c r="X32" s="20">
        <f t="shared" si="0"/>
        <v>0</v>
      </c>
      <c r="Y32" s="4"/>
      <c r="Z32" s="8"/>
      <c r="AA32" s="3"/>
      <c r="AB32" s="29">
        <f t="shared" si="22"/>
        <v>30</v>
      </c>
      <c r="AC32" s="30">
        <f t="shared" si="16"/>
        <v>0.1455223880597015</v>
      </c>
      <c r="AD32" s="31">
        <v>38093.712535039042</v>
      </c>
      <c r="AE32" s="33">
        <f t="shared" si="17"/>
        <v>3.5626248145668638</v>
      </c>
      <c r="AF32" s="3"/>
      <c r="AG32" s="29">
        <f t="shared" si="23"/>
        <v>30</v>
      </c>
      <c r="AH32" s="32">
        <f t="shared" si="19"/>
        <v>29464.022572339913</v>
      </c>
      <c r="AI32" s="31">
        <v>44005.886023965089</v>
      </c>
      <c r="AJ32" s="33">
        <f t="shared" si="20"/>
        <v>19.635623851063887</v>
      </c>
      <c r="AK32" s="3"/>
      <c r="AL32" s="82">
        <v>50</v>
      </c>
      <c r="AM32" s="83">
        <f t="shared" si="21"/>
        <v>32.726039751773087</v>
      </c>
      <c r="AN32" s="83">
        <f t="shared" si="12"/>
        <v>5.9377080242780211</v>
      </c>
      <c r="AO32" s="84">
        <f t="shared" si="10"/>
        <v>7.4191609027127665</v>
      </c>
      <c r="AP32" s="84">
        <f t="shared" si="11"/>
        <v>23.687191105234508</v>
      </c>
      <c r="AQ32" s="84">
        <f t="shared" si="13"/>
        <v>8.9293885242646418</v>
      </c>
      <c r="AR32" s="34">
        <f t="shared" si="14"/>
        <v>-5.9377080242779812</v>
      </c>
      <c r="AS32" s="27"/>
      <c r="AT32" s="27"/>
      <c r="AU32" s="27"/>
      <c r="AV32" s="27"/>
      <c r="AW32" s="27"/>
      <c r="AX32" s="27"/>
      <c r="AY32" s="27"/>
    </row>
    <row r="33" spans="1:51" ht="15.75" customHeight="1" x14ac:dyDescent="0.25">
      <c r="A33" s="26" t="s">
        <v>47</v>
      </c>
      <c r="B33" s="8">
        <f>IF(B13=0,0,(B13/100)*B49)</f>
        <v>0</v>
      </c>
      <c r="C33" s="3" t="s">
        <v>3</v>
      </c>
      <c r="D33" s="3"/>
      <c r="E33" s="18" t="s">
        <v>85</v>
      </c>
      <c r="F33" s="25">
        <f>F32*(F23/100)*J20</f>
        <v>4362.9418039811026</v>
      </c>
      <c r="G33" s="3" t="s">
        <v>3</v>
      </c>
      <c r="H33" s="3"/>
      <c r="I33" s="3"/>
      <c r="J33" s="3"/>
      <c r="K33" s="3"/>
      <c r="L33" s="17"/>
      <c r="M33" s="3"/>
      <c r="N33" s="13">
        <f t="shared" si="8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>
        <f t="shared" si="4"/>
        <v>0</v>
      </c>
      <c r="T33" s="23"/>
      <c r="U33" s="23">
        <f t="shared" si="5"/>
        <v>0</v>
      </c>
      <c r="V33" s="23">
        <f t="shared" si="6"/>
        <v>0</v>
      </c>
      <c r="W33" s="22">
        <f t="shared" si="9"/>
        <v>0</v>
      </c>
      <c r="X33" s="20">
        <f t="shared" si="0"/>
        <v>0</v>
      </c>
      <c r="Y33" s="4"/>
      <c r="Z33" s="8"/>
      <c r="AA33" s="3"/>
      <c r="AB33" s="29">
        <f t="shared" si="22"/>
        <v>40</v>
      </c>
      <c r="AC33" s="30">
        <f t="shared" si="16"/>
        <v>0.15671641791044774</v>
      </c>
      <c r="AD33" s="31">
        <v>38530.529085409093</v>
      </c>
      <c r="AE33" s="33">
        <f t="shared" si="17"/>
        <v>4.750166419422432</v>
      </c>
      <c r="AF33" s="3"/>
      <c r="AG33" s="29">
        <f t="shared" si="23"/>
        <v>40</v>
      </c>
      <c r="AH33" s="32">
        <f t="shared" si="19"/>
        <v>31730.485847135289</v>
      </c>
      <c r="AI33" s="31">
        <v>46413.427070643833</v>
      </c>
      <c r="AJ33" s="33">
        <f t="shared" si="20"/>
        <v>26.180831801418492</v>
      </c>
      <c r="AK33" s="3"/>
      <c r="AL33" s="3"/>
      <c r="AM33" s="7"/>
      <c r="AN33" s="8"/>
      <c r="AO33" s="34"/>
      <c r="AP33" s="3"/>
      <c r="AQ33" s="27"/>
      <c r="AR33" s="27"/>
      <c r="AS33" s="27"/>
      <c r="AT33" s="27"/>
      <c r="AU33" s="27"/>
      <c r="AV33" s="27"/>
      <c r="AW33" s="27"/>
      <c r="AX33" s="27"/>
      <c r="AY33" s="27"/>
    </row>
    <row r="34" spans="1:51" ht="15.75" customHeight="1" x14ac:dyDescent="0.25">
      <c r="A34" s="26"/>
      <c r="B34" s="8"/>
      <c r="C34" s="3"/>
      <c r="D34" s="3"/>
      <c r="E34" s="3"/>
      <c r="F34" s="27"/>
      <c r="G34" s="3"/>
      <c r="H34" s="3"/>
      <c r="I34" s="18" t="s">
        <v>86</v>
      </c>
      <c r="J34" s="8">
        <f>F12*B5</f>
        <v>350000</v>
      </c>
      <c r="K34" s="3" t="s">
        <v>87</v>
      </c>
      <c r="L34" s="17"/>
      <c r="M34" s="3"/>
      <c r="N34" s="13">
        <f t="shared" si="8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>
        <f t="shared" si="4"/>
        <v>0</v>
      </c>
      <c r="T34" s="23"/>
      <c r="U34" s="23">
        <f t="shared" si="5"/>
        <v>0</v>
      </c>
      <c r="V34" s="23">
        <f t="shared" si="6"/>
        <v>0</v>
      </c>
      <c r="W34" s="22">
        <f t="shared" si="9"/>
        <v>0</v>
      </c>
      <c r="X34" s="20">
        <f t="shared" si="0"/>
        <v>0</v>
      </c>
      <c r="Y34" s="4"/>
      <c r="Z34" s="8"/>
      <c r="AA34" s="3"/>
      <c r="AB34" s="29">
        <f t="shared" si="22"/>
        <v>50</v>
      </c>
      <c r="AC34" s="30">
        <f t="shared" si="16"/>
        <v>0.16791044776119401</v>
      </c>
      <c r="AD34" s="31">
        <v>38967.345635779151</v>
      </c>
      <c r="AE34" s="33">
        <f t="shared" si="17"/>
        <v>5.9377080242780211</v>
      </c>
      <c r="AF34" s="3"/>
      <c r="AG34" s="29">
        <f t="shared" si="23"/>
        <v>50</v>
      </c>
      <c r="AH34" s="32">
        <f t="shared" si="19"/>
        <v>33996.949121930666</v>
      </c>
      <c r="AI34" s="31">
        <v>48820.968117322576</v>
      </c>
      <c r="AJ34" s="33">
        <f t="shared" si="20"/>
        <v>32.726039751773087</v>
      </c>
      <c r="AK34" s="3"/>
      <c r="AL34" s="3"/>
      <c r="AM34" s="7"/>
      <c r="AN34" s="8"/>
      <c r="AO34" s="34"/>
      <c r="AP34" s="3"/>
      <c r="AQ34" s="27"/>
      <c r="AR34" s="27"/>
      <c r="AS34" s="27"/>
      <c r="AT34" s="27"/>
      <c r="AU34" s="27"/>
      <c r="AV34" s="27"/>
      <c r="AW34" s="27"/>
      <c r="AX34" s="27"/>
      <c r="AY34" s="27"/>
    </row>
    <row r="35" spans="1:51" ht="15.75" customHeight="1" x14ac:dyDescent="0.25">
      <c r="A35" s="18" t="s">
        <v>54</v>
      </c>
      <c r="B35" s="5">
        <f t="shared" ref="B35:B36" si="25">IF(B15=0,0,(B15/100)*$B$49)</f>
        <v>3523.2145967741935</v>
      </c>
      <c r="C35" s="3" t="s">
        <v>3</v>
      </c>
      <c r="D35" s="3"/>
      <c r="E35" s="1" t="s">
        <v>88</v>
      </c>
      <c r="F35" s="3"/>
      <c r="G35" s="3"/>
      <c r="H35" s="3"/>
      <c r="I35" s="3"/>
      <c r="J35" s="3"/>
      <c r="K35" s="3"/>
      <c r="L35" s="17"/>
      <c r="M35" s="3"/>
      <c r="N35" s="13">
        <f t="shared" si="8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>
        <f t="shared" si="4"/>
        <v>0</v>
      </c>
      <c r="T35" s="23"/>
      <c r="U35" s="23">
        <f t="shared" si="5"/>
        <v>0</v>
      </c>
      <c r="V35" s="23">
        <f t="shared" si="6"/>
        <v>0</v>
      </c>
      <c r="W35" s="22">
        <f t="shared" si="9"/>
        <v>0</v>
      </c>
      <c r="X35" s="20">
        <f t="shared" si="0"/>
        <v>0</v>
      </c>
      <c r="Y35" s="4"/>
      <c r="Z35" s="8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26" t="s">
        <v>58</v>
      </c>
      <c r="B36" s="5">
        <f t="shared" si="25"/>
        <v>2856.6604838709677</v>
      </c>
      <c r="C36" s="3" t="s">
        <v>3</v>
      </c>
      <c r="D36" s="3"/>
      <c r="E36" s="18" t="s">
        <v>27</v>
      </c>
      <c r="F36" s="16">
        <f>F13/$B$8</f>
        <v>0.11194029850746268</v>
      </c>
      <c r="G36" s="3" t="s">
        <v>28</v>
      </c>
      <c r="H36" s="3"/>
      <c r="I36" s="3"/>
      <c r="J36" s="3"/>
      <c r="K36" s="3"/>
      <c r="L36" s="17"/>
      <c r="M36" s="3"/>
      <c r="N36" s="13">
        <f t="shared" si="8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>
        <f t="shared" si="4"/>
        <v>0</v>
      </c>
      <c r="T36" s="23"/>
      <c r="U36" s="23">
        <f t="shared" si="5"/>
        <v>0</v>
      </c>
      <c r="V36" s="23">
        <f t="shared" si="6"/>
        <v>0</v>
      </c>
      <c r="W36" s="22">
        <f t="shared" si="9"/>
        <v>0</v>
      </c>
      <c r="X36" s="20">
        <f t="shared" si="0"/>
        <v>0</v>
      </c>
      <c r="Y36" s="4"/>
      <c r="Z36" s="8"/>
      <c r="AA36" s="3"/>
      <c r="AB36" s="28" t="s">
        <v>30</v>
      </c>
      <c r="AC36" s="29"/>
      <c r="AD36" s="29"/>
      <c r="AE36" s="29"/>
      <c r="AF36" s="3"/>
      <c r="AG36" s="28" t="s">
        <v>89</v>
      </c>
      <c r="AH36" s="29"/>
      <c r="AI36" s="29"/>
      <c r="AJ36" s="29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90</v>
      </c>
      <c r="F37" s="16">
        <f>(F21/((1-J14%)*J10))/B8</f>
        <v>0</v>
      </c>
      <c r="G37" s="3" t="s">
        <v>28</v>
      </c>
      <c r="H37" s="3"/>
      <c r="I37" s="1" t="s">
        <v>153</v>
      </c>
      <c r="J37" s="42">
        <f>SUM(J38:J42)</f>
        <v>878.96268656716404</v>
      </c>
      <c r="K37" s="1" t="s">
        <v>46</v>
      </c>
      <c r="L37" s="17"/>
      <c r="M37" s="3"/>
      <c r="N37" s="13">
        <f t="shared" si="8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>
        <f t="shared" si="4"/>
        <v>0</v>
      </c>
      <c r="T37" s="23"/>
      <c r="U37" s="23">
        <f t="shared" si="5"/>
        <v>0</v>
      </c>
      <c r="V37" s="23">
        <f t="shared" si="6"/>
        <v>0</v>
      </c>
      <c r="W37" s="22">
        <f t="shared" si="9"/>
        <v>0</v>
      </c>
      <c r="X37" s="20">
        <f t="shared" si="0"/>
        <v>0</v>
      </c>
      <c r="Y37" s="4"/>
      <c r="Z37" s="8"/>
      <c r="AA37" s="3"/>
      <c r="AB37" s="29" t="s">
        <v>68</v>
      </c>
      <c r="AC37" s="29" t="s">
        <v>91</v>
      </c>
      <c r="AD37" s="29" t="s">
        <v>21</v>
      </c>
      <c r="AE37" s="29" t="s">
        <v>70</v>
      </c>
      <c r="AF37" s="3"/>
      <c r="AG37" s="29" t="s">
        <v>68</v>
      </c>
      <c r="AH37" s="29" t="s">
        <v>92</v>
      </c>
      <c r="AI37" s="29" t="s">
        <v>21</v>
      </c>
      <c r="AJ37" s="29" t="s">
        <v>70</v>
      </c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93</v>
      </c>
      <c r="F38" s="16">
        <f>F36*J17</f>
        <v>1.5895522388059698E-2</v>
      </c>
      <c r="G38" s="3" t="s">
        <v>4</v>
      </c>
      <c r="H38" s="3"/>
      <c r="I38" s="18" t="s">
        <v>138</v>
      </c>
      <c r="J38" s="16">
        <f>F17/$B$8</f>
        <v>0</v>
      </c>
      <c r="K38" s="3" t="s">
        <v>46</v>
      </c>
      <c r="L38" s="17"/>
      <c r="M38" s="3"/>
      <c r="N38" s="13">
        <f t="shared" si="8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>
        <f t="shared" si="4"/>
        <v>0</v>
      </c>
      <c r="T38" s="23"/>
      <c r="U38" s="23">
        <f t="shared" si="5"/>
        <v>0</v>
      </c>
      <c r="V38" s="23">
        <f t="shared" si="6"/>
        <v>0</v>
      </c>
      <c r="W38" s="22">
        <f t="shared" si="9"/>
        <v>0</v>
      </c>
      <c r="X38" s="20">
        <f t="shared" si="0"/>
        <v>0</v>
      </c>
      <c r="Y38" s="4"/>
      <c r="Z38" s="8"/>
      <c r="AA38" s="3"/>
      <c r="AB38" s="29" t="s">
        <v>74</v>
      </c>
      <c r="AC38" s="32">
        <v>5071.5</v>
      </c>
      <c r="AD38" s="31">
        <f>X49</f>
        <v>36783.26288392883</v>
      </c>
      <c r="AE38" s="29"/>
      <c r="AF38" s="3"/>
      <c r="AG38" s="29" t="s">
        <v>74</v>
      </c>
      <c r="AH38" s="32">
        <v>35000</v>
      </c>
      <c r="AI38" s="31">
        <f>X49</f>
        <v>36783.26288392883</v>
      </c>
      <c r="AJ38" s="29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ht="15.75" customHeight="1" x14ac:dyDescent="0.25">
      <c r="A39" s="26" t="s">
        <v>64</v>
      </c>
      <c r="B39" s="8">
        <f>B19/B8</f>
        <v>469.67741935483878</v>
      </c>
      <c r="C39" s="3" t="s">
        <v>3</v>
      </c>
      <c r="D39" s="3"/>
      <c r="E39" s="3"/>
      <c r="F39" s="3"/>
      <c r="G39" s="3"/>
      <c r="H39" s="3"/>
      <c r="I39" s="18" t="s">
        <v>141</v>
      </c>
      <c r="J39" s="16">
        <f>F16/B8</f>
        <v>7.4626865671641784</v>
      </c>
      <c r="K39" s="3" t="s">
        <v>46</v>
      </c>
      <c r="L39" s="17"/>
      <c r="M39" s="3"/>
      <c r="N39" s="13">
        <f t="shared" si="8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>
        <f t="shared" si="4"/>
        <v>0</v>
      </c>
      <c r="T39" s="23"/>
      <c r="U39" s="23">
        <f t="shared" si="5"/>
        <v>0</v>
      </c>
      <c r="V39" s="23">
        <f t="shared" si="6"/>
        <v>0</v>
      </c>
      <c r="W39" s="22">
        <f t="shared" si="9"/>
        <v>0</v>
      </c>
      <c r="X39" s="20">
        <f t="shared" si="0"/>
        <v>0</v>
      </c>
      <c r="Y39" s="4"/>
      <c r="Z39" s="8"/>
      <c r="AA39" s="3"/>
      <c r="AB39" s="29">
        <f t="shared" ref="AB39:AB43" si="26">AB40-10</f>
        <v>-50</v>
      </c>
      <c r="AC39" s="32">
        <f t="shared" ref="AC39:AC49" si="27">$AC$38*(1+(AB39/100))</f>
        <v>2535.75</v>
      </c>
      <c r="AD39" s="31">
        <f t="dataTable" ref="AD39:AD49" dt2D="0" dtr="0" r1="B48" ca="1"/>
        <v>34054.253425302319</v>
      </c>
      <c r="AE39" s="33">
        <f>100*((AD39-$AD$44)/$AD$44)</f>
        <v>-7.4191609027127861</v>
      </c>
      <c r="AF39" s="3"/>
      <c r="AG39" s="29">
        <f t="shared" ref="AG39:AG43" si="28">AG40-10</f>
        <v>-50</v>
      </c>
      <c r="AH39" s="32">
        <f t="shared" ref="AH39:AH49" si="29">$AH$38*(1+(AG39/100))</f>
        <v>17500</v>
      </c>
      <c r="AI39" s="31">
        <f t="dataTable" ref="AI39:AI49" dt2D="0" dtr="0" r1="F12" ca="1"/>
        <v>27605.027861980794</v>
      </c>
      <c r="AJ39" s="33">
        <f t="shared" ref="AJ39:AJ49" si="30">100*((AI39-$AI$44)/$AI$44)</f>
        <v>-24.952204623364576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18" t="s">
        <v>94</v>
      </c>
      <c r="F40" s="16">
        <f>F37*F12*J17</f>
        <v>0</v>
      </c>
      <c r="G40" s="3" t="s">
        <v>46</v>
      </c>
      <c r="H40" s="3"/>
      <c r="I40" s="18"/>
      <c r="J40" s="16"/>
      <c r="K40" s="3"/>
      <c r="L40" s="17"/>
      <c r="M40" s="3"/>
      <c r="N40" s="13">
        <f t="shared" si="8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>
        <f t="shared" si="4"/>
        <v>0</v>
      </c>
      <c r="T40" s="23"/>
      <c r="U40" s="23">
        <f t="shared" si="5"/>
        <v>0</v>
      </c>
      <c r="V40" s="23">
        <f t="shared" si="6"/>
        <v>0</v>
      </c>
      <c r="W40" s="22">
        <f t="shared" si="9"/>
        <v>0</v>
      </c>
      <c r="X40" s="20">
        <f t="shared" si="0"/>
        <v>0</v>
      </c>
      <c r="Y40" s="4"/>
      <c r="Z40" s="8"/>
      <c r="AA40" s="3"/>
      <c r="AB40" s="29">
        <f t="shared" si="26"/>
        <v>-40</v>
      </c>
      <c r="AC40" s="32">
        <f t="shared" si="27"/>
        <v>3042.9</v>
      </c>
      <c r="AD40" s="31">
        <v>34600.055317027625</v>
      </c>
      <c r="AE40" s="33">
        <f t="shared" ref="AE40:AE49" si="31">100*((AD40-$AD$29)/$AD$29)</f>
        <v>-5.9353287221702171</v>
      </c>
      <c r="AF40" s="3"/>
      <c r="AG40" s="29">
        <f t="shared" si="28"/>
        <v>-40</v>
      </c>
      <c r="AH40" s="32">
        <f t="shared" si="29"/>
        <v>21000</v>
      </c>
      <c r="AI40" s="31">
        <v>29006.599786720137</v>
      </c>
      <c r="AJ40" s="33">
        <f t="shared" si="30"/>
        <v>-21.141852265113862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ht="15.75" customHeight="1" x14ac:dyDescent="0.25">
      <c r="A41" s="3"/>
      <c r="B41" s="3"/>
      <c r="C41" s="3"/>
      <c r="D41" s="3"/>
      <c r="E41" s="18" t="s">
        <v>95</v>
      </c>
      <c r="F41" s="27">
        <f>F38*F12</f>
        <v>556.34328358208938</v>
      </c>
      <c r="G41" s="3" t="s">
        <v>46</v>
      </c>
      <c r="H41" s="3"/>
      <c r="I41" s="3"/>
      <c r="J41" s="27"/>
      <c r="K41" s="3"/>
      <c r="L41" s="17"/>
      <c r="M41" s="3"/>
      <c r="N41" s="13">
        <f t="shared" si="8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>
        <f t="shared" si="4"/>
        <v>0</v>
      </c>
      <c r="T41" s="23"/>
      <c r="U41" s="23">
        <f t="shared" si="5"/>
        <v>0</v>
      </c>
      <c r="V41" s="23">
        <f t="shared" si="6"/>
        <v>0</v>
      </c>
      <c r="W41" s="22">
        <f t="shared" si="9"/>
        <v>0</v>
      </c>
      <c r="X41" s="20">
        <f t="shared" si="0"/>
        <v>0</v>
      </c>
      <c r="Y41" s="4"/>
      <c r="Z41" s="8"/>
      <c r="AA41" s="3"/>
      <c r="AB41" s="29">
        <f t="shared" si="26"/>
        <v>-30</v>
      </c>
      <c r="AC41" s="32">
        <f t="shared" si="27"/>
        <v>3550.0499999999997</v>
      </c>
      <c r="AD41" s="31">
        <v>35145.857208752917</v>
      </c>
      <c r="AE41" s="33">
        <f t="shared" si="31"/>
        <v>-4.4514965416276873</v>
      </c>
      <c r="AF41" s="3"/>
      <c r="AG41" s="29">
        <f t="shared" si="28"/>
        <v>-30</v>
      </c>
      <c r="AH41" s="32">
        <f t="shared" si="29"/>
        <v>24500</v>
      </c>
      <c r="AI41" s="31">
        <v>30267.058225966532</v>
      </c>
      <c r="AJ41" s="33">
        <f t="shared" si="30"/>
        <v>-17.715134947447329</v>
      </c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ht="15.75" customHeight="1" x14ac:dyDescent="0.25">
      <c r="A42" s="3"/>
      <c r="B42" s="3"/>
      <c r="C42" s="3"/>
      <c r="D42" s="3"/>
      <c r="E42" s="3"/>
      <c r="F42" s="3"/>
      <c r="G42" s="3"/>
      <c r="H42" s="3"/>
      <c r="I42" s="18" t="s">
        <v>45</v>
      </c>
      <c r="J42" s="43">
        <f>F22*F12/$B$8</f>
        <v>871.49999999999989</v>
      </c>
      <c r="K42" s="3" t="s">
        <v>46</v>
      </c>
      <c r="L42" s="17"/>
      <c r="M42" s="3"/>
      <c r="N42" s="13">
        <f t="shared" si="8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>
        <f t="shared" si="4"/>
        <v>0</v>
      </c>
      <c r="T42" s="23"/>
      <c r="U42" s="23">
        <f t="shared" si="5"/>
        <v>0</v>
      </c>
      <c r="V42" s="23">
        <f t="shared" si="6"/>
        <v>0</v>
      </c>
      <c r="W42" s="22">
        <f t="shared" si="9"/>
        <v>0</v>
      </c>
      <c r="X42" s="20">
        <f t="shared" si="0"/>
        <v>0</v>
      </c>
      <c r="Y42" s="4"/>
      <c r="Z42" s="8"/>
      <c r="AA42" s="3"/>
      <c r="AB42" s="29">
        <f t="shared" si="26"/>
        <v>-20</v>
      </c>
      <c r="AC42" s="32">
        <f t="shared" si="27"/>
        <v>4057.2000000000003</v>
      </c>
      <c r="AD42" s="31">
        <v>35691.659100478231</v>
      </c>
      <c r="AE42" s="33">
        <f t="shared" si="31"/>
        <v>-2.9676643610850988</v>
      </c>
      <c r="AF42" s="3"/>
      <c r="AG42" s="29">
        <f t="shared" si="28"/>
        <v>-20</v>
      </c>
      <c r="AH42" s="32">
        <f t="shared" si="29"/>
        <v>28000</v>
      </c>
      <c r="AI42" s="31">
        <v>34118.436099373983</v>
      </c>
      <c r="AJ42" s="33">
        <f t="shared" si="30"/>
        <v>-7.2446721025370229</v>
      </c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7"/>
      <c r="M43" s="3"/>
      <c r="N43" s="13">
        <f t="shared" si="8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>
        <f t="shared" si="4"/>
        <v>0</v>
      </c>
      <c r="T43" s="23"/>
      <c r="U43" s="23">
        <f t="shared" si="5"/>
        <v>0</v>
      </c>
      <c r="V43" s="23">
        <f t="shared" si="6"/>
        <v>0</v>
      </c>
      <c r="W43" s="22">
        <f t="shared" si="9"/>
        <v>0</v>
      </c>
      <c r="X43" s="20">
        <f t="shared" si="0"/>
        <v>0</v>
      </c>
      <c r="Y43" s="4"/>
      <c r="Z43" s="8"/>
      <c r="AA43" s="3"/>
      <c r="AB43" s="29">
        <f t="shared" si="26"/>
        <v>-10</v>
      </c>
      <c r="AC43" s="32">
        <f t="shared" si="27"/>
        <v>4564.3500000000004</v>
      </c>
      <c r="AD43" s="31">
        <v>36237.460992203523</v>
      </c>
      <c r="AE43" s="33">
        <f t="shared" si="31"/>
        <v>-1.4838321805425692</v>
      </c>
      <c r="AF43" s="3"/>
      <c r="AG43" s="29">
        <f t="shared" si="28"/>
        <v>-10</v>
      </c>
      <c r="AH43" s="32">
        <f t="shared" si="29"/>
        <v>31500</v>
      </c>
      <c r="AI43" s="31">
        <v>35212.156740705585</v>
      </c>
      <c r="AJ43" s="33">
        <f t="shared" si="30"/>
        <v>-4.271252792828462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ht="15.75" customHeight="1" x14ac:dyDescent="0.25">
      <c r="A44" s="24" t="s">
        <v>96</v>
      </c>
      <c r="B44" s="4"/>
      <c r="C44" s="1"/>
      <c r="D44" s="3"/>
      <c r="E44" s="1" t="s">
        <v>129</v>
      </c>
      <c r="F44" s="3"/>
      <c r="G44" s="3"/>
      <c r="H44" s="3"/>
      <c r="I44" s="3"/>
      <c r="J44" s="3"/>
      <c r="K44" s="3"/>
      <c r="L44" s="17"/>
      <c r="M44" s="3"/>
      <c r="N44" s="13">
        <f t="shared" si="8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>
        <f t="shared" si="4"/>
        <v>0</v>
      </c>
      <c r="T44" s="23"/>
      <c r="U44" s="23">
        <f t="shared" si="5"/>
        <v>0</v>
      </c>
      <c r="V44" s="23">
        <f t="shared" si="6"/>
        <v>0</v>
      </c>
      <c r="W44" s="22">
        <f t="shared" si="9"/>
        <v>0</v>
      </c>
      <c r="X44" s="20">
        <f t="shared" si="0"/>
        <v>0</v>
      </c>
      <c r="Y44" s="4"/>
      <c r="Z44" s="8"/>
      <c r="AA44" s="3"/>
      <c r="AB44" s="38">
        <v>0</v>
      </c>
      <c r="AC44" s="44">
        <f t="shared" si="27"/>
        <v>5071.5</v>
      </c>
      <c r="AD44" s="39">
        <v>36783.26288392883</v>
      </c>
      <c r="AE44" s="51">
        <f t="shared" si="31"/>
        <v>0</v>
      </c>
      <c r="AF44" s="3"/>
      <c r="AG44" s="38">
        <v>0</v>
      </c>
      <c r="AH44" s="44">
        <f t="shared" si="29"/>
        <v>35000</v>
      </c>
      <c r="AI44" s="39">
        <v>36783.26288392883</v>
      </c>
      <c r="AJ44" s="51">
        <f t="shared" si="30"/>
        <v>0</v>
      </c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ht="15.75" customHeight="1" x14ac:dyDescent="0.25">
      <c r="A45" s="18" t="s">
        <v>145</v>
      </c>
      <c r="B45" s="8">
        <f>J8/B8</f>
        <v>11741.935483870968</v>
      </c>
      <c r="C45" s="3" t="s">
        <v>3</v>
      </c>
      <c r="D45" s="3"/>
      <c r="E45" s="18" t="s">
        <v>130</v>
      </c>
      <c r="F45" s="66">
        <f>((1+(B16/100))*J9*J10)*(1+(B13%+B15%))</f>
        <v>6009.7274999999991</v>
      </c>
      <c r="G45" s="3" t="s">
        <v>3</v>
      </c>
      <c r="H45" s="3"/>
      <c r="I45" s="1"/>
      <c r="J45" s="3"/>
      <c r="K45" s="3"/>
      <c r="L45" s="17"/>
      <c r="M45" s="3"/>
      <c r="N45" s="13">
        <f t="shared" si="8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>
        <f t="shared" si="4"/>
        <v>0</v>
      </c>
      <c r="T45" s="23"/>
      <c r="U45" s="23">
        <f t="shared" si="5"/>
        <v>0</v>
      </c>
      <c r="V45" s="23">
        <f t="shared" si="6"/>
        <v>0</v>
      </c>
      <c r="W45" s="22">
        <f t="shared" si="9"/>
        <v>0</v>
      </c>
      <c r="X45" s="20">
        <f t="shared" si="0"/>
        <v>0</v>
      </c>
      <c r="Y45" s="4"/>
      <c r="Z45" s="8"/>
      <c r="AA45" s="3"/>
      <c r="AB45" s="29">
        <f t="shared" ref="AB45:AB49" si="32">AB44+10</f>
        <v>10</v>
      </c>
      <c r="AC45" s="32">
        <f t="shared" si="27"/>
        <v>5578.6500000000005</v>
      </c>
      <c r="AD45" s="31">
        <v>37329.064775654129</v>
      </c>
      <c r="AE45" s="33">
        <f t="shared" si="31"/>
        <v>1.4838321805425494</v>
      </c>
      <c r="AF45" s="3"/>
      <c r="AG45" s="29">
        <f t="shared" ref="AG45:AG49" si="33">AG44+10</f>
        <v>10</v>
      </c>
      <c r="AH45" s="32">
        <f t="shared" si="29"/>
        <v>38500</v>
      </c>
      <c r="AI45" s="31">
        <v>37876.983525260432</v>
      </c>
      <c r="AJ45" s="33">
        <f t="shared" si="30"/>
        <v>2.9734193097085604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ht="15.75" customHeight="1" x14ac:dyDescent="0.25">
      <c r="A46" s="18" t="s">
        <v>97</v>
      </c>
      <c r="B46" s="8">
        <f>IF(J24="No",J9*J10,0)</f>
        <v>4410</v>
      </c>
      <c r="C46" s="3" t="s">
        <v>3</v>
      </c>
      <c r="D46" s="3"/>
      <c r="E46" s="3" t="s">
        <v>131</v>
      </c>
      <c r="F46" s="66">
        <f>((J21%)*F45)+(((1-J21%)*F45)*(1+(F23%*J20)))</f>
        <v>7166.6000437499988</v>
      </c>
      <c r="G46" s="3" t="s">
        <v>3</v>
      </c>
      <c r="H46" s="3"/>
      <c r="I46" s="18"/>
      <c r="J46" s="7"/>
      <c r="K46" s="3"/>
      <c r="L46" s="17"/>
      <c r="M46" s="3"/>
      <c r="N46" s="13">
        <f t="shared" si="8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>
        <f t="shared" si="4"/>
        <v>0</v>
      </c>
      <c r="T46" s="23"/>
      <c r="U46" s="23">
        <f t="shared" si="5"/>
        <v>0</v>
      </c>
      <c r="V46" s="23">
        <f t="shared" si="6"/>
        <v>0</v>
      </c>
      <c r="W46" s="22">
        <f t="shared" si="9"/>
        <v>0</v>
      </c>
      <c r="X46" s="20">
        <f t="shared" si="0"/>
        <v>0</v>
      </c>
      <c r="Y46" s="4"/>
      <c r="Z46" s="8"/>
      <c r="AA46" s="3"/>
      <c r="AB46" s="29">
        <f t="shared" si="32"/>
        <v>20</v>
      </c>
      <c r="AC46" s="32">
        <f t="shared" si="27"/>
        <v>6085.8</v>
      </c>
      <c r="AD46" s="31">
        <v>37874.866667379436</v>
      </c>
      <c r="AE46" s="33">
        <f t="shared" si="31"/>
        <v>2.9676643610851183</v>
      </c>
      <c r="AF46" s="3"/>
      <c r="AG46" s="29">
        <f t="shared" si="33"/>
        <v>20</v>
      </c>
      <c r="AH46" s="32">
        <f t="shared" si="29"/>
        <v>42000</v>
      </c>
      <c r="AI46" s="31">
        <v>42215.022733991063</v>
      </c>
      <c r="AJ46" s="33">
        <f t="shared" si="30"/>
        <v>14.766933176108887</v>
      </c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ht="15.75" customHeight="1" x14ac:dyDescent="0.25">
      <c r="A47" s="26" t="s">
        <v>98</v>
      </c>
      <c r="B47" s="25">
        <f>(1+(B16/100))*B45</f>
        <v>13503.225806451612</v>
      </c>
      <c r="C47" s="3" t="s">
        <v>3</v>
      </c>
      <c r="D47" s="3"/>
      <c r="E47" s="3" t="s">
        <v>83</v>
      </c>
      <c r="F47" s="66">
        <f>J12*J11</f>
        <v>160800</v>
      </c>
      <c r="G47" s="3" t="s">
        <v>87</v>
      </c>
      <c r="H47" s="3"/>
      <c r="I47" s="3"/>
      <c r="J47" s="3"/>
      <c r="K47" s="3"/>
      <c r="L47" s="17"/>
      <c r="M47" s="3"/>
      <c r="N47" s="13">
        <f t="shared" si="8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>
        <f t="shared" si="4"/>
        <v>0</v>
      </c>
      <c r="T47" s="23"/>
      <c r="U47" s="23">
        <f t="shared" si="5"/>
        <v>0</v>
      </c>
      <c r="V47" s="23">
        <f t="shared" si="6"/>
        <v>0</v>
      </c>
      <c r="W47" s="22">
        <f t="shared" si="9"/>
        <v>0</v>
      </c>
      <c r="X47" s="20">
        <f t="shared" si="0"/>
        <v>0</v>
      </c>
      <c r="Y47" s="4"/>
      <c r="Z47" s="8"/>
      <c r="AA47" s="3"/>
      <c r="AB47" s="29">
        <f t="shared" si="32"/>
        <v>30</v>
      </c>
      <c r="AC47" s="32">
        <f t="shared" si="27"/>
        <v>6592.95</v>
      </c>
      <c r="AD47" s="31">
        <v>38420.668559104728</v>
      </c>
      <c r="AE47" s="33">
        <f t="shared" si="31"/>
        <v>4.4514965416276473</v>
      </c>
      <c r="AF47" s="3"/>
      <c r="AG47" s="29">
        <f t="shared" si="33"/>
        <v>30</v>
      </c>
      <c r="AH47" s="32">
        <f t="shared" si="29"/>
        <v>45500</v>
      </c>
      <c r="AI47" s="31">
        <v>43308.743375322658</v>
      </c>
      <c r="AJ47" s="33">
        <f t="shared" si="30"/>
        <v>17.740352485817429</v>
      </c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ht="15.75" customHeight="1" x14ac:dyDescent="0.25">
      <c r="A48" s="26" t="s">
        <v>99</v>
      </c>
      <c r="B48" s="5">
        <f>(1+(B16/100))*B46</f>
        <v>5071.5</v>
      </c>
      <c r="C48" s="3" t="s">
        <v>3</v>
      </c>
      <c r="D48" s="3"/>
      <c r="E48" s="3" t="s">
        <v>132</v>
      </c>
      <c r="F48" s="67">
        <f>(F46/F47)*J25</f>
        <v>5.7938930701958949E-2</v>
      </c>
      <c r="G48" s="3" t="s">
        <v>4</v>
      </c>
      <c r="H48" s="3"/>
      <c r="I48" s="3"/>
      <c r="J48" s="3"/>
      <c r="K48" s="3"/>
      <c r="L48" s="17"/>
      <c r="M48" s="3"/>
      <c r="N48" s="13">
        <f t="shared" si="8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>
        <f t="shared" si="4"/>
        <v>0</v>
      </c>
      <c r="T48" s="23"/>
      <c r="U48" s="23">
        <f t="shared" si="5"/>
        <v>0</v>
      </c>
      <c r="V48" s="23">
        <f t="shared" si="6"/>
        <v>0</v>
      </c>
      <c r="W48" s="22">
        <f t="shared" si="9"/>
        <v>0</v>
      </c>
      <c r="X48" s="20">
        <f t="shared" si="0"/>
        <v>0</v>
      </c>
      <c r="Y48" s="4"/>
      <c r="Z48" s="8"/>
      <c r="AA48" s="3"/>
      <c r="AB48" s="29">
        <f t="shared" si="32"/>
        <v>40</v>
      </c>
      <c r="AC48" s="32">
        <f t="shared" si="27"/>
        <v>7100.0999999999995</v>
      </c>
      <c r="AD48" s="31">
        <v>38966.470450830042</v>
      </c>
      <c r="AE48" s="33">
        <f t="shared" si="31"/>
        <v>5.9353287221702367</v>
      </c>
      <c r="AF48" s="3"/>
      <c r="AG48" s="29">
        <f t="shared" si="33"/>
        <v>40</v>
      </c>
      <c r="AH48" s="32">
        <f t="shared" si="29"/>
        <v>49000</v>
      </c>
      <c r="AI48" s="31">
        <v>44402.464016654267</v>
      </c>
      <c r="AJ48" s="33">
        <f t="shared" si="30"/>
        <v>20.713771795526011</v>
      </c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ht="15.75" customHeight="1" x14ac:dyDescent="0.25">
      <c r="A49" s="3" t="s">
        <v>100</v>
      </c>
      <c r="B49" s="25">
        <f>B47+B48+B39</f>
        <v>19044.403225806451</v>
      </c>
      <c r="C49" s="3" t="s">
        <v>3</v>
      </c>
      <c r="D49" s="3"/>
      <c r="E49" s="3" t="s">
        <v>133</v>
      </c>
      <c r="F49" s="8">
        <f>J26*365</f>
        <v>54750</v>
      </c>
      <c r="G49" s="3" t="s">
        <v>40</v>
      </c>
      <c r="H49" s="3"/>
      <c r="I49" s="3"/>
      <c r="J49" s="3"/>
      <c r="K49" s="3"/>
      <c r="L49" s="17"/>
      <c r="M49" s="3"/>
      <c r="N49" s="14" t="s">
        <v>101</v>
      </c>
      <c r="O49" s="20">
        <f t="shared" ref="O49:S49" si="34">SUM(O8:O48)</f>
        <v>6799.389824386134</v>
      </c>
      <c r="P49" s="20">
        <f t="shared" si="34"/>
        <v>17276.020642401381</v>
      </c>
      <c r="Q49" s="20">
        <f t="shared" si="34"/>
        <v>4368.1655037006476</v>
      </c>
      <c r="R49" s="20">
        <f t="shared" si="34"/>
        <v>0</v>
      </c>
      <c r="S49" s="20">
        <f t="shared" si="34"/>
        <v>6625.2918486346043</v>
      </c>
      <c r="T49" s="20"/>
      <c r="U49" s="20">
        <f t="shared" ref="U49:X49" si="35">SUM(U8:U48)</f>
        <v>6433.3768576059974</v>
      </c>
      <c r="V49" s="20">
        <f t="shared" si="35"/>
        <v>0</v>
      </c>
      <c r="W49" s="20">
        <f t="shared" si="35"/>
        <v>-4718.9817927999293</v>
      </c>
      <c r="X49" s="20">
        <f t="shared" si="35"/>
        <v>36783.26288392883</v>
      </c>
      <c r="Y49" s="4"/>
      <c r="Z49" s="4"/>
      <c r="AA49" s="3"/>
      <c r="AB49" s="29">
        <f t="shared" si="32"/>
        <v>50</v>
      </c>
      <c r="AC49" s="32">
        <f t="shared" si="27"/>
        <v>7607.25</v>
      </c>
      <c r="AD49" s="31">
        <v>39512.272342555334</v>
      </c>
      <c r="AE49" s="33">
        <f t="shared" si="31"/>
        <v>7.4191609027127665</v>
      </c>
      <c r="AF49" s="3"/>
      <c r="AG49" s="29">
        <f t="shared" si="33"/>
        <v>50</v>
      </c>
      <c r="AH49" s="32">
        <f t="shared" si="29"/>
        <v>52500</v>
      </c>
      <c r="AI49" s="31">
        <v>45496.184657985847</v>
      </c>
      <c r="AJ49" s="33">
        <f t="shared" si="30"/>
        <v>23.687191105234508</v>
      </c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ht="15.75" customHeight="1" x14ac:dyDescent="0.25">
      <c r="A50" s="26" t="s">
        <v>102</v>
      </c>
      <c r="B50" s="8">
        <f>B49+B35+B37+B38+B40</f>
        <v>22664.632747953779</v>
      </c>
      <c r="C50" s="3" t="s">
        <v>3</v>
      </c>
      <c r="D50" s="3"/>
      <c r="E50" s="3" t="s">
        <v>134</v>
      </c>
      <c r="F50" s="5">
        <f>F48*F49</f>
        <v>3172.1564559322524</v>
      </c>
      <c r="G50" s="68" t="s">
        <v>46</v>
      </c>
      <c r="H50" s="3"/>
      <c r="I50" s="3"/>
      <c r="J50" s="3"/>
      <c r="K50" s="3"/>
      <c r="L50" s="17"/>
      <c r="M50" s="3"/>
      <c r="N50" s="3"/>
      <c r="O50" s="3"/>
      <c r="P50" s="8"/>
      <c r="Q50" s="3"/>
      <c r="R50" s="3"/>
      <c r="S50" s="3"/>
      <c r="T50" s="3"/>
      <c r="U50" s="3"/>
      <c r="V50" s="3"/>
      <c r="W50" s="3"/>
      <c r="X50" s="25"/>
      <c r="Y50" s="25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ht="15.75" customHeight="1" x14ac:dyDescent="0.25">
      <c r="A51" s="26" t="s">
        <v>152</v>
      </c>
      <c r="B51" s="8">
        <f>SUM(B31:B32)</f>
        <v>0</v>
      </c>
      <c r="C51" s="3" t="s">
        <v>3</v>
      </c>
      <c r="D51" s="3"/>
      <c r="E51" s="3" t="s">
        <v>135</v>
      </c>
      <c r="F51" s="69">
        <f>IF(F12&gt;F49,(F12-F49)*F48,0)</f>
        <v>0</v>
      </c>
      <c r="G51" s="68" t="s">
        <v>46</v>
      </c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28" t="s">
        <v>45</v>
      </c>
      <c r="AC51" s="29"/>
      <c r="AD51" s="29"/>
      <c r="AE51" s="29"/>
      <c r="AF51" s="3"/>
      <c r="AG51" s="28" t="s">
        <v>127</v>
      </c>
      <c r="AH51" s="29"/>
      <c r="AI51" s="29"/>
      <c r="AJ51" s="29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ht="15.75" customHeight="1" x14ac:dyDescent="0.25">
      <c r="A52" s="26" t="s">
        <v>144</v>
      </c>
      <c r="B52" s="8">
        <f>B50-B51</f>
        <v>22664.632747953779</v>
      </c>
      <c r="C52" s="3" t="s">
        <v>3</v>
      </c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29" t="s">
        <v>68</v>
      </c>
      <c r="AC52" s="29" t="s">
        <v>119</v>
      </c>
      <c r="AD52" s="29" t="s">
        <v>21</v>
      </c>
      <c r="AE52" s="29" t="s">
        <v>70</v>
      </c>
      <c r="AF52" s="3"/>
      <c r="AG52" s="29" t="s">
        <v>68</v>
      </c>
      <c r="AH52" s="29" t="s">
        <v>136</v>
      </c>
      <c r="AI52" s="29" t="s">
        <v>21</v>
      </c>
      <c r="AJ52" s="29" t="s">
        <v>70</v>
      </c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29" t="s">
        <v>74</v>
      </c>
      <c r="AC53" s="32">
        <v>871.49999999999989</v>
      </c>
      <c r="AD53" s="31">
        <f>X49</f>
        <v>36783.26288392883</v>
      </c>
      <c r="AE53" s="29"/>
      <c r="AF53" s="3"/>
      <c r="AG53" s="29" t="s">
        <v>74</v>
      </c>
      <c r="AH53" s="32">
        <v>150</v>
      </c>
      <c r="AI53" s="31">
        <f>X49</f>
        <v>36783.26288392883</v>
      </c>
      <c r="AJ53" s="29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45"/>
      <c r="V54" s="47"/>
      <c r="W54" s="3"/>
      <c r="X54" s="27"/>
      <c r="Y54" s="27"/>
      <c r="Z54" s="47"/>
      <c r="AA54" s="27"/>
      <c r="AB54" s="29">
        <f t="shared" ref="AB54:AB58" si="36">AB55-10</f>
        <v>-50</v>
      </c>
      <c r="AC54" s="32">
        <f t="shared" ref="AC54:AC64" si="37">$AC$53*(1+(AB54/100))</f>
        <v>435.74999999999994</v>
      </c>
      <c r="AD54" s="31">
        <f t="dataTable" ref="AD54:AD64" dt2D="0" dtr="0" r1="J42" ca="1"/>
        <v>33498.742429121194</v>
      </c>
      <c r="AE54" s="33">
        <f t="shared" ref="AE54:AE64" si="38">100*((AD54-$AD$59)/$AD$59)</f>
        <v>-8.9293885242646418</v>
      </c>
      <c r="AF54" s="3"/>
      <c r="AG54" s="29">
        <f t="shared" ref="AG54:AG56" si="39">AG55-20</f>
        <v>-100</v>
      </c>
      <c r="AH54" s="32">
        <f>$AH$53*(1+(AG54/100))</f>
        <v>0</v>
      </c>
      <c r="AI54" s="31">
        <f t="dataTable" ref="AI54:AI64" dt2D="0" dtr="0" r1="J26" ca="1"/>
        <v>36783.26288392883</v>
      </c>
      <c r="AJ54" s="33">
        <f>100*((AI54-$AI$59)/$AI$59)</f>
        <v>0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24075.410466787514</v>
      </c>
      <c r="Q55" s="3" t="s">
        <v>3</v>
      </c>
      <c r="R55" s="48">
        <f t="shared" ref="R55:R59" si="40">P55/$J$34</f>
        <v>6.8786887047964332E-2</v>
      </c>
      <c r="S55" s="3" t="s">
        <v>4</v>
      </c>
      <c r="T55" s="3"/>
      <c r="U55" s="3"/>
      <c r="V55" s="47"/>
      <c r="W55" s="3"/>
      <c r="X55" s="27"/>
      <c r="Y55" s="27"/>
      <c r="Z55" s="47"/>
      <c r="AA55" s="27"/>
      <c r="AB55" s="29">
        <f t="shared" si="36"/>
        <v>-40</v>
      </c>
      <c r="AC55" s="32">
        <f t="shared" si="37"/>
        <v>522.89999999999986</v>
      </c>
      <c r="AD55" s="31">
        <v>34155.646520082722</v>
      </c>
      <c r="AE55" s="33">
        <f t="shared" si="38"/>
        <v>-7.1435108194117092</v>
      </c>
      <c r="AF55" s="3"/>
      <c r="AG55" s="29">
        <f t="shared" si="39"/>
        <v>-80</v>
      </c>
      <c r="AH55" s="32">
        <f t="shared" ref="AH55:AH64" si="41">$AH$53*(1+(AG55/100))</f>
        <v>29.999999999999993</v>
      </c>
      <c r="AI55" s="31">
        <v>36783.26288392883</v>
      </c>
      <c r="AJ55" s="33">
        <f t="shared" ref="AJ55:AJ64" si="42">100*((AI55-$AI$59)/$AI$59)</f>
        <v>0</v>
      </c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SUM(Q49:R49)</f>
        <v>4368.1655037006476</v>
      </c>
      <c r="Q56" s="3" t="s">
        <v>3</v>
      </c>
      <c r="R56" s="48">
        <f t="shared" si="40"/>
        <v>1.2480472867716136E-2</v>
      </c>
      <c r="S56" s="3" t="s">
        <v>4</v>
      </c>
      <c r="T56" s="3"/>
      <c r="U56" s="3"/>
      <c r="V56" s="47"/>
      <c r="W56" s="3"/>
      <c r="X56" s="27"/>
      <c r="Y56" s="27"/>
      <c r="Z56" s="47"/>
      <c r="AA56" s="27"/>
      <c r="AB56" s="29">
        <f t="shared" si="36"/>
        <v>-30</v>
      </c>
      <c r="AC56" s="32">
        <f t="shared" si="37"/>
        <v>610.04999999999984</v>
      </c>
      <c r="AD56" s="31">
        <v>34812.550611044258</v>
      </c>
      <c r="AE56" s="33">
        <f t="shared" si="38"/>
        <v>-5.357633114558757</v>
      </c>
      <c r="AF56" s="3"/>
      <c r="AG56" s="29">
        <f t="shared" si="39"/>
        <v>-60</v>
      </c>
      <c r="AH56" s="32">
        <f t="shared" si="41"/>
        <v>60</v>
      </c>
      <c r="AI56" s="31">
        <v>36783.26288392883</v>
      </c>
      <c r="AJ56" s="33">
        <f t="shared" si="42"/>
        <v>0</v>
      </c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SUM(S49:T49)</f>
        <v>6625.2918486346043</v>
      </c>
      <c r="Q57" s="3" t="s">
        <v>3</v>
      </c>
      <c r="R57" s="48">
        <f t="shared" si="40"/>
        <v>1.8929405281813156E-2</v>
      </c>
      <c r="S57" s="3" t="s">
        <v>4</v>
      </c>
      <c r="T57" s="3"/>
      <c r="U57" s="3"/>
      <c r="V57" s="47"/>
      <c r="W57" s="3"/>
      <c r="X57" s="27"/>
      <c r="Y57" s="27"/>
      <c r="Z57" s="47"/>
      <c r="AA57" s="27"/>
      <c r="AB57" s="29">
        <f t="shared" si="36"/>
        <v>-20</v>
      </c>
      <c r="AC57" s="32">
        <f t="shared" si="37"/>
        <v>697.19999999999993</v>
      </c>
      <c r="AD57" s="31">
        <v>35469.45470200578</v>
      </c>
      <c r="AE57" s="33">
        <f t="shared" si="38"/>
        <v>-3.5717554097058448</v>
      </c>
      <c r="AF57" s="3"/>
      <c r="AG57" s="29">
        <f>AG58-20</f>
        <v>-40</v>
      </c>
      <c r="AH57" s="32">
        <f t="shared" si="41"/>
        <v>90</v>
      </c>
      <c r="AI57" s="31">
        <v>36783.26288392883</v>
      </c>
      <c r="AJ57" s="33">
        <f t="shared" si="42"/>
        <v>0</v>
      </c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107</v>
      </c>
      <c r="P58" s="25">
        <f>SUM(U49:V49)</f>
        <v>6433.3768576059974</v>
      </c>
      <c r="Q58" s="3" t="s">
        <v>3</v>
      </c>
      <c r="R58" s="48">
        <f t="shared" si="40"/>
        <v>1.8381076736017136E-2</v>
      </c>
      <c r="S58" s="3" t="s">
        <v>4</v>
      </c>
      <c r="T58" s="3"/>
      <c r="U58" s="3"/>
      <c r="V58" s="47"/>
      <c r="W58" s="3"/>
      <c r="X58" s="27"/>
      <c r="Y58" s="27"/>
      <c r="Z58" s="47"/>
      <c r="AA58" s="27"/>
      <c r="AB58" s="29">
        <f t="shared" si="36"/>
        <v>-10</v>
      </c>
      <c r="AC58" s="32">
        <f t="shared" si="37"/>
        <v>784.34999999999991</v>
      </c>
      <c r="AD58" s="31">
        <v>36126.358792967309</v>
      </c>
      <c r="AE58" s="33">
        <f t="shared" si="38"/>
        <v>-1.7858777048529124</v>
      </c>
      <c r="AF58" s="3"/>
      <c r="AG58" s="29">
        <f>AG59-20</f>
        <v>-20</v>
      </c>
      <c r="AH58" s="32">
        <f t="shared" si="41"/>
        <v>120</v>
      </c>
      <c r="AI58" s="31">
        <v>36783.26288392883</v>
      </c>
      <c r="AJ58" s="33">
        <f t="shared" si="42"/>
        <v>0</v>
      </c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 t="s">
        <v>143</v>
      </c>
      <c r="P59" s="25">
        <f>W49</f>
        <v>-4718.9817927999293</v>
      </c>
      <c r="Q59" s="3" t="s">
        <v>3</v>
      </c>
      <c r="R59" s="48">
        <f t="shared" si="40"/>
        <v>-1.3482805122285512E-2</v>
      </c>
      <c r="S59" s="3" t="s">
        <v>4</v>
      </c>
      <c r="T59" s="3"/>
      <c r="U59" s="3"/>
      <c r="V59" s="47"/>
      <c r="W59" s="3"/>
      <c r="X59" s="27"/>
      <c r="Y59" s="27"/>
      <c r="Z59" s="47"/>
      <c r="AA59" s="27"/>
      <c r="AB59" s="38">
        <v>0</v>
      </c>
      <c r="AC59" s="44">
        <f t="shared" si="37"/>
        <v>871.49999999999989</v>
      </c>
      <c r="AD59" s="39">
        <v>36783.26288392883</v>
      </c>
      <c r="AE59" s="55">
        <f t="shared" si="38"/>
        <v>0</v>
      </c>
      <c r="AF59" s="3"/>
      <c r="AG59" s="38">
        <v>0</v>
      </c>
      <c r="AH59" s="56">
        <f t="shared" si="41"/>
        <v>150</v>
      </c>
      <c r="AI59" s="39">
        <v>36783.26288392883</v>
      </c>
      <c r="AJ59" s="55">
        <f t="shared" si="42"/>
        <v>0</v>
      </c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SUM(P55:P59)</f>
        <v>36783.26288392883</v>
      </c>
      <c r="Q60" s="1" t="s">
        <v>3</v>
      </c>
      <c r="R60" s="43">
        <f>SUM(R55:R59)</f>
        <v>0.10509503681122524</v>
      </c>
      <c r="S60" s="1" t="s">
        <v>4</v>
      </c>
      <c r="T60" s="1"/>
      <c r="U60" s="3"/>
      <c r="V60" s="47"/>
      <c r="W60" s="3"/>
      <c r="X60" s="27"/>
      <c r="Y60" s="27"/>
      <c r="Z60" s="47"/>
      <c r="AA60" s="27"/>
      <c r="AB60" s="29">
        <f t="shared" ref="AB60:AB64" si="43">AB59+10</f>
        <v>10</v>
      </c>
      <c r="AC60" s="32">
        <f t="shared" si="37"/>
        <v>958.65</v>
      </c>
      <c r="AD60" s="31">
        <v>37440.166974890366</v>
      </c>
      <c r="AE60" s="33">
        <f t="shared" si="38"/>
        <v>1.7858777048529519</v>
      </c>
      <c r="AF60" s="3"/>
      <c r="AG60" s="29">
        <f>AG59+20</f>
        <v>20</v>
      </c>
      <c r="AH60" s="32">
        <f t="shared" si="41"/>
        <v>180</v>
      </c>
      <c r="AI60" s="31">
        <v>36783.26288392883</v>
      </c>
      <c r="AJ60" s="33">
        <f t="shared" si="42"/>
        <v>0</v>
      </c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7"/>
      <c r="W61" s="3"/>
      <c r="X61" s="27"/>
      <c r="Y61" s="27"/>
      <c r="Z61" s="47"/>
      <c r="AA61" s="27"/>
      <c r="AB61" s="29">
        <f t="shared" si="43"/>
        <v>20</v>
      </c>
      <c r="AC61" s="32">
        <f t="shared" si="37"/>
        <v>1045.7999999999997</v>
      </c>
      <c r="AD61" s="31">
        <v>38097.071065851887</v>
      </c>
      <c r="AE61" s="33">
        <f t="shared" si="38"/>
        <v>3.5717554097058644</v>
      </c>
      <c r="AF61" s="3"/>
      <c r="AG61" s="29">
        <f t="shared" ref="AG61:AG64" si="44">AG60+20</f>
        <v>40</v>
      </c>
      <c r="AH61" s="32">
        <f t="shared" si="41"/>
        <v>210</v>
      </c>
      <c r="AI61" s="31">
        <v>36783.26288392883</v>
      </c>
      <c r="AJ61" s="33">
        <f t="shared" si="42"/>
        <v>0</v>
      </c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7"/>
      <c r="W62" s="3"/>
      <c r="X62" s="27"/>
      <c r="Y62" s="27"/>
      <c r="Z62" s="47"/>
      <c r="AA62" s="27"/>
      <c r="AB62" s="29">
        <f t="shared" si="43"/>
        <v>30</v>
      </c>
      <c r="AC62" s="32">
        <f t="shared" si="37"/>
        <v>1132.9499999999998</v>
      </c>
      <c r="AD62" s="31">
        <v>38753.975156813416</v>
      </c>
      <c r="AE62" s="33">
        <f t="shared" si="38"/>
        <v>5.357633114558797</v>
      </c>
      <c r="AF62" s="3"/>
      <c r="AG62" s="29">
        <f t="shared" si="44"/>
        <v>60</v>
      </c>
      <c r="AH62" s="32">
        <f t="shared" si="41"/>
        <v>240</v>
      </c>
      <c r="AI62" s="31">
        <v>36783.26288392883</v>
      </c>
      <c r="AJ62" s="33">
        <f t="shared" si="42"/>
        <v>0</v>
      </c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7"/>
      <c r="W63" s="3"/>
      <c r="X63" s="27"/>
      <c r="Y63" s="27"/>
      <c r="Z63" s="47"/>
      <c r="AA63" s="27"/>
      <c r="AB63" s="29">
        <f t="shared" si="43"/>
        <v>40</v>
      </c>
      <c r="AC63" s="32">
        <f t="shared" si="37"/>
        <v>1220.0999999999997</v>
      </c>
      <c r="AD63" s="31">
        <v>39410.879247774945</v>
      </c>
      <c r="AE63" s="33">
        <f t="shared" si="38"/>
        <v>7.1435108194117287</v>
      </c>
      <c r="AF63" s="3"/>
      <c r="AG63" s="29">
        <f t="shared" si="44"/>
        <v>80</v>
      </c>
      <c r="AH63" s="32">
        <f t="shared" si="41"/>
        <v>270</v>
      </c>
      <c r="AI63" s="31">
        <v>36783.26288392883</v>
      </c>
      <c r="AJ63" s="33">
        <f t="shared" si="42"/>
        <v>0</v>
      </c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7"/>
      <c r="W64" s="3"/>
      <c r="X64" s="27"/>
      <c r="Y64" s="27"/>
      <c r="Z64" s="47"/>
      <c r="AA64" s="27"/>
      <c r="AB64" s="29">
        <f t="shared" si="43"/>
        <v>50</v>
      </c>
      <c r="AC64" s="32">
        <f t="shared" si="37"/>
        <v>1307.2499999999998</v>
      </c>
      <c r="AD64" s="31">
        <v>40067.783338736466</v>
      </c>
      <c r="AE64" s="33">
        <f t="shared" si="38"/>
        <v>8.9293885242646418</v>
      </c>
      <c r="AF64" s="3"/>
      <c r="AG64" s="29">
        <f t="shared" si="44"/>
        <v>100</v>
      </c>
      <c r="AH64" s="32">
        <f t="shared" si="41"/>
        <v>300</v>
      </c>
      <c r="AI64" s="31">
        <v>36783.26288392883</v>
      </c>
      <c r="AJ64" s="33">
        <f t="shared" si="42"/>
        <v>0</v>
      </c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7"/>
      <c r="W65" s="3"/>
      <c r="X65" s="27"/>
      <c r="Y65" s="27"/>
      <c r="Z65" s="47"/>
      <c r="AA65" s="27"/>
      <c r="AB65" s="3"/>
      <c r="AC65" s="3"/>
      <c r="AD65" s="3"/>
      <c r="AE65" s="3"/>
      <c r="AF65" s="3"/>
      <c r="AG65" s="3"/>
      <c r="AH65" s="7"/>
      <c r="AI65" s="8"/>
      <c r="AJ65" s="34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7"/>
      <c r="W66" s="3"/>
      <c r="X66" s="27"/>
      <c r="Y66" s="27"/>
      <c r="Z66" s="47"/>
      <c r="AA66" s="27"/>
      <c r="AB66" s="28" t="s">
        <v>172</v>
      </c>
      <c r="AC66" s="29"/>
      <c r="AD66" s="29"/>
      <c r="AE66" s="29"/>
      <c r="AF66" s="3"/>
      <c r="AG66" s="3"/>
      <c r="AH66" s="7"/>
      <c r="AI66" s="8"/>
      <c r="AJ66" s="34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7"/>
      <c r="W67" s="3"/>
      <c r="X67" s="27"/>
      <c r="Y67" s="27"/>
      <c r="Z67" s="47"/>
      <c r="AA67" s="27"/>
      <c r="AB67" s="29" t="s">
        <v>68</v>
      </c>
      <c r="AC67" s="29" t="s">
        <v>172</v>
      </c>
      <c r="AD67" s="29" t="s">
        <v>21</v>
      </c>
      <c r="AE67" s="29" t="s">
        <v>70</v>
      </c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7"/>
      <c r="W68" s="3"/>
      <c r="X68" s="27"/>
      <c r="Y68" s="27"/>
      <c r="Z68" s="47"/>
      <c r="AA68" s="27"/>
      <c r="AB68" s="29" t="s">
        <v>74</v>
      </c>
      <c r="AC68" s="30">
        <v>0.14199999999999999</v>
      </c>
      <c r="AD68" s="31">
        <f>X49</f>
        <v>36783.26288392883</v>
      </c>
      <c r="AE68" s="29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9"/>
      <c r="Y69" s="49"/>
      <c r="Z69" s="3"/>
      <c r="AA69" s="49"/>
      <c r="AB69" s="29">
        <v>-50</v>
      </c>
      <c r="AC69" s="30">
        <f>$AC$68*(1-(AB69/100))</f>
        <v>0.21299999999999997</v>
      </c>
      <c r="AD69" s="31">
        <f t="dataTable" ref="AD69:AD79" dt2D="0" dtr="0" r1="J17" ca="1"/>
        <v>38967.345635779151</v>
      </c>
      <c r="AE69" s="33">
        <f>100*((AD69-$AD$74)/$AD$74)</f>
        <v>5.9377080242780211</v>
      </c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29">
        <f t="shared" ref="AB70:AB73" si="45">AB71-10</f>
        <v>-40</v>
      </c>
      <c r="AC70" s="30">
        <f t="shared" ref="AC70:AC73" si="46">$AC$68*(1-(AB70/100))</f>
        <v>0.19879999999999998</v>
      </c>
      <c r="AD70" s="31">
        <v>38530.529085409093</v>
      </c>
      <c r="AE70" s="33">
        <f t="shared" ref="AE70:AE79" si="47">100*((AD70-$AD$74)/$AD$74)</f>
        <v>4.750166419422432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29">
        <f t="shared" si="45"/>
        <v>-30</v>
      </c>
      <c r="AC71" s="30">
        <f t="shared" si="46"/>
        <v>0.18459999999999999</v>
      </c>
      <c r="AD71" s="31">
        <v>38093.712535039042</v>
      </c>
      <c r="AE71" s="33">
        <f t="shared" si="47"/>
        <v>3.5626248145668638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29">
        <f t="shared" si="45"/>
        <v>-20</v>
      </c>
      <c r="AC72" s="30">
        <f t="shared" si="46"/>
        <v>0.17039999999999997</v>
      </c>
      <c r="AD72" s="31">
        <v>37656.895984668969</v>
      </c>
      <c r="AE72" s="33">
        <f t="shared" si="47"/>
        <v>2.375083209711236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29">
        <f t="shared" si="45"/>
        <v>-10</v>
      </c>
      <c r="AC73" s="30">
        <f t="shared" si="46"/>
        <v>0.15620000000000001</v>
      </c>
      <c r="AD73" s="31">
        <v>37220.079434298903</v>
      </c>
      <c r="AE73" s="33">
        <f t="shared" si="47"/>
        <v>1.1875416048556278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8">
        <v>0</v>
      </c>
      <c r="AC74" s="53">
        <f t="shared" ref="AC74" si="48">$AC$68*(1+(AB74/100))</f>
        <v>0.14199999999999999</v>
      </c>
      <c r="AD74" s="39">
        <v>36783.26288392883</v>
      </c>
      <c r="AE74" s="55">
        <f t="shared" si="47"/>
        <v>0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29">
        <f t="shared" ref="AB75:AB79" si="49">AB74+10</f>
        <v>10</v>
      </c>
      <c r="AC75" s="30">
        <f t="shared" ref="AC75:AC79" si="50">$AC$68*(1-(AB75/100))</f>
        <v>0.1278</v>
      </c>
      <c r="AD75" s="31">
        <v>36346.446333558764</v>
      </c>
      <c r="AE75" s="33">
        <f t="shared" si="47"/>
        <v>-1.187541604855608</v>
      </c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29">
        <f t="shared" si="49"/>
        <v>20</v>
      </c>
      <c r="AC76" s="30">
        <f t="shared" si="50"/>
        <v>0.11359999999999999</v>
      </c>
      <c r="AD76" s="31">
        <v>35909.629783188699</v>
      </c>
      <c r="AE76" s="33">
        <f t="shared" si="47"/>
        <v>-2.375083209711216</v>
      </c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29">
        <f t="shared" si="49"/>
        <v>30</v>
      </c>
      <c r="AC77" s="30">
        <f t="shared" si="50"/>
        <v>9.9399999999999988E-2</v>
      </c>
      <c r="AD77" s="31">
        <v>35472.81323281864</v>
      </c>
      <c r="AE77" s="33">
        <f t="shared" si="47"/>
        <v>-3.5626248145668047</v>
      </c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29">
        <f t="shared" si="49"/>
        <v>40</v>
      </c>
      <c r="AC78" s="30">
        <f t="shared" si="50"/>
        <v>8.5199999999999984E-2</v>
      </c>
      <c r="AD78" s="31">
        <v>35035.996682448567</v>
      </c>
      <c r="AE78" s="33">
        <f t="shared" si="47"/>
        <v>-4.750166419422432</v>
      </c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29">
        <f t="shared" si="49"/>
        <v>50</v>
      </c>
      <c r="AC79" s="30">
        <f t="shared" si="50"/>
        <v>7.0999999999999994E-2</v>
      </c>
      <c r="AD79" s="31">
        <v>34599.180132078523</v>
      </c>
      <c r="AE79" s="33">
        <f t="shared" si="47"/>
        <v>-5.9377080242779812</v>
      </c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spans="1:51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spans="1:51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spans="1:51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spans="1:51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spans="1:51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spans="1:51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spans="1:51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spans="1:51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spans="1:51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spans="1:51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spans="1:51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spans="1:51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spans="1:51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spans="1:51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1:51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1:51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1:51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1:51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51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1:51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1:51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1:51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spans="1:51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spans="1:51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spans="1:51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spans="1:51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spans="1:51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spans="1:51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51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spans="1:51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51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51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51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spans="1:51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spans="1:51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spans="1:51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spans="1:51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spans="1:51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spans="1:51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</row>
    <row r="129" spans="1:51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1:51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</row>
    <row r="131" spans="1:51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</row>
    <row r="132" spans="1:51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</row>
    <row r="133" spans="1:51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</row>
    <row r="134" spans="1:51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1:51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</row>
    <row r="136" spans="1:51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</row>
    <row r="137" spans="1:51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</row>
    <row r="138" spans="1:51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</row>
    <row r="139" spans="1:51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1:51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</row>
    <row r="141" spans="1:51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</row>
    <row r="142" spans="1:51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51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51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</row>
    <row r="145" spans="1:51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</row>
    <row r="146" spans="1:51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</row>
    <row r="147" spans="1:51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</row>
    <row r="148" spans="1:51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</row>
    <row r="149" spans="1:51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</row>
    <row r="150" spans="1:51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</row>
    <row r="151" spans="1:51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</row>
    <row r="152" spans="1:51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51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</row>
    <row r="154" spans="1:51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</row>
    <row r="155" spans="1:51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</row>
    <row r="156" spans="1:51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</row>
    <row r="157" spans="1:51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</row>
    <row r="158" spans="1:51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</row>
    <row r="159" spans="1:51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</row>
    <row r="160" spans="1:51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</row>
    <row r="161" spans="1:51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</row>
    <row r="162" spans="1:51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</row>
    <row r="163" spans="1:51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</row>
    <row r="164" spans="1:51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</row>
    <row r="165" spans="1:51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51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</row>
    <row r="167" spans="1:51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</row>
    <row r="168" spans="1:51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</row>
    <row r="169" spans="1:51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</row>
    <row r="170" spans="1:51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</row>
    <row r="171" spans="1:51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</row>
    <row r="172" spans="1:51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</row>
    <row r="173" spans="1:51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</row>
    <row r="174" spans="1:51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</row>
    <row r="175" spans="1:51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</row>
    <row r="176" spans="1:51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</row>
    <row r="177" spans="1:51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</row>
    <row r="178" spans="1:51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</row>
    <row r="179" spans="1:51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51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</row>
    <row r="181" spans="1:51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</row>
    <row r="182" spans="1:51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</row>
    <row r="183" spans="1:51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51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51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51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51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</row>
    <row r="188" spans="1:51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</row>
    <row r="189" spans="1:51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</row>
    <row r="190" spans="1:51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</row>
    <row r="191" spans="1:51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</row>
    <row r="192" spans="1:51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</row>
    <row r="193" spans="1:51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</row>
    <row r="194" spans="1:51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</row>
    <row r="195" spans="1:51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</row>
    <row r="196" spans="1:51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</row>
    <row r="197" spans="1:51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</row>
    <row r="198" spans="1:51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</row>
    <row r="199" spans="1:51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51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</row>
    <row r="201" spans="1:51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</row>
    <row r="202" spans="1:51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51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</row>
    <row r="204" spans="1:51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</row>
    <row r="205" spans="1:51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51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</row>
    <row r="207" spans="1:51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</row>
    <row r="208" spans="1:51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</row>
    <row r="209" spans="1:51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</row>
    <row r="210" spans="1:51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</row>
    <row r="211" spans="1:51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</row>
    <row r="212" spans="1:51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</row>
    <row r="213" spans="1:51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51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</row>
    <row r="215" spans="1:51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</row>
    <row r="216" spans="1:51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</row>
    <row r="217" spans="1:51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</row>
    <row r="218" spans="1:51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</row>
    <row r="219" spans="1:51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</row>
    <row r="220" spans="1:51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</row>
    <row r="221" spans="1:51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</row>
    <row r="222" spans="1:51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</row>
    <row r="223" spans="1:51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</row>
    <row r="224" spans="1:51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</row>
    <row r="225" spans="1:51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</row>
    <row r="226" spans="1:51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</row>
    <row r="227" spans="1:51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</row>
    <row r="228" spans="1:51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</row>
    <row r="229" spans="1:51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</row>
    <row r="230" spans="1:51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51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</row>
    <row r="232" spans="1:51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51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51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51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51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</row>
    <row r="237" spans="1:51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</row>
    <row r="238" spans="1:51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</row>
    <row r="239" spans="1:51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</row>
    <row r="240" spans="1:51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</row>
    <row r="241" spans="1:51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</row>
    <row r="242" spans="1:51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</row>
    <row r="243" spans="1:51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51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</row>
    <row r="245" spans="1:51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</row>
    <row r="246" spans="1:51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</row>
    <row r="247" spans="1:51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</row>
    <row r="248" spans="1:51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</row>
    <row r="249" spans="1:51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</row>
    <row r="250" spans="1:51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</row>
    <row r="251" spans="1:51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51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</row>
    <row r="253" spans="1:51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51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</row>
    <row r="255" spans="1:51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51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51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</row>
    <row r="258" spans="1:51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</row>
    <row r="259" spans="1:51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51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51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51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51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51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51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51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51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</row>
    <row r="268" spans="1:51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</row>
    <row r="269" spans="1:51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</row>
    <row r="270" spans="1:51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</row>
    <row r="271" spans="1:51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</row>
    <row r="272" spans="1:51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</row>
    <row r="273" spans="1:51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</row>
    <row r="274" spans="1:51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</row>
    <row r="275" spans="1:51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</row>
    <row r="276" spans="1:51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</row>
    <row r="277" spans="1:51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</row>
    <row r="278" spans="1:51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</row>
    <row r="279" spans="1:51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</row>
    <row r="280" spans="1:51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</row>
    <row r="281" spans="1:51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</row>
    <row r="282" spans="1:51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</row>
    <row r="283" spans="1:51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</row>
    <row r="284" spans="1:51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</row>
    <row r="285" spans="1:51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</row>
    <row r="286" spans="1:51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</row>
    <row r="287" spans="1:51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</row>
    <row r="288" spans="1:51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</row>
    <row r="289" spans="1:51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</row>
    <row r="290" spans="1:51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</row>
    <row r="291" spans="1:51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</row>
    <row r="292" spans="1:51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</row>
    <row r="293" spans="1:51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</row>
    <row r="294" spans="1:5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</row>
    <row r="295" spans="1:51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</row>
    <row r="296" spans="1:51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</row>
    <row r="297" spans="1:5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</row>
    <row r="298" spans="1:51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</row>
    <row r="299" spans="1:51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</row>
    <row r="300" spans="1:5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</row>
    <row r="301" spans="1:51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</row>
    <row r="302" spans="1:51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</row>
    <row r="303" spans="1:51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</row>
    <row r="304" spans="1:5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</row>
    <row r="305" spans="1:5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</row>
    <row r="306" spans="1:51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</row>
    <row r="307" spans="1:51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</row>
    <row r="308" spans="1:5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</row>
    <row r="309" spans="1:51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</row>
    <row r="310" spans="1:51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</row>
    <row r="311" spans="1:51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</row>
    <row r="312" spans="1:5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</row>
    <row r="313" spans="1:5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</row>
    <row r="314" spans="1:5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</row>
    <row r="315" spans="1:5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</row>
    <row r="316" spans="1:5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</row>
    <row r="317" spans="1:51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</row>
    <row r="318" spans="1:51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</row>
    <row r="319" spans="1:51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</row>
    <row r="320" spans="1:5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</row>
    <row r="321" spans="1:51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</row>
    <row r="322" spans="1:51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</row>
    <row r="323" spans="1:51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</row>
    <row r="324" spans="1:5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</row>
    <row r="325" spans="1:5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</row>
    <row r="326" spans="1:51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</row>
    <row r="327" spans="1:51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</row>
    <row r="328" spans="1:51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</row>
    <row r="329" spans="1:51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</row>
    <row r="330" spans="1:51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</row>
    <row r="331" spans="1:51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</row>
    <row r="332" spans="1:51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</row>
    <row r="333" spans="1:51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</row>
    <row r="334" spans="1:51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</row>
    <row r="335" spans="1:51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</row>
    <row r="336" spans="1:51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</row>
    <row r="337" spans="1:51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</row>
    <row r="338" spans="1:5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</row>
    <row r="339" spans="1:5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</row>
    <row r="340" spans="1:5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</row>
    <row r="341" spans="1:5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</row>
    <row r="342" spans="1:51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</row>
    <row r="343" spans="1:51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</row>
    <row r="344" spans="1:51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</row>
    <row r="345" spans="1:51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</row>
    <row r="346" spans="1:51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</row>
    <row r="347" spans="1:5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</row>
    <row r="348" spans="1:5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</row>
    <row r="349" spans="1:5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</row>
    <row r="350" spans="1:5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</row>
    <row r="351" spans="1:5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</row>
    <row r="352" spans="1:5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</row>
    <row r="353" spans="1:5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</row>
    <row r="354" spans="1:5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</row>
    <row r="355" spans="1:5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</row>
    <row r="356" spans="1:5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</row>
    <row r="357" spans="1:5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</row>
    <row r="358" spans="1:5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</row>
    <row r="359" spans="1:5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</row>
    <row r="360" spans="1:5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</row>
    <row r="361" spans="1:5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</row>
    <row r="362" spans="1:5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</row>
    <row r="363" spans="1:5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</row>
    <row r="364" spans="1:51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</row>
    <row r="365" spans="1:51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</row>
    <row r="366" spans="1:51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</row>
    <row r="367" spans="1:5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</row>
    <row r="368" spans="1:5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</row>
    <row r="369" spans="1:51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</row>
    <row r="370" spans="1:51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</row>
    <row r="371" spans="1:5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</row>
    <row r="372" spans="1:51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</row>
    <row r="373" spans="1:51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</row>
    <row r="374" spans="1:51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</row>
    <row r="375" spans="1:5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</row>
    <row r="376" spans="1:5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</row>
    <row r="377" spans="1:5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</row>
    <row r="378" spans="1:5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</row>
    <row r="379" spans="1:5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</row>
    <row r="380" spans="1:5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</row>
    <row r="381" spans="1:5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</row>
    <row r="382" spans="1:5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</row>
    <row r="383" spans="1:5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</row>
    <row r="384" spans="1:51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</row>
    <row r="385" spans="1:51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</row>
    <row r="386" spans="1:5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</row>
    <row r="387" spans="1:51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</row>
    <row r="388" spans="1:51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</row>
    <row r="389" spans="1:5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</row>
    <row r="390" spans="1:51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</row>
    <row r="391" spans="1:51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</row>
    <row r="392" spans="1:5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</row>
    <row r="393" spans="1:51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</row>
    <row r="394" spans="1:51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</row>
    <row r="395" spans="1:51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</row>
    <row r="396" spans="1:5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</row>
    <row r="397" spans="1:5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</row>
    <row r="398" spans="1:5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</row>
    <row r="399" spans="1:5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</row>
    <row r="400" spans="1:5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</row>
    <row r="401" spans="1:5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</row>
    <row r="402" spans="1:5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</row>
    <row r="403" spans="1:51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</row>
    <row r="404" spans="1:51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</row>
    <row r="405" spans="1:51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</row>
    <row r="406" spans="1:5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</row>
    <row r="407" spans="1:51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</row>
    <row r="408" spans="1:51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</row>
    <row r="409" spans="1:51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</row>
    <row r="410" spans="1:5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</row>
    <row r="411" spans="1:5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</row>
    <row r="412" spans="1:51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</row>
    <row r="413" spans="1:51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</row>
    <row r="414" spans="1:5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</row>
    <row r="415" spans="1:51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</row>
    <row r="416" spans="1:51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</row>
    <row r="417" spans="1:51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</row>
    <row r="418" spans="1:5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</row>
    <row r="419" spans="1:5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</row>
    <row r="420" spans="1:5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</row>
    <row r="421" spans="1:5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</row>
    <row r="422" spans="1:5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</row>
    <row r="423" spans="1:5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</row>
    <row r="424" spans="1:51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</row>
    <row r="425" spans="1:51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</row>
    <row r="426" spans="1:51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</row>
    <row r="427" spans="1:5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</row>
    <row r="428" spans="1:51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</row>
    <row r="429" spans="1:5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</row>
    <row r="430" spans="1:51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</row>
    <row r="431" spans="1:51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</row>
    <row r="432" spans="1:51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</row>
    <row r="433" spans="1:51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</row>
    <row r="434" spans="1:51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</row>
    <row r="435" spans="1:5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</row>
    <row r="436" spans="1:5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</row>
    <row r="437" spans="1:5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</row>
    <row r="438" spans="1:5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</row>
    <row r="439" spans="1:5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</row>
    <row r="440" spans="1:51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</row>
    <row r="441" spans="1:5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</row>
    <row r="442" spans="1:51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</row>
    <row r="443" spans="1:51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</row>
    <row r="444" spans="1:51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</row>
    <row r="445" spans="1:51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</row>
    <row r="446" spans="1:5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</row>
    <row r="447" spans="1:5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</row>
    <row r="448" spans="1:5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</row>
    <row r="449" spans="1:5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</row>
    <row r="450" spans="1:5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</row>
    <row r="451" spans="1:5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</row>
    <row r="452" spans="1:5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</row>
    <row r="453" spans="1:5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</row>
    <row r="454" spans="1:5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</row>
    <row r="455" spans="1:5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</row>
    <row r="456" spans="1:5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</row>
    <row r="457" spans="1:5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</row>
    <row r="458" spans="1:5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</row>
    <row r="459" spans="1:5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</row>
    <row r="460" spans="1:5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</row>
    <row r="461" spans="1:5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</row>
    <row r="462" spans="1:5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</row>
    <row r="463" spans="1:5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</row>
    <row r="464" spans="1:51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</row>
    <row r="465" spans="1:51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</row>
    <row r="466" spans="1:5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</row>
    <row r="467" spans="1:51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</row>
    <row r="468" spans="1:51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</row>
    <row r="469" spans="1:5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</row>
    <row r="470" spans="1:51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</row>
    <row r="471" spans="1:51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</row>
    <row r="472" spans="1:51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</row>
    <row r="473" spans="1:5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</row>
    <row r="474" spans="1:5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</row>
    <row r="475" spans="1:5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</row>
    <row r="476" spans="1:5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</row>
    <row r="477" spans="1:5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</row>
    <row r="478" spans="1:5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</row>
    <row r="479" spans="1:51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</row>
    <row r="480" spans="1:51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</row>
    <row r="481" spans="1:5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</row>
    <row r="482" spans="1:5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</row>
    <row r="483" spans="1:5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</row>
    <row r="484" spans="1:5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</row>
    <row r="485" spans="1:5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</row>
    <row r="486" spans="1:51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</row>
    <row r="487" spans="1:51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</row>
    <row r="488" spans="1:5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</row>
    <row r="489" spans="1:51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</row>
    <row r="490" spans="1:51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</row>
    <row r="491" spans="1:5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</row>
    <row r="492" spans="1:51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</row>
    <row r="493" spans="1:51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</row>
    <row r="494" spans="1:5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</row>
    <row r="495" spans="1:51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</row>
    <row r="496" spans="1:51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</row>
    <row r="497" spans="1:5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</row>
    <row r="498" spans="1:5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</row>
    <row r="499" spans="1:5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</row>
    <row r="500" spans="1:5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</row>
    <row r="501" spans="1:5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</row>
    <row r="502" spans="1:5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</row>
    <row r="503" spans="1:5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</row>
    <row r="504" spans="1:5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</row>
    <row r="505" spans="1:5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</row>
    <row r="506" spans="1:5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</row>
    <row r="507" spans="1:51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</row>
    <row r="508" spans="1:51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</row>
    <row r="509" spans="1:5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</row>
    <row r="510" spans="1:5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</row>
    <row r="511" spans="1:5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</row>
    <row r="512" spans="1:51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</row>
    <row r="513" spans="1:51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</row>
    <row r="514" spans="1:51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</row>
    <row r="515" spans="1:5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</row>
    <row r="516" spans="1:5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</row>
    <row r="517" spans="1:5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</row>
    <row r="518" spans="1:5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</row>
    <row r="519" spans="1:5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</row>
    <row r="520" spans="1:5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</row>
    <row r="521" spans="1:51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</row>
    <row r="522" spans="1:51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</row>
    <row r="523" spans="1:5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</row>
    <row r="524" spans="1:51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</row>
    <row r="525" spans="1:51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</row>
    <row r="526" spans="1:5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</row>
    <row r="527" spans="1:51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</row>
    <row r="528" spans="1:51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</row>
    <row r="529" spans="1:5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</row>
    <row r="530" spans="1:5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</row>
    <row r="531" spans="1:5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</row>
    <row r="532" spans="1:5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</row>
    <row r="533" spans="1:5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</row>
    <row r="534" spans="1:5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</row>
    <row r="535" spans="1:5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</row>
    <row r="536" spans="1:51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</row>
    <row r="537" spans="1:51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</row>
    <row r="538" spans="1:5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</row>
    <row r="539" spans="1:51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</row>
    <row r="540" spans="1:51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</row>
    <row r="541" spans="1:5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</row>
    <row r="542" spans="1:51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</row>
    <row r="543" spans="1:51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</row>
    <row r="544" spans="1:51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</row>
    <row r="545" spans="1:51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</row>
    <row r="546" spans="1:5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</row>
    <row r="547" spans="1:5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</row>
    <row r="548" spans="1:5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</row>
    <row r="549" spans="1:51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</row>
    <row r="550" spans="1:51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</row>
    <row r="551" spans="1:5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</row>
    <row r="552" spans="1:51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</row>
    <row r="553" spans="1:51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</row>
    <row r="554" spans="1:5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</row>
    <row r="555" spans="1:51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</row>
    <row r="556" spans="1:51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</row>
    <row r="557" spans="1:5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</row>
    <row r="558" spans="1:51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</row>
    <row r="559" spans="1:51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</row>
    <row r="560" spans="1:5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</row>
    <row r="561" spans="1:51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</row>
    <row r="562" spans="1:51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</row>
    <row r="563" spans="1:5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</row>
    <row r="564" spans="1:5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</row>
    <row r="565" spans="1:51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</row>
    <row r="566" spans="1:51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</row>
    <row r="567" spans="1:51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</row>
    <row r="568" spans="1:5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</row>
    <row r="569" spans="1:5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</row>
    <row r="570" spans="1:5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</row>
    <row r="571" spans="1:5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</row>
    <row r="572" spans="1:51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</row>
    <row r="573" spans="1:51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</row>
    <row r="574" spans="1:5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</row>
    <row r="575" spans="1:51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</row>
    <row r="576" spans="1:51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</row>
    <row r="577" spans="1:5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</row>
    <row r="578" spans="1:51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</row>
    <row r="579" spans="1:51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</row>
    <row r="580" spans="1:5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</row>
    <row r="581" spans="1:5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</row>
    <row r="582" spans="1:5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</row>
    <row r="583" spans="1:5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</row>
    <row r="584" spans="1:51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</row>
    <row r="585" spans="1:51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</row>
    <row r="586" spans="1:51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</row>
    <row r="587" spans="1:5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</row>
    <row r="588" spans="1:5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</row>
    <row r="589" spans="1:51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</row>
    <row r="590" spans="1:51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</row>
    <row r="591" spans="1:5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</row>
    <row r="592" spans="1:5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</row>
    <row r="593" spans="1:5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</row>
    <row r="594" spans="1:5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</row>
    <row r="595" spans="1:5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</row>
    <row r="596" spans="1:5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</row>
    <row r="597" spans="1:5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</row>
    <row r="598" spans="1:5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</row>
    <row r="599" spans="1:5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</row>
    <row r="600" spans="1:5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</row>
    <row r="601" spans="1:5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</row>
    <row r="602" spans="1:5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</row>
    <row r="603" spans="1:51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</row>
    <row r="604" spans="1:51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</row>
    <row r="605" spans="1:5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</row>
    <row r="606" spans="1:51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</row>
    <row r="607" spans="1:51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</row>
    <row r="608" spans="1:5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</row>
    <row r="609" spans="1:5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</row>
    <row r="610" spans="1:5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</row>
    <row r="611" spans="1:51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</row>
    <row r="612" spans="1:51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</row>
    <row r="613" spans="1:51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</row>
    <row r="614" spans="1:5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</row>
    <row r="615" spans="1:5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</row>
    <row r="616" spans="1:5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</row>
    <row r="617" spans="1:51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</row>
    <row r="618" spans="1:51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</row>
    <row r="619" spans="1:51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</row>
    <row r="620" spans="1:5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</row>
    <row r="621" spans="1:51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</row>
    <row r="622" spans="1:51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</row>
    <row r="623" spans="1:5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</row>
    <row r="624" spans="1:51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</row>
    <row r="625" spans="1:51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</row>
    <row r="626" spans="1:51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</row>
    <row r="627" spans="1:5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</row>
    <row r="628" spans="1:5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</row>
    <row r="629" spans="1:5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</row>
    <row r="630" spans="1:51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</row>
    <row r="631" spans="1:51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</row>
    <row r="632" spans="1:5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</row>
    <row r="633" spans="1:51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</row>
    <row r="634" spans="1:51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</row>
    <row r="635" spans="1:5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</row>
    <row r="636" spans="1:51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</row>
    <row r="637" spans="1:51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</row>
    <row r="638" spans="1:51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</row>
    <row r="639" spans="1:5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</row>
    <row r="640" spans="1:5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</row>
    <row r="641" spans="1:51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</row>
    <row r="642" spans="1:51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</row>
    <row r="643" spans="1:5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</row>
    <row r="644" spans="1:51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</row>
    <row r="645" spans="1:51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</row>
    <row r="646" spans="1:5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</row>
    <row r="647" spans="1:51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</row>
    <row r="648" spans="1:51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</row>
    <row r="649" spans="1:5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</row>
    <row r="650" spans="1:5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</row>
    <row r="651" spans="1:51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</row>
    <row r="652" spans="1:51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</row>
    <row r="653" spans="1:51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</row>
    <row r="654" spans="1:5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</row>
    <row r="655" spans="1:51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</row>
    <row r="656" spans="1:51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</row>
    <row r="657" spans="1:5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</row>
    <row r="658" spans="1:51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</row>
    <row r="659" spans="1:51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</row>
    <row r="660" spans="1:51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</row>
    <row r="661" spans="1:5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</row>
    <row r="662" spans="1:5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</row>
    <row r="663" spans="1:5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</row>
    <row r="664" spans="1:5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</row>
    <row r="665" spans="1:5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</row>
    <row r="666" spans="1:5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</row>
    <row r="667" spans="1:51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</row>
    <row r="668" spans="1:51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</row>
    <row r="669" spans="1:5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</row>
    <row r="670" spans="1:5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</row>
    <row r="671" spans="1:5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</row>
    <row r="672" spans="1:5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</row>
    <row r="673" spans="1:5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</row>
    <row r="674" spans="1:5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</row>
    <row r="675" spans="1:5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</row>
    <row r="676" spans="1:5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</row>
    <row r="677" spans="1:5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</row>
    <row r="678" spans="1:5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</row>
    <row r="679" spans="1:5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</row>
    <row r="680" spans="1:5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</row>
    <row r="681" spans="1:5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</row>
    <row r="682" spans="1:5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</row>
    <row r="683" spans="1:5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</row>
    <row r="684" spans="1:5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</row>
    <row r="685" spans="1:5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</row>
    <row r="686" spans="1:5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</row>
    <row r="687" spans="1:5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</row>
    <row r="688" spans="1:5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</row>
    <row r="689" spans="1:5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</row>
    <row r="690" spans="1:5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</row>
    <row r="691" spans="1:5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</row>
    <row r="692" spans="1:5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</row>
    <row r="693" spans="1:5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</row>
    <row r="694" spans="1:5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</row>
    <row r="695" spans="1:5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</row>
    <row r="696" spans="1:51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</row>
    <row r="697" spans="1:51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</row>
    <row r="698" spans="1:5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</row>
    <row r="699" spans="1:5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</row>
    <row r="700" spans="1:5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</row>
    <row r="701" spans="1:5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</row>
    <row r="702" spans="1:51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</row>
    <row r="703" spans="1:51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</row>
    <row r="704" spans="1:51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</row>
    <row r="705" spans="1:5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</row>
    <row r="706" spans="1:5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</row>
    <row r="707" spans="1:5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</row>
    <row r="708" spans="1:51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</row>
    <row r="709" spans="1:51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</row>
    <row r="710" spans="1:5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</row>
    <row r="711" spans="1:5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</row>
    <row r="712" spans="1:51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</row>
    <row r="713" spans="1:51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</row>
    <row r="714" spans="1:51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</row>
    <row r="715" spans="1:51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</row>
    <row r="716" spans="1:5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</row>
    <row r="717" spans="1:5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</row>
    <row r="718" spans="1:5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</row>
    <row r="719" spans="1:5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</row>
    <row r="720" spans="1:5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</row>
    <row r="721" spans="1:5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</row>
    <row r="722" spans="1:5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</row>
    <row r="723" spans="1:51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</row>
    <row r="724" spans="1:51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</row>
    <row r="725" spans="1:5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</row>
    <row r="726" spans="1:51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</row>
    <row r="727" spans="1:51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</row>
    <row r="728" spans="1:51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</row>
    <row r="729" spans="1:5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</row>
    <row r="730" spans="1:5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</row>
    <row r="731" spans="1:5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</row>
    <row r="732" spans="1:5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</row>
    <row r="733" spans="1:5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</row>
    <row r="734" spans="1:5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</row>
    <row r="735" spans="1:5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</row>
    <row r="736" spans="1:5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</row>
    <row r="737" spans="1:5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</row>
    <row r="738" spans="1:5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</row>
    <row r="739" spans="1:5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</row>
    <row r="740" spans="1:5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</row>
    <row r="741" spans="1:5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</row>
    <row r="742" spans="1:5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</row>
    <row r="743" spans="1:5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</row>
    <row r="744" spans="1:5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</row>
    <row r="745" spans="1:5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</row>
    <row r="746" spans="1:5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</row>
    <row r="747" spans="1:5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</row>
    <row r="748" spans="1:51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</row>
    <row r="749" spans="1:51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</row>
    <row r="750" spans="1:51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</row>
    <row r="751" spans="1:5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</row>
    <row r="752" spans="1:5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</row>
    <row r="753" spans="1:5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</row>
    <row r="754" spans="1:5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</row>
    <row r="755" spans="1:5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</row>
    <row r="756" spans="1:5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</row>
    <row r="757" spans="1:5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</row>
    <row r="758" spans="1:5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</row>
    <row r="759" spans="1:51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</row>
    <row r="760" spans="1:51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</row>
    <row r="761" spans="1:51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</row>
    <row r="762" spans="1:5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</row>
    <row r="763" spans="1:5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</row>
    <row r="764" spans="1:5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</row>
    <row r="765" spans="1:5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</row>
    <row r="766" spans="1:5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</row>
    <row r="767" spans="1:5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</row>
    <row r="768" spans="1:5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</row>
    <row r="769" spans="1:5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</row>
    <row r="770" spans="1:51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</row>
    <row r="771" spans="1:5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</row>
    <row r="772" spans="1:5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</row>
    <row r="773" spans="1:5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</row>
    <row r="774" spans="1:5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</row>
    <row r="775" spans="1:5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</row>
    <row r="776" spans="1:5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</row>
    <row r="777" spans="1:5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</row>
    <row r="778" spans="1:5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</row>
    <row r="779" spans="1:51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</row>
    <row r="780" spans="1:51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</row>
    <row r="781" spans="1:5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</row>
    <row r="782" spans="1:5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</row>
    <row r="783" spans="1:5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</row>
    <row r="784" spans="1:5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</row>
    <row r="785" spans="1:5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</row>
    <row r="786" spans="1:5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</row>
    <row r="787" spans="1:5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</row>
    <row r="788" spans="1:5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</row>
    <row r="789" spans="1:5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</row>
    <row r="790" spans="1:5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</row>
    <row r="791" spans="1:5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</row>
    <row r="792" spans="1:5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</row>
    <row r="793" spans="1:5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</row>
    <row r="794" spans="1:5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</row>
    <row r="795" spans="1:5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</row>
    <row r="796" spans="1:5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</row>
    <row r="797" spans="1:5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</row>
    <row r="798" spans="1:51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</row>
    <row r="799" spans="1:5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</row>
    <row r="800" spans="1:5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</row>
    <row r="801" spans="1:5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</row>
    <row r="802" spans="1:5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</row>
    <row r="803" spans="1:5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</row>
    <row r="804" spans="1:5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</row>
    <row r="805" spans="1:5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</row>
    <row r="806" spans="1:5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</row>
    <row r="807" spans="1:51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</row>
    <row r="808" spans="1:51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</row>
    <row r="809" spans="1:5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</row>
    <row r="810" spans="1:5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</row>
    <row r="811" spans="1:5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</row>
    <row r="812" spans="1:5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</row>
    <row r="813" spans="1:5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</row>
    <row r="814" spans="1:5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</row>
    <row r="815" spans="1:5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</row>
    <row r="816" spans="1:51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</row>
    <row r="817" spans="1:51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</row>
    <row r="818" spans="1:5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</row>
    <row r="819" spans="1:5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</row>
    <row r="820" spans="1:51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</row>
    <row r="821" spans="1:5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</row>
    <row r="822" spans="1:5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</row>
    <row r="823" spans="1:5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</row>
    <row r="824" spans="1:5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</row>
    <row r="825" spans="1:5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</row>
    <row r="826" spans="1:51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</row>
    <row r="827" spans="1:51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</row>
    <row r="828" spans="1:5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</row>
    <row r="829" spans="1:5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</row>
    <row r="830" spans="1:5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</row>
    <row r="831" spans="1:5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</row>
    <row r="832" spans="1:5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</row>
    <row r="833" spans="1:51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</row>
    <row r="834" spans="1:51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</row>
    <row r="835" spans="1:51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</row>
    <row r="836" spans="1:5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</row>
    <row r="837" spans="1:5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</row>
    <row r="838" spans="1:5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</row>
    <row r="839" spans="1:5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</row>
    <row r="840" spans="1:5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</row>
    <row r="841" spans="1:5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</row>
    <row r="842" spans="1:5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</row>
    <row r="843" spans="1:51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</row>
    <row r="844" spans="1:51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</row>
    <row r="845" spans="1:5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</row>
    <row r="846" spans="1:51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</row>
    <row r="847" spans="1:51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</row>
    <row r="848" spans="1:51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</row>
    <row r="849" spans="1:5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</row>
    <row r="850" spans="1:51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</row>
    <row r="851" spans="1:51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</row>
    <row r="852" spans="1:51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</row>
    <row r="853" spans="1:51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</row>
    <row r="854" spans="1:5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</row>
    <row r="855" spans="1:5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</row>
    <row r="856" spans="1:5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</row>
    <row r="857" spans="1:5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</row>
    <row r="858" spans="1:5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</row>
    <row r="859" spans="1:5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</row>
    <row r="860" spans="1:5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</row>
    <row r="861" spans="1:5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</row>
    <row r="862" spans="1:5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</row>
    <row r="863" spans="1:5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</row>
    <row r="864" spans="1:5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</row>
    <row r="865" spans="1:5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</row>
    <row r="866" spans="1:5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</row>
    <row r="867" spans="1:5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</row>
    <row r="868" spans="1:5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</row>
    <row r="869" spans="1:5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</row>
    <row r="870" spans="1:5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</row>
    <row r="871" spans="1:5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</row>
    <row r="872" spans="1:5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</row>
    <row r="873" spans="1:5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</row>
    <row r="874" spans="1:5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</row>
    <row r="875" spans="1:5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</row>
    <row r="876" spans="1:51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</row>
    <row r="877" spans="1:51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</row>
    <row r="878" spans="1:5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</row>
    <row r="879" spans="1:5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</row>
    <row r="880" spans="1:5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</row>
    <row r="881" spans="1:5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</row>
    <row r="882" spans="1:5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</row>
    <row r="883" spans="1:5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</row>
    <row r="884" spans="1:5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</row>
    <row r="885" spans="1:5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</row>
    <row r="886" spans="1:5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</row>
    <row r="887" spans="1:51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</row>
    <row r="888" spans="1:51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</row>
    <row r="889" spans="1:5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</row>
    <row r="890" spans="1:51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</row>
    <row r="891" spans="1:51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</row>
    <row r="892" spans="1:51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</row>
    <row r="893" spans="1:51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</row>
    <row r="894" spans="1:5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</row>
    <row r="895" spans="1:5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</row>
    <row r="896" spans="1:5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</row>
    <row r="897" spans="1:5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</row>
    <row r="898" spans="1:5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</row>
    <row r="899" spans="1:5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</row>
    <row r="900" spans="1:5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</row>
    <row r="901" spans="1:5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</row>
    <row r="902" spans="1:5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</row>
    <row r="903" spans="1:51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</row>
    <row r="904" spans="1:51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</row>
    <row r="905" spans="1:5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</row>
    <row r="906" spans="1:51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</row>
    <row r="907" spans="1:51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</row>
    <row r="908" spans="1:5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</row>
    <row r="909" spans="1:5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</row>
    <row r="910" spans="1:5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</row>
    <row r="911" spans="1:5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</row>
    <row r="912" spans="1:5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</row>
    <row r="913" spans="1:5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</row>
    <row r="914" spans="1:5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</row>
    <row r="915" spans="1:5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</row>
    <row r="916" spans="1:5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</row>
    <row r="917" spans="1:5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</row>
    <row r="918" spans="1:51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</row>
    <row r="919" spans="1:51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</row>
    <row r="920" spans="1:51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</row>
    <row r="921" spans="1:51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</row>
    <row r="922" spans="1:5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</row>
    <row r="923" spans="1:5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</row>
    <row r="924" spans="1:5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</row>
    <row r="925" spans="1:5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</row>
    <row r="926" spans="1:5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</row>
    <row r="927" spans="1:5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</row>
    <row r="928" spans="1:51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</row>
    <row r="929" spans="1:51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</row>
    <row r="930" spans="1:51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</row>
    <row r="931" spans="1:5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</row>
    <row r="932" spans="1:5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</row>
    <row r="933" spans="1:5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</row>
    <row r="934" spans="1:5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</row>
    <row r="935" spans="1:5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</row>
    <row r="936" spans="1:5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</row>
    <row r="937" spans="1:5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</row>
    <row r="938" spans="1:5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</row>
    <row r="939" spans="1:51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</row>
    <row r="940" spans="1:51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</row>
    <row r="941" spans="1:51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</row>
    <row r="942" spans="1:51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</row>
    <row r="943" spans="1:5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</row>
    <row r="944" spans="1:5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</row>
    <row r="945" spans="1:5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</row>
    <row r="946" spans="1:5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</row>
    <row r="947" spans="1:5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</row>
    <row r="948" spans="1:5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</row>
    <row r="949" spans="1:5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</row>
    <row r="950" spans="1:5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</row>
    <row r="951" spans="1:5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</row>
    <row r="952" spans="1:5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</row>
    <row r="953" spans="1:5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</row>
    <row r="954" spans="1:5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</row>
    <row r="955" spans="1:5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</row>
    <row r="956" spans="1:5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</row>
    <row r="957" spans="1:5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</row>
    <row r="958" spans="1:5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</row>
    <row r="959" spans="1:51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</row>
    <row r="960" spans="1:51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</row>
    <row r="961" spans="1:5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</row>
    <row r="962" spans="1:51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</row>
    <row r="963" spans="1:51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</row>
    <row r="964" spans="1:5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</row>
    <row r="965" spans="1:5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</row>
    <row r="966" spans="1:5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</row>
    <row r="967" spans="1:5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</row>
    <row r="968" spans="1:5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</row>
    <row r="969" spans="1:5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</row>
    <row r="970" spans="1:5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</row>
    <row r="971" spans="1:5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</row>
    <row r="972" spans="1:51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</row>
    <row r="973" spans="1:51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</row>
    <row r="974" spans="1:51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</row>
    <row r="975" spans="1:5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</row>
    <row r="976" spans="1:5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</row>
    <row r="977" spans="1:5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</row>
    <row r="978" spans="1:5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</row>
    <row r="979" spans="1:5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</row>
    <row r="980" spans="1:5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</row>
    <row r="981" spans="1:51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</row>
    <row r="982" spans="1:51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</row>
    <row r="983" spans="1:51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</row>
    <row r="984" spans="1:5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</row>
    <row r="985" spans="1:51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</row>
    <row r="986" spans="1:51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</row>
    <row r="987" spans="1:5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</row>
    <row r="988" spans="1:5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</row>
    <row r="989" spans="1:5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</row>
    <row r="990" spans="1:5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</row>
    <row r="991" spans="1:5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</row>
    <row r="992" spans="1:5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</row>
    <row r="993" spans="1:5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</row>
    <row r="994" spans="1:5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</row>
    <row r="995" spans="1:5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</row>
    <row r="996" spans="1:5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</row>
    <row r="997" spans="1:5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</row>
    <row r="998" spans="1:51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</row>
    <row r="999" spans="1:51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</row>
    <row r="1000" spans="1:51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</row>
  </sheetData>
  <dataValidations count="1">
    <dataValidation type="list" allowBlank="1" showInputMessage="1" showErrorMessage="1" sqref="J24" xr:uid="{18DCA78E-B7CC-406A-A539-D8521B82E79D}">
      <formula1>#REF!</formula1>
    </dataValidation>
  </dataValidation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O1000"/>
  <sheetViews>
    <sheetView topLeftCell="G1" zoomScaleNormal="100" workbookViewId="0">
      <selection activeCell="I8" sqref="I8"/>
    </sheetView>
  </sheetViews>
  <sheetFormatPr defaultColWidth="14.42578125" defaultRowHeight="15" customHeight="1" x14ac:dyDescent="0.25"/>
  <cols>
    <col min="1" max="1" width="52.5703125" customWidth="1"/>
    <col min="2" max="2" width="17.5703125" customWidth="1"/>
    <col min="3" max="3" width="16.42578125" customWidth="1"/>
    <col min="4" max="4" width="8.85546875" customWidth="1"/>
    <col min="5" max="5" width="48" customWidth="1"/>
    <col min="6" max="6" width="14.42578125" customWidth="1"/>
    <col min="7" max="7" width="8.85546875" customWidth="1"/>
    <col min="8" max="8" width="19.42578125" customWidth="1"/>
    <col min="9" max="9" width="55.42578125" bestFit="1" customWidth="1"/>
    <col min="10" max="10" width="17.42578125" customWidth="1"/>
    <col min="11" max="14" width="8.85546875" customWidth="1"/>
    <col min="15" max="15" width="20" customWidth="1"/>
    <col min="16" max="16" width="16.42578125" customWidth="1"/>
    <col min="17" max="17" width="25.42578125" customWidth="1"/>
    <col min="18" max="18" width="16.42578125" customWidth="1"/>
    <col min="19" max="19" width="16" customWidth="1"/>
    <col min="20" max="20" width="22" customWidth="1"/>
    <col min="21" max="21" width="23.85546875" customWidth="1"/>
    <col min="22" max="22" width="12.5703125" customWidth="1"/>
    <col min="23" max="23" width="19.42578125" customWidth="1"/>
    <col min="24" max="24" width="13.42578125" customWidth="1"/>
    <col min="25" max="25" width="8.85546875" customWidth="1"/>
    <col min="26" max="26" width="20.140625" customWidth="1"/>
    <col min="27" max="27" width="25" customWidth="1"/>
    <col min="28" max="28" width="12.85546875" customWidth="1"/>
    <col min="29" max="29" width="19" customWidth="1"/>
    <col min="30" max="30" width="4.5703125" customWidth="1"/>
    <col min="31" max="31" width="20.140625" customWidth="1"/>
    <col min="32" max="32" width="19.42578125" customWidth="1"/>
    <col min="33" max="33" width="11.42578125" customWidth="1"/>
    <col min="34" max="34" width="17.85546875" customWidth="1"/>
  </cols>
  <sheetData>
    <row r="1" spans="1:34" x14ac:dyDescent="0.25">
      <c r="A1" s="1" t="s">
        <v>0</v>
      </c>
      <c r="B1" s="2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25">
      <c r="A2" s="1" t="s">
        <v>2</v>
      </c>
      <c r="B2" s="4">
        <f>U49</f>
        <v>22540.744610981794</v>
      </c>
      <c r="C2" s="1" t="s">
        <v>3</v>
      </c>
      <c r="D2" s="3"/>
      <c r="E2" s="3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3"/>
      <c r="B3" s="6">
        <f>B2/F41</f>
        <v>6.4402127459947986E-2</v>
      </c>
      <c r="C3" s="1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25">
      <c r="A4" s="1" t="s">
        <v>5</v>
      </c>
      <c r="B4" s="3"/>
      <c r="C4" s="3"/>
      <c r="D4" s="3"/>
      <c r="E4" s="7"/>
      <c r="F4" s="3"/>
      <c r="G4" s="3"/>
      <c r="H4" s="3"/>
      <c r="I4" s="3"/>
      <c r="J4" s="5"/>
      <c r="K4" s="3"/>
      <c r="L4" s="3"/>
      <c r="M4" s="3"/>
      <c r="N4" s="1" t="s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 t="s">
        <v>7</v>
      </c>
      <c r="AA4" s="3"/>
      <c r="AB4" s="3"/>
      <c r="AC4" s="3"/>
      <c r="AD4" s="3"/>
      <c r="AE4" s="3"/>
      <c r="AF4" s="3"/>
      <c r="AG4" s="3"/>
      <c r="AH4" s="3"/>
    </row>
    <row r="5" spans="1:34" x14ac:dyDescent="0.25">
      <c r="A5" s="3" t="s">
        <v>8</v>
      </c>
      <c r="B5" s="8">
        <v>10</v>
      </c>
      <c r="C5" s="3" t="s">
        <v>9</v>
      </c>
      <c r="D5" s="3"/>
      <c r="E5" s="3"/>
      <c r="F5" s="7"/>
      <c r="G5" s="3"/>
      <c r="H5" s="3"/>
      <c r="I5" s="3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3"/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10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9" t="s">
        <v>11</v>
      </c>
      <c r="B7" s="10"/>
      <c r="C7" s="10"/>
      <c r="D7" s="10"/>
      <c r="E7" s="10"/>
      <c r="F7" s="10"/>
      <c r="G7" s="10"/>
      <c r="H7" s="11"/>
      <c r="I7" s="12" t="s">
        <v>12</v>
      </c>
      <c r="J7" s="10"/>
      <c r="K7" s="10"/>
      <c r="L7" s="11"/>
      <c r="M7" s="3"/>
      <c r="N7" s="13" t="s">
        <v>13</v>
      </c>
      <c r="O7" s="13" t="s">
        <v>14</v>
      </c>
      <c r="P7" s="13" t="s">
        <v>15</v>
      </c>
      <c r="Q7" s="13" t="s">
        <v>108</v>
      </c>
      <c r="R7" s="13" t="s">
        <v>109</v>
      </c>
      <c r="S7" s="13"/>
      <c r="T7" s="13" t="s">
        <v>142</v>
      </c>
      <c r="U7" s="14" t="s">
        <v>21</v>
      </c>
      <c r="V7" s="1"/>
      <c r="W7" s="3"/>
      <c r="X7" s="3"/>
      <c r="Y7" s="3"/>
      <c r="Z7" s="3" t="s">
        <v>22</v>
      </c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15" t="s">
        <v>23</v>
      </c>
      <c r="B8" s="16">
        <v>1.34</v>
      </c>
      <c r="C8" s="3" t="s">
        <v>24</v>
      </c>
      <c r="D8" s="3"/>
      <c r="E8" s="3"/>
      <c r="F8" s="3"/>
      <c r="G8" s="3"/>
      <c r="H8" s="17"/>
      <c r="I8" s="18" t="s">
        <v>173</v>
      </c>
      <c r="J8" s="8">
        <v>6224.5161290322585</v>
      </c>
      <c r="K8" s="3" t="s">
        <v>26</v>
      </c>
      <c r="L8" s="17"/>
      <c r="M8" s="3"/>
      <c r="N8" s="13">
        <v>0</v>
      </c>
      <c r="O8" s="19">
        <f>F31</f>
        <v>1994.2167356764562</v>
      </c>
      <c r="P8" s="13"/>
      <c r="Q8" s="13"/>
      <c r="R8" s="13"/>
      <c r="S8" s="13"/>
      <c r="T8" s="13"/>
      <c r="U8" s="20">
        <f t="shared" ref="U8:U48" si="0">SUM(O8:T8)</f>
        <v>1994.2167356764562</v>
      </c>
      <c r="V8" s="4"/>
      <c r="W8" s="8"/>
      <c r="X8" s="3"/>
      <c r="Y8" s="3"/>
      <c r="Z8" s="3" t="s">
        <v>155</v>
      </c>
      <c r="AA8" s="21">
        <f>F36</f>
        <v>0.39552238805970147</v>
      </c>
      <c r="AB8" s="3" t="s">
        <v>111</v>
      </c>
      <c r="AC8" s="3"/>
      <c r="AD8" s="3"/>
      <c r="AE8" s="3"/>
      <c r="AF8" s="3"/>
      <c r="AG8" s="3"/>
      <c r="AH8" s="3"/>
    </row>
    <row r="9" spans="1:34" x14ac:dyDescent="0.25">
      <c r="A9" s="15"/>
      <c r="B9" s="3"/>
      <c r="C9" s="3"/>
      <c r="D9" s="3"/>
      <c r="E9" s="3"/>
      <c r="F9" s="7"/>
      <c r="G9" s="3"/>
      <c r="H9" s="17"/>
      <c r="I9" s="3"/>
      <c r="J9" s="3"/>
      <c r="K9" s="3"/>
      <c r="L9" s="17"/>
      <c r="M9" s="3"/>
      <c r="N9" s="13">
        <v>1</v>
      </c>
      <c r="O9" s="13"/>
      <c r="P9" s="22">
        <f t="shared" ref="P9:P48" si="1">IF(N9&gt;0,IF(N9&lt;=$J$15,(($F$32+$F$33)/$J$15)/((1+($F$11/100))^N9),0),0)</f>
        <v>1124.7004338649208</v>
      </c>
      <c r="Q9" s="23">
        <f t="shared" ref="Q9:Q48" si="2">IF(N9&gt;0,($F$38*((1+($F$14/100))^(N9-1)))/((1+($F$11/100))^N9),0)</f>
        <v>951.31569639951886</v>
      </c>
      <c r="R9" s="23">
        <f t="shared" ref="R9:R48" si="3">IF(N9&gt;0,$J$31/((1+($F$11/100))^N9),0)</f>
        <v>1150.9089622975173</v>
      </c>
      <c r="S9" s="23"/>
      <c r="T9" s="22">
        <f t="shared" ref="T9:T48" si="4">IF(N9=$B$5,((((1-$J$12/100)^N9)*$B$44)/((1+($F$11/100))^N9))*-1,0)</f>
        <v>0</v>
      </c>
      <c r="U9" s="20">
        <f t="shared" si="0"/>
        <v>3226.9250925619572</v>
      </c>
      <c r="V9" s="4"/>
      <c r="W9" s="8"/>
      <c r="X9" s="3"/>
      <c r="Y9" s="3"/>
      <c r="Z9" s="3" t="s">
        <v>146</v>
      </c>
      <c r="AA9" s="25">
        <f>B47</f>
        <v>6647.389118921521</v>
      </c>
      <c r="AB9" s="3" t="s">
        <v>3</v>
      </c>
      <c r="AC9" s="3"/>
      <c r="AD9" s="8"/>
      <c r="AE9" s="3"/>
      <c r="AF9" s="3"/>
      <c r="AG9" s="3"/>
      <c r="AH9" s="3"/>
    </row>
    <row r="10" spans="1:34" x14ac:dyDescent="0.25">
      <c r="A10" s="24" t="s">
        <v>31</v>
      </c>
      <c r="B10" s="3"/>
      <c r="C10" s="3"/>
      <c r="D10" s="3"/>
      <c r="E10" s="1" t="s">
        <v>32</v>
      </c>
      <c r="F10" s="3"/>
      <c r="G10" s="3"/>
      <c r="H10" s="17"/>
      <c r="I10" s="18" t="s">
        <v>112</v>
      </c>
      <c r="J10" s="16">
        <v>7.2499999999999995E-2</v>
      </c>
      <c r="K10" s="3" t="s">
        <v>113</v>
      </c>
      <c r="L10" s="17"/>
      <c r="M10" s="3"/>
      <c r="N10" s="13">
        <f t="shared" ref="N10:N48" si="5">IF((N9+1)&gt;$B$5,,IF(N9=0,,N9+1))</f>
        <v>2</v>
      </c>
      <c r="O10" s="13"/>
      <c r="P10" s="22">
        <f t="shared" si="1"/>
        <v>1066.066761957271</v>
      </c>
      <c r="Q10" s="23">
        <f t="shared" si="2"/>
        <v>910.73824963366269</v>
      </c>
      <c r="R10" s="23">
        <f t="shared" si="3"/>
        <v>1090.9089690023859</v>
      </c>
      <c r="S10" s="23"/>
      <c r="T10" s="22">
        <f t="shared" si="4"/>
        <v>0</v>
      </c>
      <c r="U10" s="20">
        <f t="shared" si="0"/>
        <v>3067.7139805933193</v>
      </c>
      <c r="V10" s="4"/>
      <c r="W10" s="8"/>
      <c r="X10" s="3"/>
      <c r="Y10" s="3"/>
      <c r="Z10" s="3" t="s">
        <v>39</v>
      </c>
      <c r="AA10" s="8">
        <f>F12</f>
        <v>35000</v>
      </c>
      <c r="AB10" s="3" t="s">
        <v>40</v>
      </c>
      <c r="AC10" s="3"/>
      <c r="AD10" s="8"/>
      <c r="AE10" s="3"/>
      <c r="AF10" s="3"/>
      <c r="AG10" s="3"/>
      <c r="AH10" s="3"/>
    </row>
    <row r="11" spans="1:34" x14ac:dyDescent="0.25">
      <c r="A11" s="26" t="s">
        <v>151</v>
      </c>
      <c r="B11" s="3">
        <v>0</v>
      </c>
      <c r="C11" s="3" t="s">
        <v>35</v>
      </c>
      <c r="D11" s="3"/>
      <c r="E11" s="18" t="s">
        <v>36</v>
      </c>
      <c r="F11" s="3">
        <v>5.5</v>
      </c>
      <c r="G11" s="3" t="s">
        <v>35</v>
      </c>
      <c r="H11" s="17"/>
      <c r="I11" s="18" t="s">
        <v>49</v>
      </c>
      <c r="J11" s="3">
        <v>30</v>
      </c>
      <c r="K11" s="3" t="s">
        <v>50</v>
      </c>
      <c r="L11" s="17"/>
      <c r="M11" s="3"/>
      <c r="N11" s="13">
        <f t="shared" si="5"/>
        <v>3</v>
      </c>
      <c r="O11" s="13"/>
      <c r="P11" s="22">
        <f t="shared" si="1"/>
        <v>1010.4898217604465</v>
      </c>
      <c r="Q11" s="23">
        <f t="shared" si="2"/>
        <v>871.89159443601841</v>
      </c>
      <c r="R11" s="23">
        <f t="shared" si="3"/>
        <v>1034.03693744302</v>
      </c>
      <c r="S11" s="23"/>
      <c r="T11" s="22">
        <f t="shared" si="4"/>
        <v>0</v>
      </c>
      <c r="U11" s="20">
        <f t="shared" si="0"/>
        <v>2916.4183536394848</v>
      </c>
      <c r="V11" s="4"/>
      <c r="W11" s="8"/>
      <c r="X11" s="3"/>
      <c r="Y11" s="3"/>
      <c r="Z11" s="18" t="s">
        <v>45</v>
      </c>
      <c r="AA11" s="8">
        <f>J36</f>
        <v>1106</v>
      </c>
      <c r="AB11" s="3" t="s">
        <v>46</v>
      </c>
      <c r="AC11" s="3"/>
      <c r="AD11" s="8"/>
      <c r="AE11" s="3"/>
      <c r="AF11" s="3"/>
      <c r="AG11" s="3"/>
      <c r="AH11" s="3"/>
    </row>
    <row r="12" spans="1:34" x14ac:dyDescent="0.25">
      <c r="A12" s="26" t="s">
        <v>41</v>
      </c>
      <c r="B12" s="3">
        <v>0</v>
      </c>
      <c r="C12" s="3" t="s">
        <v>35</v>
      </c>
      <c r="D12" s="3"/>
      <c r="E12" s="18" t="s">
        <v>42</v>
      </c>
      <c r="F12" s="8">
        <v>35000</v>
      </c>
      <c r="G12" s="3" t="s">
        <v>40</v>
      </c>
      <c r="H12" s="17"/>
      <c r="I12" s="18" t="s">
        <v>56</v>
      </c>
      <c r="J12" s="3">
        <v>7.08</v>
      </c>
      <c r="K12" s="3" t="s">
        <v>57</v>
      </c>
      <c r="L12" s="17"/>
      <c r="M12" s="3"/>
      <c r="N12" s="13">
        <f t="shared" si="5"/>
        <v>4</v>
      </c>
      <c r="O12" s="13"/>
      <c r="P12" s="22">
        <f t="shared" si="1"/>
        <v>957.81025759284023</v>
      </c>
      <c r="Q12" s="23">
        <f t="shared" si="2"/>
        <v>834.70190557381829</v>
      </c>
      <c r="R12" s="23">
        <f t="shared" si="3"/>
        <v>980.1297985241896</v>
      </c>
      <c r="S12" s="23"/>
      <c r="T12" s="22">
        <f t="shared" si="4"/>
        <v>0</v>
      </c>
      <c r="U12" s="20">
        <f t="shared" si="0"/>
        <v>2772.6419616908479</v>
      </c>
      <c r="V12" s="4"/>
      <c r="W12" s="8"/>
      <c r="X12" s="3"/>
      <c r="Y12" s="3"/>
      <c r="Z12" s="87" t="s">
        <v>172</v>
      </c>
      <c r="AA12" s="88">
        <f>J10</f>
        <v>7.2499999999999995E-2</v>
      </c>
      <c r="AB12" s="87" t="s">
        <v>113</v>
      </c>
      <c r="AC12" s="3"/>
      <c r="AD12" s="8"/>
      <c r="AE12" s="3"/>
      <c r="AF12" s="3"/>
      <c r="AG12" s="3"/>
      <c r="AH12" s="3"/>
    </row>
    <row r="13" spans="1:34" x14ac:dyDescent="0.25">
      <c r="A13" s="26" t="s">
        <v>47</v>
      </c>
      <c r="B13" s="3">
        <v>0</v>
      </c>
      <c r="C13" s="3" t="s">
        <v>35</v>
      </c>
      <c r="D13" s="3"/>
      <c r="E13" s="18" t="s">
        <v>110</v>
      </c>
      <c r="F13" s="16">
        <v>0.53</v>
      </c>
      <c r="G13" s="3" t="s">
        <v>114</v>
      </c>
      <c r="H13" s="17"/>
      <c r="I13" s="18"/>
      <c r="J13" s="8"/>
      <c r="K13" s="3"/>
      <c r="L13" s="17"/>
      <c r="M13" s="3"/>
      <c r="N13" s="13">
        <f t="shared" si="5"/>
        <v>5</v>
      </c>
      <c r="O13" s="13"/>
      <c r="P13" s="22">
        <f t="shared" si="1"/>
        <v>907.8770214150145</v>
      </c>
      <c r="Q13" s="23">
        <f t="shared" si="2"/>
        <v>799.09850675787368</v>
      </c>
      <c r="R13" s="23">
        <f t="shared" si="3"/>
        <v>929.03298438311811</v>
      </c>
      <c r="S13" s="23"/>
      <c r="T13" s="22">
        <f t="shared" si="4"/>
        <v>0</v>
      </c>
      <c r="U13" s="20">
        <f t="shared" si="0"/>
        <v>2636.0085125560063</v>
      </c>
      <c r="V13" s="4"/>
      <c r="W13" s="8"/>
      <c r="X13" s="3"/>
      <c r="Y13" s="3"/>
      <c r="Z13" s="3"/>
      <c r="AA13" s="3"/>
      <c r="AB13" s="3"/>
      <c r="AC13" s="3"/>
      <c r="AD13" s="8"/>
      <c r="AE13" s="3"/>
      <c r="AF13" s="3"/>
      <c r="AG13" s="3"/>
      <c r="AH13" s="3"/>
    </row>
    <row r="14" spans="1:34" x14ac:dyDescent="0.25">
      <c r="A14" s="26"/>
      <c r="B14" s="3"/>
      <c r="C14" s="3"/>
      <c r="D14" s="3"/>
      <c r="E14" s="18" t="s">
        <v>115</v>
      </c>
      <c r="F14" s="3">
        <v>1</v>
      </c>
      <c r="G14" s="3" t="s">
        <v>52</v>
      </c>
      <c r="H14" s="17"/>
      <c r="I14" s="1" t="s">
        <v>67</v>
      </c>
      <c r="J14" s="3"/>
      <c r="K14" s="3"/>
      <c r="L14" s="17"/>
      <c r="M14" s="3"/>
      <c r="N14" s="13">
        <f t="shared" si="5"/>
        <v>6</v>
      </c>
      <c r="O14" s="13"/>
      <c r="P14" s="22">
        <f t="shared" si="1"/>
        <v>0</v>
      </c>
      <c r="Q14" s="23">
        <f t="shared" si="2"/>
        <v>765.01373632744298</v>
      </c>
      <c r="R14" s="23">
        <f t="shared" si="3"/>
        <v>880.59998519726844</v>
      </c>
      <c r="S14" s="23"/>
      <c r="T14" s="22">
        <f t="shared" si="4"/>
        <v>0</v>
      </c>
      <c r="U14" s="20">
        <f t="shared" si="0"/>
        <v>1645.6137215247113</v>
      </c>
      <c r="V14" s="4"/>
      <c r="W14" s="8"/>
      <c r="X14" s="3"/>
      <c r="Y14" s="3"/>
      <c r="Z14" s="3"/>
      <c r="AA14" s="3"/>
      <c r="AB14" s="3"/>
      <c r="AC14" s="3"/>
      <c r="AD14" s="8"/>
      <c r="AE14" s="3"/>
      <c r="AF14" s="3"/>
      <c r="AG14" s="3"/>
      <c r="AH14" s="3"/>
    </row>
    <row r="15" spans="1:34" x14ac:dyDescent="0.25">
      <c r="A15" s="18" t="s">
        <v>54</v>
      </c>
      <c r="B15" s="3">
        <v>18.5</v>
      </c>
      <c r="C15" s="3" t="s">
        <v>35</v>
      </c>
      <c r="D15" s="3"/>
      <c r="E15" s="18" t="s">
        <v>140</v>
      </c>
      <c r="F15" s="3">
        <v>10</v>
      </c>
      <c r="G15" s="3" t="s">
        <v>59</v>
      </c>
      <c r="H15" s="17"/>
      <c r="I15" s="18" t="s">
        <v>73</v>
      </c>
      <c r="J15" s="3">
        <v>5</v>
      </c>
      <c r="K15" s="3" t="s">
        <v>50</v>
      </c>
      <c r="L15" s="17"/>
      <c r="M15" s="3"/>
      <c r="N15" s="13">
        <f t="shared" si="5"/>
        <v>7</v>
      </c>
      <c r="O15" s="13"/>
      <c r="P15" s="22">
        <f t="shared" si="1"/>
        <v>0</v>
      </c>
      <c r="Q15" s="23">
        <f t="shared" si="2"/>
        <v>732.38281866418731</v>
      </c>
      <c r="R15" s="23">
        <f t="shared" si="3"/>
        <v>834.69192909693697</v>
      </c>
      <c r="S15" s="23"/>
      <c r="T15" s="22">
        <f t="shared" si="4"/>
        <v>0</v>
      </c>
      <c r="U15" s="20">
        <f t="shared" si="0"/>
        <v>1567.0747477611244</v>
      </c>
      <c r="V15" s="4"/>
      <c r="W15" s="8"/>
      <c r="X15" s="3"/>
      <c r="Y15" s="3"/>
      <c r="Z15" s="3"/>
      <c r="AA15" s="3"/>
      <c r="AB15" s="3"/>
      <c r="AC15" s="3"/>
      <c r="AD15" s="8"/>
      <c r="AE15" s="3"/>
      <c r="AF15" s="3"/>
      <c r="AG15" s="3"/>
      <c r="AH15" s="3"/>
    </row>
    <row r="16" spans="1:34" x14ac:dyDescent="0.25">
      <c r="A16" s="26" t="s">
        <v>58</v>
      </c>
      <c r="B16" s="3">
        <v>15</v>
      </c>
      <c r="C16" s="3" t="s">
        <v>35</v>
      </c>
      <c r="D16" s="3"/>
      <c r="E16" s="18" t="s">
        <v>138</v>
      </c>
      <c r="F16" s="8">
        <f>15*4.5*2</f>
        <v>135</v>
      </c>
      <c r="G16" s="3" t="s">
        <v>59</v>
      </c>
      <c r="H16" s="17"/>
      <c r="I16" s="18" t="s">
        <v>76</v>
      </c>
      <c r="J16" s="3">
        <v>30</v>
      </c>
      <c r="K16" s="3" t="s">
        <v>77</v>
      </c>
      <c r="L16" s="17"/>
      <c r="M16" s="3"/>
      <c r="N16" s="13">
        <f t="shared" si="5"/>
        <v>8</v>
      </c>
      <c r="O16" s="13"/>
      <c r="P16" s="22">
        <f t="shared" si="1"/>
        <v>0</v>
      </c>
      <c r="Q16" s="23">
        <f t="shared" si="2"/>
        <v>701.14374109083315</v>
      </c>
      <c r="R16" s="23">
        <f t="shared" si="3"/>
        <v>791.17718397813928</v>
      </c>
      <c r="S16" s="23"/>
      <c r="T16" s="22">
        <f t="shared" si="4"/>
        <v>0</v>
      </c>
      <c r="U16" s="20">
        <f t="shared" si="0"/>
        <v>1492.3209250689724</v>
      </c>
      <c r="V16" s="4"/>
      <c r="W16" s="8"/>
      <c r="X16" s="3"/>
      <c r="Y16" s="3"/>
      <c r="Z16" s="3"/>
      <c r="AA16" s="3"/>
      <c r="AB16" s="3"/>
      <c r="AC16" s="3"/>
      <c r="AD16" s="8"/>
      <c r="AE16" s="3"/>
      <c r="AF16" s="3"/>
      <c r="AG16" s="3"/>
      <c r="AH16" s="3"/>
    </row>
    <row r="17" spans="1:41" x14ac:dyDescent="0.25">
      <c r="A17" s="26" t="s">
        <v>156</v>
      </c>
      <c r="B17" s="3">
        <v>100</v>
      </c>
      <c r="C17" s="3" t="s">
        <v>26</v>
      </c>
      <c r="D17" s="3"/>
      <c r="E17" s="18"/>
      <c r="F17" s="3"/>
      <c r="G17" s="3"/>
      <c r="H17" s="17"/>
      <c r="I17" s="3"/>
      <c r="J17" s="3"/>
      <c r="K17" s="3"/>
      <c r="L17" s="17"/>
      <c r="M17" s="3"/>
      <c r="N17" s="13">
        <f t="shared" si="5"/>
        <v>9</v>
      </c>
      <c r="O17" s="13"/>
      <c r="P17" s="22">
        <f t="shared" si="1"/>
        <v>0</v>
      </c>
      <c r="Q17" s="23">
        <f t="shared" si="2"/>
        <v>671.2371360206082</v>
      </c>
      <c r="R17" s="23">
        <f t="shared" si="3"/>
        <v>749.9309800740657</v>
      </c>
      <c r="S17" s="23"/>
      <c r="T17" s="22">
        <f t="shared" si="4"/>
        <v>0</v>
      </c>
      <c r="U17" s="20">
        <f t="shared" si="0"/>
        <v>1421.1681160946739</v>
      </c>
      <c r="V17" s="4"/>
      <c r="W17" s="8"/>
      <c r="X17" s="3"/>
      <c r="Y17" s="3"/>
      <c r="Z17" s="3"/>
      <c r="AA17" s="3"/>
      <c r="AB17" s="3"/>
      <c r="AC17" s="3"/>
      <c r="AD17" s="8"/>
      <c r="AE17" s="3"/>
      <c r="AF17" s="3"/>
      <c r="AG17" s="3"/>
      <c r="AH17" s="3"/>
    </row>
    <row r="18" spans="1:41" x14ac:dyDescent="0.25">
      <c r="A18" s="26" t="s">
        <v>139</v>
      </c>
      <c r="B18" s="8">
        <v>25</v>
      </c>
      <c r="C18" s="3" t="s">
        <v>26</v>
      </c>
      <c r="D18" s="3"/>
      <c r="E18" s="18"/>
      <c r="F18" s="3"/>
      <c r="G18" s="3"/>
      <c r="H18" s="17"/>
      <c r="I18" s="18"/>
      <c r="J18" s="3"/>
      <c r="K18" s="3"/>
      <c r="L18" s="17"/>
      <c r="M18" s="3"/>
      <c r="N18" s="13">
        <f t="shared" si="5"/>
        <v>10</v>
      </c>
      <c r="O18" s="13"/>
      <c r="P18" s="22">
        <f t="shared" si="1"/>
        <v>0</v>
      </c>
      <c r="Q18" s="23">
        <f t="shared" si="2"/>
        <v>642.60616813347337</v>
      </c>
      <c r="R18" s="23">
        <f t="shared" si="3"/>
        <v>710.8350522029059</v>
      </c>
      <c r="S18" s="23"/>
      <c r="T18" s="22">
        <f t="shared" si="4"/>
        <v>-1552.7987565221424</v>
      </c>
      <c r="U18" s="20">
        <f t="shared" si="0"/>
        <v>-199.35753618576314</v>
      </c>
      <c r="V18" s="4"/>
      <c r="W18" s="8"/>
      <c r="X18" s="3"/>
      <c r="Y18" s="3"/>
      <c r="Z18" s="3"/>
      <c r="AA18" s="3"/>
      <c r="AB18" s="3"/>
      <c r="AC18" s="3"/>
      <c r="AD18" s="8"/>
      <c r="AE18" s="3"/>
      <c r="AF18" s="3"/>
      <c r="AG18" s="3"/>
      <c r="AH18" s="3"/>
    </row>
    <row r="19" spans="1:41" x14ac:dyDescent="0.25">
      <c r="A19" s="26" t="s">
        <v>64</v>
      </c>
      <c r="B19" s="27">
        <f>4%*J8</f>
        <v>248.98064516129034</v>
      </c>
      <c r="C19" s="3" t="s">
        <v>26</v>
      </c>
      <c r="D19" s="3"/>
      <c r="E19" s="18"/>
      <c r="F19" s="8"/>
      <c r="G19" s="3"/>
      <c r="H19" s="17"/>
      <c r="I19" s="3"/>
      <c r="J19" s="3"/>
      <c r="K19" s="3"/>
      <c r="L19" s="17"/>
      <c r="M19" s="3"/>
      <c r="N19" s="13">
        <f t="shared" si="5"/>
        <v>0</v>
      </c>
      <c r="O19" s="13"/>
      <c r="P19" s="22">
        <f t="shared" si="1"/>
        <v>0</v>
      </c>
      <c r="Q19" s="23">
        <f t="shared" si="2"/>
        <v>0</v>
      </c>
      <c r="R19" s="23">
        <f t="shared" si="3"/>
        <v>0</v>
      </c>
      <c r="S19" s="23"/>
      <c r="T19" s="22">
        <f t="shared" si="4"/>
        <v>0</v>
      </c>
      <c r="U19" s="20">
        <f t="shared" si="0"/>
        <v>0</v>
      </c>
      <c r="V19" s="4"/>
      <c r="W19" s="8"/>
      <c r="X19" s="3"/>
      <c r="Y19" s="3"/>
      <c r="Z19" s="3"/>
      <c r="AA19" s="3"/>
      <c r="AB19" s="3"/>
      <c r="AC19" s="3"/>
      <c r="AD19" s="8"/>
      <c r="AE19" s="3"/>
      <c r="AF19" s="3"/>
      <c r="AG19" s="3"/>
      <c r="AH19" s="3"/>
    </row>
    <row r="20" spans="1:41" x14ac:dyDescent="0.25">
      <c r="A20" s="3" t="s">
        <v>65</v>
      </c>
      <c r="B20" s="3">
        <v>5</v>
      </c>
      <c r="C20" s="3" t="s">
        <v>26</v>
      </c>
      <c r="D20" s="3"/>
      <c r="E20" s="18" t="s">
        <v>45</v>
      </c>
      <c r="F20" s="27">
        <v>4.2344000000000007E-2</v>
      </c>
      <c r="G20" s="3" t="s">
        <v>59</v>
      </c>
      <c r="H20" s="17"/>
      <c r="I20" s="3"/>
      <c r="J20" s="3"/>
      <c r="K20" s="3"/>
      <c r="L20" s="17"/>
      <c r="M20" s="3"/>
      <c r="N20" s="13">
        <f t="shared" si="5"/>
        <v>0</v>
      </c>
      <c r="O20" s="13"/>
      <c r="P20" s="22">
        <f t="shared" si="1"/>
        <v>0</v>
      </c>
      <c r="Q20" s="23">
        <f t="shared" si="2"/>
        <v>0</v>
      </c>
      <c r="R20" s="23">
        <f t="shared" si="3"/>
        <v>0</v>
      </c>
      <c r="S20" s="23"/>
      <c r="T20" s="22">
        <f t="shared" si="4"/>
        <v>0</v>
      </c>
      <c r="U20" s="20">
        <f t="shared" si="0"/>
        <v>0</v>
      </c>
      <c r="V20" s="4"/>
      <c r="W20" s="8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41" ht="15.75" customHeight="1" x14ac:dyDescent="0.25">
      <c r="A21" s="26"/>
      <c r="B21" s="3"/>
      <c r="C21" s="3"/>
      <c r="D21" s="3"/>
      <c r="E21" s="18" t="s">
        <v>72</v>
      </c>
      <c r="F21" s="3">
        <v>5.5</v>
      </c>
      <c r="G21" s="3" t="s">
        <v>57</v>
      </c>
      <c r="H21" s="17"/>
      <c r="I21" s="3"/>
      <c r="J21" s="3"/>
      <c r="K21" s="3"/>
      <c r="L21" s="17"/>
      <c r="M21" s="3"/>
      <c r="N21" s="13">
        <f t="shared" si="5"/>
        <v>0</v>
      </c>
      <c r="O21" s="13"/>
      <c r="P21" s="22">
        <f t="shared" si="1"/>
        <v>0</v>
      </c>
      <c r="Q21" s="23">
        <f t="shared" si="2"/>
        <v>0</v>
      </c>
      <c r="R21" s="23">
        <f t="shared" si="3"/>
        <v>0</v>
      </c>
      <c r="S21" s="23"/>
      <c r="T21" s="22">
        <f t="shared" si="4"/>
        <v>0</v>
      </c>
      <c r="U21" s="20">
        <f t="shared" si="0"/>
        <v>0</v>
      </c>
      <c r="V21" s="4"/>
      <c r="W21" s="8"/>
      <c r="X21" s="3"/>
      <c r="Y21" s="3"/>
      <c r="Z21" s="28" t="s">
        <v>110</v>
      </c>
      <c r="AA21" s="29"/>
      <c r="AB21" s="29"/>
      <c r="AC21" s="29"/>
      <c r="AD21" s="3"/>
      <c r="AE21" s="28" t="s">
        <v>25</v>
      </c>
      <c r="AF21" s="29"/>
      <c r="AG21" s="29"/>
      <c r="AH21" s="29"/>
      <c r="AJ21" s="81" t="s">
        <v>160</v>
      </c>
      <c r="AK21" s="81" t="s">
        <v>162</v>
      </c>
      <c r="AL21" s="81" t="s">
        <v>170</v>
      </c>
      <c r="AM21" s="81" t="s">
        <v>165</v>
      </c>
      <c r="AN21" s="81" t="s">
        <v>164</v>
      </c>
      <c r="AO21" s="86" t="str">
        <f>Z51</f>
        <v>Energy Efficiency</v>
      </c>
    </row>
    <row r="22" spans="1:41" ht="15.75" customHeight="1" x14ac:dyDescent="0.25">
      <c r="A22" s="26"/>
      <c r="B22" s="3"/>
      <c r="C22" s="3"/>
      <c r="D22" s="3"/>
      <c r="E22" s="3"/>
      <c r="F22" s="5"/>
      <c r="G22" s="3"/>
      <c r="H22" s="17"/>
      <c r="I22" s="3"/>
      <c r="J22" s="3"/>
      <c r="K22" s="3"/>
      <c r="L22" s="17"/>
      <c r="M22" s="3"/>
      <c r="N22" s="13">
        <f t="shared" si="5"/>
        <v>0</v>
      </c>
      <c r="O22" s="13"/>
      <c r="P22" s="22">
        <f t="shared" si="1"/>
        <v>0</v>
      </c>
      <c r="Q22" s="23">
        <f t="shared" si="2"/>
        <v>0</v>
      </c>
      <c r="R22" s="23">
        <f t="shared" si="3"/>
        <v>0</v>
      </c>
      <c r="S22" s="23"/>
      <c r="T22" s="22">
        <f t="shared" si="4"/>
        <v>0</v>
      </c>
      <c r="U22" s="20">
        <f t="shared" si="0"/>
        <v>0</v>
      </c>
      <c r="V22" s="4"/>
      <c r="W22" s="8"/>
      <c r="X22" s="3"/>
      <c r="Y22" s="3"/>
      <c r="Z22" s="29" t="s">
        <v>68</v>
      </c>
      <c r="AA22" s="29" t="s">
        <v>116</v>
      </c>
      <c r="AB22" s="29" t="s">
        <v>21</v>
      </c>
      <c r="AC22" s="29" t="s">
        <v>70</v>
      </c>
      <c r="AD22" s="3"/>
      <c r="AE22" s="29" t="s">
        <v>68</v>
      </c>
      <c r="AF22" s="29" t="s">
        <v>71</v>
      </c>
      <c r="AG22" s="29" t="s">
        <v>21</v>
      </c>
      <c r="AH22" s="29" t="s">
        <v>70</v>
      </c>
      <c r="AJ22" s="82">
        <v>-50</v>
      </c>
      <c r="AK22" s="83">
        <f>AH24</f>
        <v>-15.66310508843344</v>
      </c>
      <c r="AL22" s="83">
        <f>AC24</f>
        <v>-17.479745432185624</v>
      </c>
      <c r="AM22" s="84">
        <f t="shared" ref="AM22:AM32" si="6">AC39</f>
        <v>-18.492322037928201</v>
      </c>
      <c r="AN22" s="84">
        <f t="shared" ref="AN22:AN32" si="7">AH39</f>
        <v>-35.972067470113842</v>
      </c>
      <c r="AO22" s="34">
        <f>AC54</f>
        <v>17.479745432185588</v>
      </c>
    </row>
    <row r="23" spans="1:41" ht="15.75" customHeight="1" x14ac:dyDescent="0.25">
      <c r="A23" s="3"/>
      <c r="B23" s="3"/>
      <c r="C23" s="3"/>
      <c r="D23" s="3"/>
      <c r="E23" s="3"/>
      <c r="F23" s="3"/>
      <c r="G23" s="3"/>
      <c r="H23" s="17"/>
      <c r="I23" s="3"/>
      <c r="J23" s="3"/>
      <c r="K23" s="3"/>
      <c r="L23" s="17"/>
      <c r="M23" s="3"/>
      <c r="N23" s="13">
        <f t="shared" si="5"/>
        <v>0</v>
      </c>
      <c r="O23" s="13"/>
      <c r="P23" s="22">
        <f t="shared" si="1"/>
        <v>0</v>
      </c>
      <c r="Q23" s="23">
        <f t="shared" si="2"/>
        <v>0</v>
      </c>
      <c r="R23" s="23">
        <f t="shared" si="3"/>
        <v>0</v>
      </c>
      <c r="S23" s="23"/>
      <c r="T23" s="22">
        <f t="shared" si="4"/>
        <v>0</v>
      </c>
      <c r="U23" s="20">
        <f t="shared" si="0"/>
        <v>0</v>
      </c>
      <c r="V23" s="4"/>
      <c r="W23" s="8"/>
      <c r="X23" s="3"/>
      <c r="Y23" s="3"/>
      <c r="Z23" s="29" t="s">
        <v>75</v>
      </c>
      <c r="AA23" s="30">
        <v>0.39552238805970147</v>
      </c>
      <c r="AB23" s="31">
        <f>U49</f>
        <v>22540.744610981794</v>
      </c>
      <c r="AC23" s="29"/>
      <c r="AD23" s="3"/>
      <c r="AE23" s="29" t="s">
        <v>75</v>
      </c>
      <c r="AF23" s="32">
        <v>6647.389118921521</v>
      </c>
      <c r="AG23" s="31">
        <f>U49</f>
        <v>22540.744610981794</v>
      </c>
      <c r="AH23" s="29"/>
      <c r="AJ23" s="82">
        <v>-40</v>
      </c>
      <c r="AK23" s="83">
        <f>AH25</f>
        <v>-12.530484070746741</v>
      </c>
      <c r="AL23" s="83">
        <f t="shared" ref="AL23:AL32" si="8">AC25</f>
        <v>-13.983796345748525</v>
      </c>
      <c r="AM23" s="84">
        <f t="shared" si="6"/>
        <v>-14.793857630342586</v>
      </c>
      <c r="AN23" s="84">
        <f t="shared" si="7"/>
        <v>-28.777653976091059</v>
      </c>
      <c r="AO23" s="34">
        <f t="shared" ref="AO23:AO32" si="9">AC55</f>
        <v>13.983796345748512</v>
      </c>
    </row>
    <row r="24" spans="1:41" ht="15.75" customHeight="1" x14ac:dyDescent="0.25">
      <c r="A24" s="15"/>
      <c r="B24" s="3"/>
      <c r="C24" s="3"/>
      <c r="D24" s="3"/>
      <c r="E24" s="3"/>
      <c r="F24" s="3"/>
      <c r="G24" s="3"/>
      <c r="H24" s="17"/>
      <c r="I24" s="3"/>
      <c r="J24" s="3"/>
      <c r="K24" s="3"/>
      <c r="L24" s="17"/>
      <c r="M24" s="3"/>
      <c r="N24" s="13">
        <f t="shared" si="5"/>
        <v>0</v>
      </c>
      <c r="O24" s="13"/>
      <c r="P24" s="22">
        <f t="shared" si="1"/>
        <v>0</v>
      </c>
      <c r="Q24" s="23">
        <f t="shared" si="2"/>
        <v>0</v>
      </c>
      <c r="R24" s="23">
        <f t="shared" si="3"/>
        <v>0</v>
      </c>
      <c r="S24" s="23"/>
      <c r="T24" s="22">
        <f t="shared" si="4"/>
        <v>0</v>
      </c>
      <c r="U24" s="20">
        <f t="shared" si="0"/>
        <v>0</v>
      </c>
      <c r="V24" s="4"/>
      <c r="W24" s="8"/>
      <c r="X24" s="3"/>
      <c r="Y24" s="3"/>
      <c r="Z24" s="29">
        <f t="shared" ref="Z24:Z28" si="10">Z25-10</f>
        <v>-50</v>
      </c>
      <c r="AA24" s="30">
        <f t="shared" ref="AA24:AA34" si="11">$AA$23*(1+(Z24/100))</f>
        <v>0.19776119402985073</v>
      </c>
      <c r="AB24" s="31">
        <f t="dataTable" ref="AB24:AB34" dt2D="0" dtr="0" r1="F36"/>
        <v>18600.679834463077</v>
      </c>
      <c r="AC24" s="33">
        <f t="shared" ref="AC24:AC34" si="12">100*((AB24-$AB$29)/$AB$29)</f>
        <v>-17.479745432185624</v>
      </c>
      <c r="AD24" s="3"/>
      <c r="AE24" s="29">
        <f t="shared" ref="AE24:AE28" si="13">AE25-10</f>
        <v>-50</v>
      </c>
      <c r="AF24" s="32">
        <f t="shared" ref="AF24:AF34" si="14">$AF$23*(1+(AE24/100))</f>
        <v>3323.6945594607605</v>
      </c>
      <c r="AG24" s="31">
        <f t="dataTable" ref="AG24:AG34" dt2D="0" dtr="0" r1="B47" ca="1"/>
        <v>19010.164094848318</v>
      </c>
      <c r="AH24" s="33">
        <f t="shared" ref="AH24:AH34" si="15">100*((AG24-$AG$29)/$AG$29)</f>
        <v>-15.66310508843344</v>
      </c>
      <c r="AJ24" s="82">
        <v>-30</v>
      </c>
      <c r="AK24" s="83">
        <f t="shared" ref="AK24:AK32" si="16">AH26</f>
        <v>-9.3978630530600604</v>
      </c>
      <c r="AL24" s="83">
        <f t="shared" si="8"/>
        <v>-10.487847259311367</v>
      </c>
      <c r="AM24" s="84">
        <f t="shared" si="6"/>
        <v>-11.09539322275695</v>
      </c>
      <c r="AN24" s="84">
        <f t="shared" si="7"/>
        <v>-21.583240482068334</v>
      </c>
      <c r="AO24" s="34">
        <f t="shared" si="9"/>
        <v>10.487847259311367</v>
      </c>
    </row>
    <row r="25" spans="1:41" ht="15.75" customHeight="1" x14ac:dyDescent="0.25">
      <c r="A25" s="15"/>
      <c r="B25" s="3"/>
      <c r="C25" s="3"/>
      <c r="D25" s="3"/>
      <c r="E25" s="3"/>
      <c r="F25" s="3"/>
      <c r="G25" s="3"/>
      <c r="H25" s="17"/>
      <c r="I25" s="3"/>
      <c r="J25" s="3"/>
      <c r="K25" s="3"/>
      <c r="L25" s="17"/>
      <c r="M25" s="3"/>
      <c r="N25" s="13">
        <f t="shared" si="5"/>
        <v>0</v>
      </c>
      <c r="O25" s="13"/>
      <c r="P25" s="22">
        <f t="shared" si="1"/>
        <v>0</v>
      </c>
      <c r="Q25" s="23">
        <f t="shared" si="2"/>
        <v>0</v>
      </c>
      <c r="R25" s="23">
        <f t="shared" si="3"/>
        <v>0</v>
      </c>
      <c r="S25" s="23"/>
      <c r="T25" s="22">
        <f t="shared" si="4"/>
        <v>0</v>
      </c>
      <c r="U25" s="20">
        <f t="shared" si="0"/>
        <v>0</v>
      </c>
      <c r="V25" s="4"/>
      <c r="W25" s="8"/>
      <c r="X25" s="3"/>
      <c r="Y25" s="3"/>
      <c r="Z25" s="29">
        <f t="shared" si="10"/>
        <v>-40</v>
      </c>
      <c r="AA25" s="30">
        <f t="shared" si="11"/>
        <v>0.23731343283582088</v>
      </c>
      <c r="AB25" s="31">
        <v>19388.692789766814</v>
      </c>
      <c r="AC25" s="33">
        <f t="shared" si="12"/>
        <v>-13.983796345748525</v>
      </c>
      <c r="AD25" s="3"/>
      <c r="AE25" s="29">
        <f t="shared" si="13"/>
        <v>-40</v>
      </c>
      <c r="AF25" s="32">
        <f t="shared" si="14"/>
        <v>3988.4334713529124</v>
      </c>
      <c r="AG25" s="31">
        <v>19716.280198075016</v>
      </c>
      <c r="AH25" s="33">
        <f t="shared" si="15"/>
        <v>-12.530484070746741</v>
      </c>
      <c r="AJ25" s="82">
        <v>-20</v>
      </c>
      <c r="AK25" s="83">
        <f t="shared" si="16"/>
        <v>-6.2652420353733627</v>
      </c>
      <c r="AL25" s="83">
        <f t="shared" si="8"/>
        <v>-6.9918981728742562</v>
      </c>
      <c r="AM25" s="84">
        <f t="shared" si="6"/>
        <v>-7.3969288151712842</v>
      </c>
      <c r="AN25" s="84">
        <f t="shared" si="7"/>
        <v>-14.388826988045523</v>
      </c>
      <c r="AO25" s="34">
        <f t="shared" si="9"/>
        <v>6.9918981728742562</v>
      </c>
    </row>
    <row r="26" spans="1:41" ht="15.75" customHeight="1" x14ac:dyDescent="0.25">
      <c r="A26" s="35"/>
      <c r="B26" s="36"/>
      <c r="C26" s="36"/>
      <c r="D26" s="36"/>
      <c r="E26" s="36"/>
      <c r="F26" s="36"/>
      <c r="G26" s="36"/>
      <c r="H26" s="37"/>
      <c r="I26" s="36"/>
      <c r="J26" s="36"/>
      <c r="K26" s="36"/>
      <c r="L26" s="37"/>
      <c r="M26" s="3"/>
      <c r="N26" s="13">
        <f t="shared" si="5"/>
        <v>0</v>
      </c>
      <c r="O26" s="13"/>
      <c r="P26" s="22">
        <f t="shared" si="1"/>
        <v>0</v>
      </c>
      <c r="Q26" s="23">
        <f t="shared" si="2"/>
        <v>0</v>
      </c>
      <c r="R26" s="23">
        <f t="shared" si="3"/>
        <v>0</v>
      </c>
      <c r="S26" s="23"/>
      <c r="T26" s="22">
        <f t="shared" si="4"/>
        <v>0</v>
      </c>
      <c r="U26" s="20">
        <f t="shared" si="0"/>
        <v>0</v>
      </c>
      <c r="V26" s="4"/>
      <c r="W26" s="8"/>
      <c r="X26" s="3"/>
      <c r="Y26" s="3"/>
      <c r="Z26" s="29">
        <f t="shared" si="10"/>
        <v>-30</v>
      </c>
      <c r="AA26" s="30">
        <f t="shared" si="11"/>
        <v>0.27686567164179099</v>
      </c>
      <c r="AB26" s="31">
        <v>20176.705745070565</v>
      </c>
      <c r="AC26" s="33">
        <f t="shared" si="12"/>
        <v>-10.487847259311367</v>
      </c>
      <c r="AD26" s="3"/>
      <c r="AE26" s="29">
        <f t="shared" si="13"/>
        <v>-30</v>
      </c>
      <c r="AF26" s="32">
        <f t="shared" si="14"/>
        <v>4653.1723832450643</v>
      </c>
      <c r="AG26" s="31">
        <v>20422.396301301709</v>
      </c>
      <c r="AH26" s="33">
        <f t="shared" si="15"/>
        <v>-9.3978630530600604</v>
      </c>
      <c r="AJ26" s="82">
        <v>-10</v>
      </c>
      <c r="AK26" s="83">
        <f t="shared" si="16"/>
        <v>-3.1326210176866653</v>
      </c>
      <c r="AL26" s="83">
        <f t="shared" si="8"/>
        <v>-3.4959490864371436</v>
      </c>
      <c r="AM26" s="84">
        <f t="shared" si="6"/>
        <v>-3.6984644075856665</v>
      </c>
      <c r="AN26" s="84">
        <f t="shared" si="7"/>
        <v>-7.1944134940227613</v>
      </c>
      <c r="AO26" s="34">
        <f t="shared" si="9"/>
        <v>3.4959490864370952</v>
      </c>
    </row>
    <row r="27" spans="1:41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  <c r="L27" s="3"/>
      <c r="M27" s="3"/>
      <c r="N27" s="13">
        <f t="shared" si="5"/>
        <v>0</v>
      </c>
      <c r="O27" s="13"/>
      <c r="P27" s="22">
        <f t="shared" si="1"/>
        <v>0</v>
      </c>
      <c r="Q27" s="23">
        <f t="shared" si="2"/>
        <v>0</v>
      </c>
      <c r="R27" s="23">
        <f t="shared" si="3"/>
        <v>0</v>
      </c>
      <c r="S27" s="23"/>
      <c r="T27" s="22">
        <f t="shared" si="4"/>
        <v>0</v>
      </c>
      <c r="U27" s="20">
        <f t="shared" si="0"/>
        <v>0</v>
      </c>
      <c r="V27" s="4"/>
      <c r="W27" s="8"/>
      <c r="X27" s="3"/>
      <c r="Y27" s="3"/>
      <c r="Z27" s="29">
        <f t="shared" si="10"/>
        <v>-20</v>
      </c>
      <c r="AA27" s="30">
        <f t="shared" si="11"/>
        <v>0.31641791044776119</v>
      </c>
      <c r="AB27" s="31">
        <v>20964.718700374306</v>
      </c>
      <c r="AC27" s="33">
        <f t="shared" si="12"/>
        <v>-6.9918981728742562</v>
      </c>
      <c r="AD27" s="3"/>
      <c r="AE27" s="29">
        <f t="shared" si="13"/>
        <v>-20</v>
      </c>
      <c r="AF27" s="32">
        <f t="shared" si="14"/>
        <v>5317.9112951372172</v>
      </c>
      <c r="AG27" s="31">
        <v>21128.512404528406</v>
      </c>
      <c r="AH27" s="33">
        <f t="shared" si="15"/>
        <v>-6.2652420353733627</v>
      </c>
      <c r="AJ27" s="82">
        <v>0</v>
      </c>
      <c r="AK27" s="83">
        <f t="shared" si="16"/>
        <v>0</v>
      </c>
      <c r="AL27" s="83">
        <f t="shared" si="8"/>
        <v>0</v>
      </c>
      <c r="AM27" s="84">
        <f t="shared" si="6"/>
        <v>0</v>
      </c>
      <c r="AN27" s="84">
        <f t="shared" si="7"/>
        <v>0</v>
      </c>
      <c r="AO27" s="34">
        <f t="shared" si="9"/>
        <v>0</v>
      </c>
    </row>
    <row r="28" spans="1:41" ht="15.75" customHeight="1" x14ac:dyDescent="0.25">
      <c r="A28" s="1" t="s">
        <v>78</v>
      </c>
      <c r="B28" s="3"/>
      <c r="C28" s="3"/>
      <c r="D28" s="3"/>
      <c r="E28" s="3"/>
      <c r="F28" s="3"/>
      <c r="G28" s="3"/>
      <c r="H28" s="3"/>
      <c r="I28" s="3"/>
      <c r="J28" s="8"/>
      <c r="K28" s="3"/>
      <c r="L28" s="3"/>
      <c r="M28" s="3"/>
      <c r="N28" s="13">
        <f t="shared" si="5"/>
        <v>0</v>
      </c>
      <c r="O28" s="13"/>
      <c r="P28" s="22">
        <f t="shared" si="1"/>
        <v>0</v>
      </c>
      <c r="Q28" s="23">
        <f t="shared" si="2"/>
        <v>0</v>
      </c>
      <c r="R28" s="23">
        <f t="shared" si="3"/>
        <v>0</v>
      </c>
      <c r="S28" s="23"/>
      <c r="T28" s="22">
        <f t="shared" si="4"/>
        <v>0</v>
      </c>
      <c r="U28" s="20">
        <f t="shared" si="0"/>
        <v>0</v>
      </c>
      <c r="V28" s="4"/>
      <c r="W28" s="8"/>
      <c r="X28" s="3"/>
      <c r="Y28" s="3"/>
      <c r="Z28" s="29">
        <f t="shared" si="10"/>
        <v>-10</v>
      </c>
      <c r="AA28" s="30">
        <f t="shared" si="11"/>
        <v>0.35597014925373133</v>
      </c>
      <c r="AB28" s="31">
        <v>21752.731655678046</v>
      </c>
      <c r="AC28" s="33">
        <f t="shared" si="12"/>
        <v>-3.4959490864371436</v>
      </c>
      <c r="AD28" s="3"/>
      <c r="AE28" s="29">
        <f t="shared" si="13"/>
        <v>-10</v>
      </c>
      <c r="AF28" s="32">
        <f t="shared" si="14"/>
        <v>5982.6502070293691</v>
      </c>
      <c r="AG28" s="31">
        <v>21834.628507755104</v>
      </c>
      <c r="AH28" s="33">
        <f t="shared" si="15"/>
        <v>-3.1326210176866653</v>
      </c>
      <c r="AJ28" s="82">
        <v>10</v>
      </c>
      <c r="AK28" s="83">
        <f t="shared" si="16"/>
        <v>3.1326210176866973</v>
      </c>
      <c r="AL28" s="83">
        <f t="shared" si="8"/>
        <v>3.4959490864371112</v>
      </c>
      <c r="AM28" s="84">
        <f t="shared" si="6"/>
        <v>3.6984644075856181</v>
      </c>
      <c r="AN28" s="84">
        <f t="shared" si="7"/>
        <v>7.1944134940227613</v>
      </c>
      <c r="AO28" s="34">
        <f t="shared" si="9"/>
        <v>-3.4959490864371436</v>
      </c>
    </row>
    <row r="29" spans="1:41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  <c r="L29" s="3"/>
      <c r="M29" s="3"/>
      <c r="N29" s="13">
        <f t="shared" si="5"/>
        <v>0</v>
      </c>
      <c r="O29" s="13"/>
      <c r="P29" s="22">
        <f t="shared" si="1"/>
        <v>0</v>
      </c>
      <c r="Q29" s="23">
        <f t="shared" si="2"/>
        <v>0</v>
      </c>
      <c r="R29" s="23">
        <f t="shared" si="3"/>
        <v>0</v>
      </c>
      <c r="S29" s="23"/>
      <c r="T29" s="22">
        <f t="shared" si="4"/>
        <v>0</v>
      </c>
      <c r="U29" s="20">
        <f t="shared" si="0"/>
        <v>0</v>
      </c>
      <c r="V29" s="4"/>
      <c r="W29" s="8"/>
      <c r="X29" s="3"/>
      <c r="Y29" s="3"/>
      <c r="Z29" s="38">
        <v>0</v>
      </c>
      <c r="AA29" s="50">
        <f t="shared" si="11"/>
        <v>0.39552238805970147</v>
      </c>
      <c r="AB29" s="39">
        <v>22540.744610981794</v>
      </c>
      <c r="AC29" s="51">
        <f t="shared" si="12"/>
        <v>0</v>
      </c>
      <c r="AD29" s="3"/>
      <c r="AE29" s="38">
        <v>0</v>
      </c>
      <c r="AF29" s="44">
        <f t="shared" si="14"/>
        <v>6647.389118921521</v>
      </c>
      <c r="AG29" s="39">
        <v>22540.744610981794</v>
      </c>
      <c r="AH29" s="51">
        <f t="shared" si="15"/>
        <v>0</v>
      </c>
      <c r="AJ29" s="82">
        <v>20</v>
      </c>
      <c r="AK29" s="83">
        <f t="shared" si="16"/>
        <v>6.2652420353733795</v>
      </c>
      <c r="AL29" s="83">
        <f t="shared" si="8"/>
        <v>6.9918981728742224</v>
      </c>
      <c r="AM29" s="84">
        <f t="shared" si="6"/>
        <v>7.3969288151712682</v>
      </c>
      <c r="AN29" s="84">
        <f t="shared" si="7"/>
        <v>14.388826988045539</v>
      </c>
      <c r="AO29" s="34">
        <f t="shared" si="9"/>
        <v>-6.9918981728742562</v>
      </c>
    </row>
    <row r="30" spans="1:41" ht="15.75" customHeight="1" x14ac:dyDescent="0.25">
      <c r="A30" s="9" t="s">
        <v>79</v>
      </c>
      <c r="B30" s="10"/>
      <c r="C30" s="10"/>
      <c r="D30" s="10"/>
      <c r="E30" s="12" t="s">
        <v>80</v>
      </c>
      <c r="F30" s="10"/>
      <c r="G30" s="10"/>
      <c r="H30" s="10"/>
      <c r="I30" s="12"/>
      <c r="J30" s="40"/>
      <c r="K30" s="10"/>
      <c r="L30" s="11"/>
      <c r="M30" s="3"/>
      <c r="N30" s="13">
        <f t="shared" si="5"/>
        <v>0</v>
      </c>
      <c r="O30" s="13"/>
      <c r="P30" s="22">
        <f t="shared" si="1"/>
        <v>0</v>
      </c>
      <c r="Q30" s="23">
        <f t="shared" si="2"/>
        <v>0</v>
      </c>
      <c r="R30" s="23">
        <f t="shared" si="3"/>
        <v>0</v>
      </c>
      <c r="S30" s="23"/>
      <c r="T30" s="22">
        <f t="shared" si="4"/>
        <v>0</v>
      </c>
      <c r="U30" s="20">
        <f t="shared" si="0"/>
        <v>0</v>
      </c>
      <c r="V30" s="4"/>
      <c r="W30" s="8"/>
      <c r="X30" s="3"/>
      <c r="Y30" s="3"/>
      <c r="Z30" s="29">
        <f t="shared" ref="Z30:Z34" si="17">Z29+10</f>
        <v>10</v>
      </c>
      <c r="AA30" s="30">
        <f t="shared" si="11"/>
        <v>0.43507462686567167</v>
      </c>
      <c r="AB30" s="31">
        <v>23328.757566285534</v>
      </c>
      <c r="AC30" s="33">
        <f t="shared" si="12"/>
        <v>3.4959490864371112</v>
      </c>
      <c r="AD30" s="3"/>
      <c r="AE30" s="29">
        <f t="shared" ref="AE30:AE34" si="18">AE29+10</f>
        <v>10</v>
      </c>
      <c r="AF30" s="32">
        <f t="shared" si="14"/>
        <v>7312.1280308136738</v>
      </c>
      <c r="AG30" s="31">
        <v>23246.860714208491</v>
      </c>
      <c r="AH30" s="33">
        <f t="shared" si="15"/>
        <v>3.1326210176866973</v>
      </c>
      <c r="AJ30" s="82">
        <v>30</v>
      </c>
      <c r="AK30" s="83">
        <f t="shared" si="16"/>
        <v>9.3978630530600604</v>
      </c>
      <c r="AL30" s="83">
        <f t="shared" si="8"/>
        <v>10.487847259311367</v>
      </c>
      <c r="AM30" s="84">
        <f t="shared" si="6"/>
        <v>11.095393222756918</v>
      </c>
      <c r="AN30" s="84">
        <f t="shared" si="7"/>
        <v>21.583240482068302</v>
      </c>
      <c r="AO30" s="34">
        <f t="shared" si="9"/>
        <v>-10.487847259311367</v>
      </c>
    </row>
    <row r="31" spans="1:41" ht="15.75" customHeight="1" x14ac:dyDescent="0.25">
      <c r="A31" s="26" t="s">
        <v>151</v>
      </c>
      <c r="B31" s="8">
        <f t="shared" ref="B31:B32" si="19">IF(B11=0,0,-(B11/100)*$B$45)</f>
        <v>0</v>
      </c>
      <c r="C31" s="3" t="s">
        <v>3</v>
      </c>
      <c r="D31" s="3"/>
      <c r="E31" s="18" t="s">
        <v>82</v>
      </c>
      <c r="F31" s="25">
        <f>(J16/100)*B47</f>
        <v>1994.2167356764562</v>
      </c>
      <c r="G31" s="3" t="s">
        <v>3</v>
      </c>
      <c r="H31" s="3"/>
      <c r="I31" s="1" t="s">
        <v>153</v>
      </c>
      <c r="J31" s="42">
        <f>SUM(J32:J36)</f>
        <v>1214.2089552238806</v>
      </c>
      <c r="K31" s="1" t="s">
        <v>46</v>
      </c>
      <c r="L31" s="17"/>
      <c r="M31" s="3"/>
      <c r="N31" s="13">
        <f t="shared" si="5"/>
        <v>0</v>
      </c>
      <c r="O31" s="13"/>
      <c r="P31" s="22">
        <f t="shared" si="1"/>
        <v>0</v>
      </c>
      <c r="Q31" s="23">
        <f t="shared" si="2"/>
        <v>0</v>
      </c>
      <c r="R31" s="23">
        <f t="shared" si="3"/>
        <v>0</v>
      </c>
      <c r="S31" s="23"/>
      <c r="T31" s="22">
        <f t="shared" si="4"/>
        <v>0</v>
      </c>
      <c r="U31" s="20">
        <f t="shared" si="0"/>
        <v>0</v>
      </c>
      <c r="V31" s="4"/>
      <c r="W31" s="8"/>
      <c r="X31" s="3"/>
      <c r="Y31" s="3"/>
      <c r="Z31" s="29">
        <f t="shared" si="17"/>
        <v>20</v>
      </c>
      <c r="AA31" s="30">
        <f t="shared" si="11"/>
        <v>0.47462686567164175</v>
      </c>
      <c r="AB31" s="31">
        <v>24116.770521589275</v>
      </c>
      <c r="AC31" s="33">
        <f t="shared" si="12"/>
        <v>6.9918981728742224</v>
      </c>
      <c r="AD31" s="3"/>
      <c r="AE31" s="29">
        <f t="shared" si="18"/>
        <v>20</v>
      </c>
      <c r="AF31" s="32">
        <f t="shared" si="14"/>
        <v>7976.8669427058248</v>
      </c>
      <c r="AG31" s="31">
        <v>23952.976817435185</v>
      </c>
      <c r="AH31" s="33">
        <f t="shared" si="15"/>
        <v>6.2652420353733795</v>
      </c>
      <c r="AJ31" s="82">
        <v>40</v>
      </c>
      <c r="AK31" s="83">
        <f t="shared" si="16"/>
        <v>12.530484070746759</v>
      </c>
      <c r="AL31" s="83">
        <f t="shared" si="8"/>
        <v>13.983796345748495</v>
      </c>
      <c r="AM31" s="84">
        <f t="shared" si="6"/>
        <v>14.793857630342536</v>
      </c>
      <c r="AN31" s="84">
        <f t="shared" si="7"/>
        <v>28.777653976091045</v>
      </c>
      <c r="AO31" s="34">
        <f t="shared" si="9"/>
        <v>-13.983796345748512</v>
      </c>
    </row>
    <row r="32" spans="1:41" ht="15.75" customHeight="1" x14ac:dyDescent="0.25">
      <c r="A32" s="26" t="s">
        <v>41</v>
      </c>
      <c r="B32" s="8">
        <f t="shared" si="19"/>
        <v>0</v>
      </c>
      <c r="C32" s="3" t="s">
        <v>3</v>
      </c>
      <c r="D32" s="3"/>
      <c r="E32" s="18" t="s">
        <v>84</v>
      </c>
      <c r="F32" s="8">
        <f>B47-F31</f>
        <v>4653.1723832450643</v>
      </c>
      <c r="G32" s="3" t="s">
        <v>3</v>
      </c>
      <c r="H32" s="3"/>
      <c r="I32" s="18" t="s">
        <v>138</v>
      </c>
      <c r="J32" s="16">
        <f>F16/$B$8</f>
        <v>100.74626865671641</v>
      </c>
      <c r="K32" s="3" t="s">
        <v>46</v>
      </c>
      <c r="L32" s="17"/>
      <c r="M32" s="3"/>
      <c r="N32" s="13">
        <f t="shared" si="5"/>
        <v>0</v>
      </c>
      <c r="O32" s="13"/>
      <c r="P32" s="22">
        <f t="shared" si="1"/>
        <v>0</v>
      </c>
      <c r="Q32" s="23">
        <f t="shared" si="2"/>
        <v>0</v>
      </c>
      <c r="R32" s="23">
        <f t="shared" si="3"/>
        <v>0</v>
      </c>
      <c r="S32" s="23"/>
      <c r="T32" s="22">
        <f t="shared" si="4"/>
        <v>0</v>
      </c>
      <c r="U32" s="20">
        <f t="shared" si="0"/>
        <v>0</v>
      </c>
      <c r="V32" s="4"/>
      <c r="W32" s="8"/>
      <c r="X32" s="3"/>
      <c r="Y32" s="3"/>
      <c r="Z32" s="29">
        <f t="shared" si="17"/>
        <v>30</v>
      </c>
      <c r="AA32" s="30">
        <f t="shared" si="11"/>
        <v>0.51417910447761195</v>
      </c>
      <c r="AB32" s="31">
        <v>24904.783476893022</v>
      </c>
      <c r="AC32" s="33">
        <f t="shared" si="12"/>
        <v>10.487847259311367</v>
      </c>
      <c r="AD32" s="3"/>
      <c r="AE32" s="29">
        <f t="shared" si="18"/>
        <v>30</v>
      </c>
      <c r="AF32" s="32">
        <f t="shared" si="14"/>
        <v>8641.6058545979777</v>
      </c>
      <c r="AG32" s="31">
        <v>24659.092920661878</v>
      </c>
      <c r="AH32" s="33">
        <f t="shared" si="15"/>
        <v>9.3978630530600604</v>
      </c>
      <c r="AJ32" s="82">
        <v>50</v>
      </c>
      <c r="AK32" s="83">
        <f t="shared" si="16"/>
        <v>15.66310508843344</v>
      </c>
      <c r="AL32" s="83">
        <f t="shared" si="8"/>
        <v>17.479745432185588</v>
      </c>
      <c r="AM32" s="84">
        <f t="shared" si="6"/>
        <v>18.492322037928155</v>
      </c>
      <c r="AN32" s="84">
        <f t="shared" si="7"/>
        <v>35.972067470113828</v>
      </c>
      <c r="AO32" s="34">
        <f t="shared" si="9"/>
        <v>-17.479745432185624</v>
      </c>
    </row>
    <row r="33" spans="1:34" ht="15.75" customHeight="1" x14ac:dyDescent="0.25">
      <c r="A33" s="26" t="s">
        <v>47</v>
      </c>
      <c r="B33" s="8">
        <f>IF(B13=0,0,(B13/100)*$B$44)</f>
        <v>0</v>
      </c>
      <c r="C33" s="3" t="s">
        <v>3</v>
      </c>
      <c r="D33" s="3"/>
      <c r="E33" s="18" t="s">
        <v>85</v>
      </c>
      <c r="F33" s="25">
        <f>F32*(F21/100)*J15</f>
        <v>1279.6224053923927</v>
      </c>
      <c r="G33" s="3" t="s">
        <v>3</v>
      </c>
      <c r="H33" s="3"/>
      <c r="I33" s="18" t="s">
        <v>141</v>
      </c>
      <c r="J33" s="16">
        <f>F15/B8</f>
        <v>7.4626865671641784</v>
      </c>
      <c r="K33" s="3" t="s">
        <v>46</v>
      </c>
      <c r="L33" s="17"/>
      <c r="M33" s="3"/>
      <c r="N33" s="13">
        <f t="shared" si="5"/>
        <v>0</v>
      </c>
      <c r="O33" s="13"/>
      <c r="P33" s="22">
        <f t="shared" si="1"/>
        <v>0</v>
      </c>
      <c r="Q33" s="23">
        <f t="shared" si="2"/>
        <v>0</v>
      </c>
      <c r="R33" s="23">
        <f t="shared" si="3"/>
        <v>0</v>
      </c>
      <c r="S33" s="23"/>
      <c r="T33" s="22">
        <f t="shared" si="4"/>
        <v>0</v>
      </c>
      <c r="U33" s="20">
        <f t="shared" si="0"/>
        <v>0</v>
      </c>
      <c r="V33" s="4"/>
      <c r="W33" s="8"/>
      <c r="X33" s="3"/>
      <c r="Y33" s="3"/>
      <c r="Z33" s="29">
        <f t="shared" si="17"/>
        <v>40</v>
      </c>
      <c r="AA33" s="30">
        <f t="shared" si="11"/>
        <v>0.55373134328358198</v>
      </c>
      <c r="AB33" s="31">
        <v>25692.796432196767</v>
      </c>
      <c r="AC33" s="33">
        <f t="shared" si="12"/>
        <v>13.983796345748495</v>
      </c>
      <c r="AD33" s="3"/>
      <c r="AE33" s="29">
        <f t="shared" si="18"/>
        <v>40</v>
      </c>
      <c r="AF33" s="32">
        <f t="shared" si="14"/>
        <v>9306.3447664901287</v>
      </c>
      <c r="AG33" s="31">
        <v>25365.209023888576</v>
      </c>
      <c r="AH33" s="33">
        <f t="shared" si="15"/>
        <v>12.530484070746759</v>
      </c>
    </row>
    <row r="34" spans="1:34" ht="15.75" customHeight="1" x14ac:dyDescent="0.25">
      <c r="A34" s="26"/>
      <c r="B34" s="8"/>
      <c r="C34" s="3"/>
      <c r="D34" s="3"/>
      <c r="E34" s="3"/>
      <c r="F34" s="27"/>
      <c r="G34" s="3"/>
      <c r="H34" s="3"/>
      <c r="I34" s="18"/>
      <c r="J34" s="16"/>
      <c r="K34" s="3"/>
      <c r="L34" s="17"/>
      <c r="M34" s="3"/>
      <c r="N34" s="13">
        <f t="shared" si="5"/>
        <v>0</v>
      </c>
      <c r="O34" s="13"/>
      <c r="P34" s="22">
        <f t="shared" si="1"/>
        <v>0</v>
      </c>
      <c r="Q34" s="23">
        <f t="shared" si="2"/>
        <v>0</v>
      </c>
      <c r="R34" s="23">
        <f t="shared" si="3"/>
        <v>0</v>
      </c>
      <c r="S34" s="23"/>
      <c r="T34" s="22">
        <f t="shared" si="4"/>
        <v>0</v>
      </c>
      <c r="U34" s="20">
        <f t="shared" si="0"/>
        <v>0</v>
      </c>
      <c r="V34" s="4"/>
      <c r="W34" s="8"/>
      <c r="X34" s="3"/>
      <c r="Y34" s="3"/>
      <c r="Z34" s="29">
        <f t="shared" si="17"/>
        <v>50</v>
      </c>
      <c r="AA34" s="30">
        <f t="shared" si="11"/>
        <v>0.59328358208955223</v>
      </c>
      <c r="AB34" s="31">
        <v>26480.809387500503</v>
      </c>
      <c r="AC34" s="33">
        <f t="shared" si="12"/>
        <v>17.479745432185588</v>
      </c>
      <c r="AD34" s="3"/>
      <c r="AE34" s="29">
        <f t="shared" si="18"/>
        <v>50</v>
      </c>
      <c r="AF34" s="32">
        <f t="shared" si="14"/>
        <v>9971.0836783822815</v>
      </c>
      <c r="AG34" s="31">
        <v>26071.325127115269</v>
      </c>
      <c r="AH34" s="33">
        <f t="shared" si="15"/>
        <v>15.66310508843344</v>
      </c>
    </row>
    <row r="35" spans="1:34" ht="15.75" customHeight="1" x14ac:dyDescent="0.25">
      <c r="A35" s="18" t="s">
        <v>54</v>
      </c>
      <c r="B35" s="5">
        <f t="shared" ref="B35:B36" si="20">IF(B15=0,0,(B15/100)*$B$44)</f>
        <v>1022.632258064516</v>
      </c>
      <c r="C35" s="3" t="s">
        <v>3</v>
      </c>
      <c r="D35" s="3"/>
      <c r="E35" s="1" t="s">
        <v>88</v>
      </c>
      <c r="F35" s="3"/>
      <c r="G35" s="3"/>
      <c r="H35" s="3"/>
      <c r="I35" s="3"/>
      <c r="J35" s="27"/>
      <c r="K35" s="3"/>
      <c r="L35" s="17"/>
      <c r="M35" s="3"/>
      <c r="N35" s="13">
        <f t="shared" si="5"/>
        <v>0</v>
      </c>
      <c r="O35" s="13"/>
      <c r="P35" s="22">
        <f t="shared" si="1"/>
        <v>0</v>
      </c>
      <c r="Q35" s="23">
        <f t="shared" si="2"/>
        <v>0</v>
      </c>
      <c r="R35" s="23">
        <f t="shared" si="3"/>
        <v>0</v>
      </c>
      <c r="S35" s="23"/>
      <c r="T35" s="22">
        <f t="shared" si="4"/>
        <v>0</v>
      </c>
      <c r="U35" s="20">
        <f t="shared" si="0"/>
        <v>0</v>
      </c>
      <c r="V35" s="4"/>
      <c r="W35" s="8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15.75" customHeight="1" x14ac:dyDescent="0.25">
      <c r="A36" s="26" t="s">
        <v>58</v>
      </c>
      <c r="B36" s="5">
        <f t="shared" si="20"/>
        <v>829.1612903225805</v>
      </c>
      <c r="C36" s="3" t="s">
        <v>3</v>
      </c>
      <c r="D36" s="3"/>
      <c r="E36" s="18" t="s">
        <v>148</v>
      </c>
      <c r="F36" s="16">
        <f>F13/$B$8</f>
        <v>0.39552238805970147</v>
      </c>
      <c r="G36" s="3" t="s">
        <v>111</v>
      </c>
      <c r="H36" s="3"/>
      <c r="I36" s="18" t="s">
        <v>45</v>
      </c>
      <c r="J36" s="7">
        <f>F20*F12/$B$8</f>
        <v>1106</v>
      </c>
      <c r="K36" s="3" t="s">
        <v>46</v>
      </c>
      <c r="L36" s="17"/>
      <c r="M36" s="3"/>
      <c r="N36" s="13">
        <f t="shared" si="5"/>
        <v>0</v>
      </c>
      <c r="O36" s="13"/>
      <c r="P36" s="22">
        <f t="shared" si="1"/>
        <v>0</v>
      </c>
      <c r="Q36" s="23">
        <f t="shared" si="2"/>
        <v>0</v>
      </c>
      <c r="R36" s="23">
        <f t="shared" si="3"/>
        <v>0</v>
      </c>
      <c r="S36" s="23"/>
      <c r="T36" s="22">
        <f t="shared" si="4"/>
        <v>0</v>
      </c>
      <c r="U36" s="20">
        <f t="shared" si="0"/>
        <v>0</v>
      </c>
      <c r="V36" s="4"/>
      <c r="W36" s="8"/>
      <c r="X36" s="3"/>
      <c r="Y36" s="3"/>
      <c r="Z36" s="28" t="s">
        <v>45</v>
      </c>
      <c r="AA36" s="29"/>
      <c r="AB36" s="29"/>
      <c r="AC36" s="29"/>
      <c r="AD36" s="3"/>
      <c r="AE36" s="28" t="s">
        <v>89</v>
      </c>
      <c r="AF36" s="29"/>
      <c r="AG36" s="29"/>
      <c r="AH36" s="29"/>
    </row>
    <row r="37" spans="1:34" ht="15.75" customHeight="1" x14ac:dyDescent="0.25">
      <c r="A37" s="26" t="s">
        <v>61</v>
      </c>
      <c r="B37" s="8">
        <f>B17/B8</f>
        <v>74.626865671641781</v>
      </c>
      <c r="C37" s="3" t="s">
        <v>3</v>
      </c>
      <c r="D37" s="3"/>
      <c r="E37" s="18" t="s">
        <v>149</v>
      </c>
      <c r="F37" s="16">
        <f>F36*J10</f>
        <v>2.8675373134328355E-2</v>
      </c>
      <c r="G37" s="3" t="s">
        <v>4</v>
      </c>
      <c r="H37" s="3"/>
      <c r="I37" s="3"/>
      <c r="J37" s="3"/>
      <c r="K37" s="3"/>
      <c r="L37" s="17"/>
      <c r="M37" s="3"/>
      <c r="N37" s="13">
        <f t="shared" si="5"/>
        <v>0</v>
      </c>
      <c r="O37" s="13"/>
      <c r="P37" s="22">
        <f t="shared" si="1"/>
        <v>0</v>
      </c>
      <c r="Q37" s="23">
        <f t="shared" si="2"/>
        <v>0</v>
      </c>
      <c r="R37" s="23">
        <f t="shared" si="3"/>
        <v>0</v>
      </c>
      <c r="S37" s="23"/>
      <c r="T37" s="22">
        <f t="shared" si="4"/>
        <v>0</v>
      </c>
      <c r="U37" s="20">
        <f t="shared" si="0"/>
        <v>0</v>
      </c>
      <c r="V37" s="4"/>
      <c r="W37" s="8"/>
      <c r="X37" s="3"/>
      <c r="Y37" s="3"/>
      <c r="Z37" s="29" t="s">
        <v>68</v>
      </c>
      <c r="AA37" s="29" t="s">
        <v>103</v>
      </c>
      <c r="AB37" s="29" t="s">
        <v>21</v>
      </c>
      <c r="AC37" s="29" t="s">
        <v>70</v>
      </c>
      <c r="AD37" s="3"/>
      <c r="AE37" s="29" t="s">
        <v>68</v>
      </c>
      <c r="AF37" s="29" t="s">
        <v>92</v>
      </c>
      <c r="AG37" s="29" t="s">
        <v>21</v>
      </c>
      <c r="AH37" s="29" t="s">
        <v>70</v>
      </c>
    </row>
    <row r="38" spans="1:34" ht="15.75" customHeight="1" x14ac:dyDescent="0.25">
      <c r="A38" s="26" t="s">
        <v>139</v>
      </c>
      <c r="B38" s="8">
        <f>B18/B8</f>
        <v>18.656716417910445</v>
      </c>
      <c r="C38" s="3" t="s">
        <v>3</v>
      </c>
      <c r="D38" s="3"/>
      <c r="E38" s="18" t="s">
        <v>117</v>
      </c>
      <c r="F38" s="27">
        <f>F37*F12</f>
        <v>1003.6380597014924</v>
      </c>
      <c r="G38" s="3" t="s">
        <v>46</v>
      </c>
      <c r="H38" s="3"/>
      <c r="I38" s="3"/>
      <c r="J38" s="3"/>
      <c r="K38" s="3"/>
      <c r="L38" s="17"/>
      <c r="M38" s="3"/>
      <c r="N38" s="13">
        <f t="shared" si="5"/>
        <v>0</v>
      </c>
      <c r="O38" s="13"/>
      <c r="P38" s="22">
        <f t="shared" si="1"/>
        <v>0</v>
      </c>
      <c r="Q38" s="23">
        <f t="shared" si="2"/>
        <v>0</v>
      </c>
      <c r="R38" s="23">
        <f t="shared" si="3"/>
        <v>0</v>
      </c>
      <c r="S38" s="23"/>
      <c r="T38" s="22">
        <f t="shared" si="4"/>
        <v>0</v>
      </c>
      <c r="U38" s="20">
        <f t="shared" si="0"/>
        <v>0</v>
      </c>
      <c r="V38" s="4"/>
      <c r="W38" s="8"/>
      <c r="X38" s="3"/>
      <c r="Y38" s="3"/>
      <c r="Z38" s="29" t="s">
        <v>75</v>
      </c>
      <c r="AA38" s="30">
        <v>1106</v>
      </c>
      <c r="AB38" s="31">
        <f>U49</f>
        <v>22540.744610981794</v>
      </c>
      <c r="AC38" s="29"/>
      <c r="AD38" s="3"/>
      <c r="AE38" s="29" t="s">
        <v>75</v>
      </c>
      <c r="AF38" s="32">
        <v>35000</v>
      </c>
      <c r="AG38" s="31">
        <f>U49</f>
        <v>22540.744610981794</v>
      </c>
      <c r="AH38" s="29"/>
    </row>
    <row r="39" spans="1:34" ht="15.75" customHeight="1" x14ac:dyDescent="0.25">
      <c r="A39" s="26" t="s">
        <v>64</v>
      </c>
      <c r="B39" s="8">
        <f>B19/B8</f>
        <v>185.80645161290323</v>
      </c>
      <c r="C39" s="3" t="s">
        <v>3</v>
      </c>
      <c r="D39" s="3"/>
      <c r="E39" s="3"/>
      <c r="F39" s="3"/>
      <c r="G39" s="3"/>
      <c r="H39" s="3"/>
      <c r="I39" s="3"/>
      <c r="J39" s="3"/>
      <c r="K39" s="3"/>
      <c r="L39" s="17"/>
      <c r="M39" s="3"/>
      <c r="N39" s="13">
        <f t="shared" si="5"/>
        <v>0</v>
      </c>
      <c r="O39" s="13"/>
      <c r="P39" s="22">
        <f t="shared" si="1"/>
        <v>0</v>
      </c>
      <c r="Q39" s="23">
        <f t="shared" si="2"/>
        <v>0</v>
      </c>
      <c r="R39" s="23">
        <f t="shared" si="3"/>
        <v>0</v>
      </c>
      <c r="S39" s="23"/>
      <c r="T39" s="22">
        <f t="shared" si="4"/>
        <v>0</v>
      </c>
      <c r="U39" s="20">
        <f t="shared" si="0"/>
        <v>0</v>
      </c>
      <c r="V39" s="4"/>
      <c r="W39" s="8"/>
      <c r="X39" s="3"/>
      <c r="Y39" s="3"/>
      <c r="Z39" s="29">
        <f t="shared" ref="Z39:Z43" si="21">Z40-10</f>
        <v>-50</v>
      </c>
      <c r="AA39" s="30">
        <f t="shared" ref="AA39:AA49" si="22">$AA$38*(1+(Z39/100))</f>
        <v>553</v>
      </c>
      <c r="AB39" s="31">
        <f t="dataTable" ref="AB39:AB49" dt2D="0" dtr="0" r1="J36" ca="1"/>
        <v>18372.437527772094</v>
      </c>
      <c r="AC39" s="33">
        <f t="shared" ref="AC39:AC49" si="23">100*((AB39-$AB$44)/$AB$44)</f>
        <v>-18.492322037928201</v>
      </c>
      <c r="AD39" s="3"/>
      <c r="AE39" s="29">
        <f t="shared" ref="AE39:AE43" si="24">AE40-10</f>
        <v>-50</v>
      </c>
      <c r="AF39" s="32">
        <f t="shared" ref="AF39:AF49" si="25">$AF$38*(1+(AE39/100))</f>
        <v>17500</v>
      </c>
      <c r="AG39" s="31">
        <f t="dataTable" ref="AG39:AG49" dt2D="0" dtr="0" r1="F12" ca="1"/>
        <v>14432.372751253373</v>
      </c>
      <c r="AH39" s="33">
        <f t="shared" ref="AH39:AH49" si="26">100*((AG39-$AG$44)/$AG$44)</f>
        <v>-35.972067470113842</v>
      </c>
    </row>
    <row r="40" spans="1:34" ht="15.75" customHeight="1" x14ac:dyDescent="0.25">
      <c r="A40" s="3" t="s">
        <v>65</v>
      </c>
      <c r="B40" s="8">
        <f>B20/B8</f>
        <v>3.7313432835820892</v>
      </c>
      <c r="C40" s="3" t="s">
        <v>3</v>
      </c>
      <c r="D40" s="3"/>
      <c r="E40" s="3"/>
      <c r="F40" s="3"/>
      <c r="G40" s="3"/>
      <c r="H40" s="3"/>
      <c r="I40" s="3"/>
      <c r="J40" s="3"/>
      <c r="K40" s="3"/>
      <c r="L40" s="17"/>
      <c r="M40" s="3"/>
      <c r="N40" s="13">
        <f t="shared" si="5"/>
        <v>0</v>
      </c>
      <c r="O40" s="13"/>
      <c r="P40" s="22">
        <f t="shared" si="1"/>
        <v>0</v>
      </c>
      <c r="Q40" s="23">
        <f t="shared" si="2"/>
        <v>0</v>
      </c>
      <c r="R40" s="23">
        <f t="shared" si="3"/>
        <v>0</v>
      </c>
      <c r="S40" s="23"/>
      <c r="T40" s="22">
        <f t="shared" si="4"/>
        <v>0</v>
      </c>
      <c r="U40" s="20">
        <f t="shared" si="0"/>
        <v>0</v>
      </c>
      <c r="V40" s="4"/>
      <c r="W40" s="8"/>
      <c r="X40" s="3"/>
      <c r="Y40" s="3"/>
      <c r="Z40" s="29">
        <f t="shared" si="21"/>
        <v>-40</v>
      </c>
      <c r="AA40" s="30">
        <f t="shared" si="22"/>
        <v>663.6</v>
      </c>
      <c r="AB40" s="31">
        <v>19206.098944414029</v>
      </c>
      <c r="AC40" s="33">
        <f t="shared" si="23"/>
        <v>-14.793857630342586</v>
      </c>
      <c r="AD40" s="3"/>
      <c r="AE40" s="29">
        <f t="shared" si="24"/>
        <v>-40</v>
      </c>
      <c r="AF40" s="32">
        <f t="shared" si="25"/>
        <v>21000</v>
      </c>
      <c r="AG40" s="31">
        <v>16054.04712319906</v>
      </c>
      <c r="AH40" s="33">
        <f t="shared" si="26"/>
        <v>-28.777653976091059</v>
      </c>
    </row>
    <row r="41" spans="1:34" ht="15.75" customHeight="1" x14ac:dyDescent="0.25">
      <c r="A41" s="3"/>
      <c r="B41" s="3"/>
      <c r="C41" s="3"/>
      <c r="D41" s="3"/>
      <c r="E41" s="18" t="s">
        <v>86</v>
      </c>
      <c r="F41" s="8">
        <f>F12*B5</f>
        <v>350000</v>
      </c>
      <c r="G41" s="3" t="s">
        <v>87</v>
      </c>
      <c r="H41" s="3"/>
      <c r="I41" s="3"/>
      <c r="J41" s="3"/>
      <c r="K41" s="3"/>
      <c r="L41" s="17"/>
      <c r="M41" s="3"/>
      <c r="N41" s="13">
        <f t="shared" si="5"/>
        <v>0</v>
      </c>
      <c r="O41" s="13"/>
      <c r="P41" s="22">
        <f t="shared" si="1"/>
        <v>0</v>
      </c>
      <c r="Q41" s="23">
        <f t="shared" si="2"/>
        <v>0</v>
      </c>
      <c r="R41" s="23">
        <f t="shared" si="3"/>
        <v>0</v>
      </c>
      <c r="S41" s="23"/>
      <c r="T41" s="22">
        <f t="shared" si="4"/>
        <v>0</v>
      </c>
      <c r="U41" s="20">
        <f t="shared" si="0"/>
        <v>0</v>
      </c>
      <c r="V41" s="4"/>
      <c r="W41" s="8"/>
      <c r="X41" s="3"/>
      <c r="Y41" s="3"/>
      <c r="Z41" s="29">
        <f t="shared" si="21"/>
        <v>-30</v>
      </c>
      <c r="AA41" s="30">
        <f t="shared" si="22"/>
        <v>774.19999999999993</v>
      </c>
      <c r="AB41" s="31">
        <v>20039.760361055967</v>
      </c>
      <c r="AC41" s="33">
        <f t="shared" si="23"/>
        <v>-11.09539322275695</v>
      </c>
      <c r="AD41" s="3"/>
      <c r="AE41" s="29">
        <f t="shared" si="24"/>
        <v>-30</v>
      </c>
      <c r="AF41" s="32">
        <f t="shared" si="25"/>
        <v>24500</v>
      </c>
      <c r="AG41" s="31">
        <v>17675.721495144735</v>
      </c>
      <c r="AH41" s="33">
        <f t="shared" si="26"/>
        <v>-21.583240482068334</v>
      </c>
    </row>
    <row r="42" spans="1:34" ht="15.75" customHeight="1" x14ac:dyDescent="0.25">
      <c r="A42" s="24" t="s">
        <v>96</v>
      </c>
      <c r="B42" s="4"/>
      <c r="C42" s="1"/>
      <c r="D42" s="3"/>
      <c r="E42" s="18"/>
      <c r="F42" s="16"/>
      <c r="G42" s="3"/>
      <c r="H42" s="3"/>
      <c r="I42" s="1"/>
      <c r="J42" s="3"/>
      <c r="K42" s="3"/>
      <c r="L42" s="17"/>
      <c r="M42" s="3"/>
      <c r="N42" s="13">
        <f t="shared" si="5"/>
        <v>0</v>
      </c>
      <c r="O42" s="13"/>
      <c r="P42" s="22">
        <f t="shared" si="1"/>
        <v>0</v>
      </c>
      <c r="Q42" s="23">
        <f t="shared" si="2"/>
        <v>0</v>
      </c>
      <c r="R42" s="23">
        <f t="shared" si="3"/>
        <v>0</v>
      </c>
      <c r="S42" s="23"/>
      <c r="T42" s="22">
        <f t="shared" si="4"/>
        <v>0</v>
      </c>
      <c r="U42" s="20">
        <f t="shared" si="0"/>
        <v>0</v>
      </c>
      <c r="V42" s="4"/>
      <c r="W42" s="8"/>
      <c r="X42" s="3"/>
      <c r="Y42" s="3"/>
      <c r="Z42" s="29">
        <f t="shared" si="21"/>
        <v>-20</v>
      </c>
      <c r="AA42" s="30">
        <f t="shared" si="22"/>
        <v>884.80000000000007</v>
      </c>
      <c r="AB42" s="31">
        <v>20873.421777697913</v>
      </c>
      <c r="AC42" s="33">
        <f t="shared" si="23"/>
        <v>-7.3969288151712842</v>
      </c>
      <c r="AD42" s="3"/>
      <c r="AE42" s="29">
        <f t="shared" si="24"/>
        <v>-20</v>
      </c>
      <c r="AF42" s="32">
        <f t="shared" si="25"/>
        <v>28000</v>
      </c>
      <c r="AG42" s="31">
        <v>19297.395867090429</v>
      </c>
      <c r="AH42" s="33">
        <f t="shared" si="26"/>
        <v>-14.388826988045523</v>
      </c>
    </row>
    <row r="43" spans="1:34" ht="15.75" customHeight="1" x14ac:dyDescent="0.25">
      <c r="A43" s="18" t="s">
        <v>145</v>
      </c>
      <c r="B43" s="8">
        <f>J8/B8</f>
        <v>4645.1612903225805</v>
      </c>
      <c r="C43" s="3" t="s">
        <v>3</v>
      </c>
      <c r="D43" s="3"/>
      <c r="E43" s="3"/>
      <c r="F43" s="3"/>
      <c r="G43" s="3"/>
      <c r="H43" s="3"/>
      <c r="I43" s="18"/>
      <c r="J43" s="7"/>
      <c r="K43" s="3"/>
      <c r="L43" s="17"/>
      <c r="M43" s="3"/>
      <c r="N43" s="13">
        <f t="shared" si="5"/>
        <v>0</v>
      </c>
      <c r="O43" s="13"/>
      <c r="P43" s="22">
        <f t="shared" si="1"/>
        <v>0</v>
      </c>
      <c r="Q43" s="23">
        <f t="shared" si="2"/>
        <v>0</v>
      </c>
      <c r="R43" s="23">
        <f t="shared" si="3"/>
        <v>0</v>
      </c>
      <c r="S43" s="23"/>
      <c r="T43" s="22">
        <f t="shared" si="4"/>
        <v>0</v>
      </c>
      <c r="U43" s="20">
        <f t="shared" si="0"/>
        <v>0</v>
      </c>
      <c r="V43" s="4"/>
      <c r="W43" s="8"/>
      <c r="X43" s="3"/>
      <c r="Y43" s="3"/>
      <c r="Z43" s="29">
        <f t="shared" si="21"/>
        <v>-10</v>
      </c>
      <c r="AA43" s="30">
        <f t="shared" si="22"/>
        <v>995.4</v>
      </c>
      <c r="AB43" s="31">
        <v>21707.083194339848</v>
      </c>
      <c r="AC43" s="33">
        <f t="shared" si="23"/>
        <v>-3.6984644075856665</v>
      </c>
      <c r="AD43" s="3"/>
      <c r="AE43" s="29">
        <f t="shared" si="24"/>
        <v>-10</v>
      </c>
      <c r="AF43" s="32">
        <f t="shared" si="25"/>
        <v>31500</v>
      </c>
      <c r="AG43" s="31">
        <v>20919.070239036111</v>
      </c>
      <c r="AH43" s="33">
        <f t="shared" si="26"/>
        <v>-7.1944134940227613</v>
      </c>
    </row>
    <row r="44" spans="1:34" ht="15.75" customHeight="1" x14ac:dyDescent="0.25">
      <c r="A44" s="3" t="s">
        <v>100</v>
      </c>
      <c r="B44" s="25">
        <f>((1+B16/100)*B43)+B39</f>
        <v>5527.7419354838703</v>
      </c>
      <c r="C44" s="3" t="s">
        <v>3</v>
      </c>
      <c r="D44" s="3"/>
      <c r="E44" s="3"/>
      <c r="F44" s="3"/>
      <c r="G44" s="3"/>
      <c r="H44" s="3"/>
      <c r="I44" s="3"/>
      <c r="J44" s="3"/>
      <c r="K44" s="3"/>
      <c r="L44" s="17"/>
      <c r="M44" s="3"/>
      <c r="N44" s="13">
        <f t="shared" si="5"/>
        <v>0</v>
      </c>
      <c r="O44" s="13"/>
      <c r="P44" s="22">
        <f t="shared" si="1"/>
        <v>0</v>
      </c>
      <c r="Q44" s="23">
        <f t="shared" si="2"/>
        <v>0</v>
      </c>
      <c r="R44" s="23">
        <f t="shared" si="3"/>
        <v>0</v>
      </c>
      <c r="S44" s="23"/>
      <c r="T44" s="22">
        <f t="shared" si="4"/>
        <v>0</v>
      </c>
      <c r="U44" s="20">
        <f t="shared" si="0"/>
        <v>0</v>
      </c>
      <c r="V44" s="4"/>
      <c r="W44" s="8"/>
      <c r="X44" s="3"/>
      <c r="Y44" s="3"/>
      <c r="Z44" s="38">
        <v>0</v>
      </c>
      <c r="AA44" s="50">
        <f t="shared" si="22"/>
        <v>1106</v>
      </c>
      <c r="AB44" s="39">
        <v>22540.744610981794</v>
      </c>
      <c r="AC44" s="55">
        <f t="shared" si="23"/>
        <v>0</v>
      </c>
      <c r="AD44" s="3"/>
      <c r="AE44" s="38">
        <v>0</v>
      </c>
      <c r="AF44" s="44">
        <f t="shared" si="25"/>
        <v>35000</v>
      </c>
      <c r="AG44" s="39">
        <v>22540.744610981794</v>
      </c>
      <c r="AH44" s="51">
        <f t="shared" si="26"/>
        <v>0</v>
      </c>
    </row>
    <row r="45" spans="1:34" ht="15.75" customHeight="1" x14ac:dyDescent="0.25">
      <c r="A45" s="26" t="s">
        <v>118</v>
      </c>
      <c r="B45" s="8">
        <f>B44+B37+B38+B40+B35</f>
        <v>6647.389118921521</v>
      </c>
      <c r="C45" s="3" t="s">
        <v>3</v>
      </c>
      <c r="D45" s="3"/>
      <c r="E45" s="3"/>
      <c r="F45" s="3"/>
      <c r="G45" s="3"/>
      <c r="H45" s="3"/>
      <c r="I45" s="3"/>
      <c r="J45" s="3"/>
      <c r="K45" s="3"/>
      <c r="L45" s="17"/>
      <c r="M45" s="3"/>
      <c r="N45" s="13">
        <f t="shared" si="5"/>
        <v>0</v>
      </c>
      <c r="O45" s="13"/>
      <c r="P45" s="22">
        <f t="shared" si="1"/>
        <v>0</v>
      </c>
      <c r="Q45" s="23">
        <f t="shared" si="2"/>
        <v>0</v>
      </c>
      <c r="R45" s="23">
        <f t="shared" si="3"/>
        <v>0</v>
      </c>
      <c r="S45" s="23"/>
      <c r="T45" s="22">
        <f t="shared" si="4"/>
        <v>0</v>
      </c>
      <c r="U45" s="20">
        <f t="shared" si="0"/>
        <v>0</v>
      </c>
      <c r="V45" s="4"/>
      <c r="W45" s="8"/>
      <c r="X45" s="3"/>
      <c r="Y45" s="3"/>
      <c r="Z45" s="29">
        <f t="shared" ref="Z45:Z49" si="27">Z44+10</f>
        <v>10</v>
      </c>
      <c r="AA45" s="30">
        <f t="shared" si="22"/>
        <v>1216.6000000000001</v>
      </c>
      <c r="AB45" s="31">
        <v>23374.406027623729</v>
      </c>
      <c r="AC45" s="33">
        <f t="shared" si="23"/>
        <v>3.6984644075856181</v>
      </c>
      <c r="AD45" s="3"/>
      <c r="AE45" s="29">
        <f t="shared" ref="AE45:AE49" si="28">AE44+10</f>
        <v>10</v>
      </c>
      <c r="AF45" s="32">
        <f t="shared" si="25"/>
        <v>38500</v>
      </c>
      <c r="AG45" s="31">
        <v>24162.418982927476</v>
      </c>
      <c r="AH45" s="33">
        <f t="shared" si="26"/>
        <v>7.1944134940227613</v>
      </c>
    </row>
    <row r="46" spans="1:34" ht="15.75" customHeight="1" x14ac:dyDescent="0.25">
      <c r="A46" s="26" t="s">
        <v>152</v>
      </c>
      <c r="B46" s="8">
        <f>SUM(B31:B32)</f>
        <v>0</v>
      </c>
      <c r="C46" s="3" t="s">
        <v>3</v>
      </c>
      <c r="D46" s="3"/>
      <c r="E46" s="3"/>
      <c r="F46" s="3"/>
      <c r="G46" s="3"/>
      <c r="H46" s="3"/>
      <c r="I46" s="3"/>
      <c r="J46" s="3"/>
      <c r="K46" s="3"/>
      <c r="L46" s="17"/>
      <c r="M46" s="3"/>
      <c r="N46" s="13">
        <f t="shared" si="5"/>
        <v>0</v>
      </c>
      <c r="O46" s="13"/>
      <c r="P46" s="22">
        <f t="shared" si="1"/>
        <v>0</v>
      </c>
      <c r="Q46" s="23">
        <f t="shared" si="2"/>
        <v>0</v>
      </c>
      <c r="R46" s="23">
        <f t="shared" si="3"/>
        <v>0</v>
      </c>
      <c r="S46" s="23"/>
      <c r="T46" s="22">
        <f t="shared" si="4"/>
        <v>0</v>
      </c>
      <c r="U46" s="20">
        <f t="shared" si="0"/>
        <v>0</v>
      </c>
      <c r="V46" s="4"/>
      <c r="W46" s="8"/>
      <c r="X46" s="3"/>
      <c r="Y46" s="3"/>
      <c r="Z46" s="29">
        <f t="shared" si="27"/>
        <v>20</v>
      </c>
      <c r="AA46" s="30">
        <f t="shared" si="22"/>
        <v>1327.2</v>
      </c>
      <c r="AB46" s="31">
        <v>24208.067444265671</v>
      </c>
      <c r="AC46" s="33">
        <f t="shared" si="23"/>
        <v>7.3969288151712682</v>
      </c>
      <c r="AD46" s="3"/>
      <c r="AE46" s="29">
        <f t="shared" si="28"/>
        <v>20</v>
      </c>
      <c r="AF46" s="32">
        <f t="shared" si="25"/>
        <v>42000</v>
      </c>
      <c r="AG46" s="31">
        <v>25784.093354873163</v>
      </c>
      <c r="AH46" s="33">
        <f t="shared" si="26"/>
        <v>14.388826988045539</v>
      </c>
    </row>
    <row r="47" spans="1:34" ht="15.75" customHeight="1" x14ac:dyDescent="0.25">
      <c r="A47" s="26" t="s">
        <v>144</v>
      </c>
      <c r="B47" s="8">
        <f>SUM(B45:B46)</f>
        <v>6647.389118921521</v>
      </c>
      <c r="C47" s="3" t="s">
        <v>3</v>
      </c>
      <c r="D47" s="3"/>
      <c r="E47" s="3"/>
      <c r="F47" s="3"/>
      <c r="G47" s="3"/>
      <c r="H47" s="3"/>
      <c r="I47" s="3"/>
      <c r="J47" s="3"/>
      <c r="K47" s="3"/>
      <c r="L47" s="17"/>
      <c r="M47" s="3"/>
      <c r="N47" s="13">
        <f t="shared" si="5"/>
        <v>0</v>
      </c>
      <c r="O47" s="13"/>
      <c r="P47" s="22">
        <f t="shared" si="1"/>
        <v>0</v>
      </c>
      <c r="Q47" s="23">
        <f t="shared" si="2"/>
        <v>0</v>
      </c>
      <c r="R47" s="23">
        <f t="shared" si="3"/>
        <v>0</v>
      </c>
      <c r="S47" s="23"/>
      <c r="T47" s="22">
        <f t="shared" si="4"/>
        <v>0</v>
      </c>
      <c r="U47" s="20">
        <f t="shared" si="0"/>
        <v>0</v>
      </c>
      <c r="V47" s="4"/>
      <c r="W47" s="8"/>
      <c r="X47" s="3"/>
      <c r="Y47" s="3"/>
      <c r="Z47" s="29">
        <f t="shared" si="27"/>
        <v>30</v>
      </c>
      <c r="AA47" s="30">
        <f t="shared" si="22"/>
        <v>1437.8</v>
      </c>
      <c r="AB47" s="31">
        <v>25041.728860907613</v>
      </c>
      <c r="AC47" s="33">
        <f t="shared" si="23"/>
        <v>11.095393222756918</v>
      </c>
      <c r="AD47" s="3"/>
      <c r="AE47" s="29">
        <f t="shared" si="28"/>
        <v>30</v>
      </c>
      <c r="AF47" s="32">
        <f t="shared" si="25"/>
        <v>45500</v>
      </c>
      <c r="AG47" s="31">
        <v>27405.767726818845</v>
      </c>
      <c r="AH47" s="33">
        <f t="shared" si="26"/>
        <v>21.583240482068302</v>
      </c>
    </row>
    <row r="48" spans="1:3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17"/>
      <c r="M48" s="3"/>
      <c r="N48" s="13">
        <f t="shared" si="5"/>
        <v>0</v>
      </c>
      <c r="O48" s="13"/>
      <c r="P48" s="22">
        <f t="shared" si="1"/>
        <v>0</v>
      </c>
      <c r="Q48" s="23">
        <f t="shared" si="2"/>
        <v>0</v>
      </c>
      <c r="R48" s="23">
        <f t="shared" si="3"/>
        <v>0</v>
      </c>
      <c r="S48" s="23"/>
      <c r="T48" s="22">
        <f t="shared" si="4"/>
        <v>0</v>
      </c>
      <c r="U48" s="20">
        <f t="shared" si="0"/>
        <v>0</v>
      </c>
      <c r="V48" s="4"/>
      <c r="W48" s="8"/>
      <c r="X48" s="3"/>
      <c r="Y48" s="3"/>
      <c r="Z48" s="29">
        <f t="shared" si="27"/>
        <v>40</v>
      </c>
      <c r="AA48" s="30">
        <f t="shared" si="22"/>
        <v>1548.3999999999999</v>
      </c>
      <c r="AB48" s="31">
        <v>25875.390277549548</v>
      </c>
      <c r="AC48" s="33">
        <f t="shared" si="23"/>
        <v>14.793857630342536</v>
      </c>
      <c r="AD48" s="3"/>
      <c r="AE48" s="29">
        <f t="shared" si="28"/>
        <v>40</v>
      </c>
      <c r="AF48" s="32">
        <f t="shared" si="25"/>
        <v>49000</v>
      </c>
      <c r="AG48" s="31">
        <v>29027.442098764524</v>
      </c>
      <c r="AH48" s="33">
        <f t="shared" si="26"/>
        <v>28.777653976091045</v>
      </c>
    </row>
    <row r="49" spans="1:34" ht="15.75" customHeight="1" x14ac:dyDescent="0.25">
      <c r="A49" s="15"/>
      <c r="B49" s="5"/>
      <c r="C49" s="3"/>
      <c r="D49" s="3"/>
      <c r="E49" s="3"/>
      <c r="F49" s="3"/>
      <c r="G49" s="3"/>
      <c r="H49" s="3"/>
      <c r="I49" s="3"/>
      <c r="J49" s="3"/>
      <c r="K49" s="3"/>
      <c r="L49" s="17"/>
      <c r="M49" s="3"/>
      <c r="N49" s="14" t="s">
        <v>101</v>
      </c>
      <c r="O49" s="20">
        <f t="shared" ref="O49:R49" si="29">SUM(O8:O48)</f>
        <v>1994.2167356764562</v>
      </c>
      <c r="P49" s="20">
        <f t="shared" si="29"/>
        <v>5066.9442965904927</v>
      </c>
      <c r="Q49" s="20">
        <f t="shared" si="29"/>
        <v>7880.1295530374373</v>
      </c>
      <c r="R49" s="20">
        <f t="shared" si="29"/>
        <v>9152.2527821995463</v>
      </c>
      <c r="S49" s="20"/>
      <c r="T49" s="20">
        <f t="shared" ref="T49:U49" si="30">SUM(T8:T48)</f>
        <v>-1552.7987565221424</v>
      </c>
      <c r="U49" s="20">
        <f t="shared" si="30"/>
        <v>22540.744610981794</v>
      </c>
      <c r="V49" s="4"/>
      <c r="W49" s="4"/>
      <c r="X49" s="3"/>
      <c r="Y49" s="3"/>
      <c r="Z49" s="29">
        <f t="shared" si="27"/>
        <v>50</v>
      </c>
      <c r="AA49" s="30">
        <f t="shared" si="22"/>
        <v>1659</v>
      </c>
      <c r="AB49" s="31">
        <v>26709.051694191483</v>
      </c>
      <c r="AC49" s="33">
        <f t="shared" si="23"/>
        <v>18.492322037928155</v>
      </c>
      <c r="AD49" s="3"/>
      <c r="AE49" s="29">
        <f t="shared" si="28"/>
        <v>50</v>
      </c>
      <c r="AF49" s="32">
        <f t="shared" si="25"/>
        <v>52500</v>
      </c>
      <c r="AG49" s="31">
        <v>30649.116470710211</v>
      </c>
      <c r="AH49" s="33">
        <f t="shared" si="26"/>
        <v>35.972067470113828</v>
      </c>
    </row>
    <row r="50" spans="1:34" ht="15.75" customHeight="1" x14ac:dyDescent="0.25">
      <c r="A50" s="3"/>
      <c r="B50" s="27"/>
      <c r="C50" s="3"/>
      <c r="D50" s="3"/>
      <c r="E50" s="3"/>
      <c r="F50" s="3"/>
      <c r="G50" s="3"/>
      <c r="H50" s="3"/>
      <c r="I50" s="3"/>
      <c r="J50" s="3"/>
      <c r="K50" s="3"/>
      <c r="L50" s="17"/>
      <c r="M50" s="3"/>
      <c r="N50" s="3"/>
      <c r="O50" s="3"/>
      <c r="P50" s="3"/>
      <c r="Q50" s="3"/>
      <c r="R50" s="25">
        <f>SUM(R49:S49)</f>
        <v>9152.2527821995463</v>
      </c>
      <c r="S50" s="3"/>
      <c r="T50" s="3"/>
      <c r="U50" s="3"/>
      <c r="V50" s="3"/>
      <c r="W50" s="3"/>
      <c r="X50" s="25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17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8" t="s">
        <v>172</v>
      </c>
      <c r="AA51" s="29"/>
      <c r="AB51" s="29"/>
      <c r="AC51" s="29"/>
      <c r="AD51" s="3"/>
      <c r="AE51" s="3"/>
      <c r="AF51" s="3"/>
      <c r="AG51" s="3"/>
      <c r="AH51" s="3"/>
    </row>
    <row r="52" spans="1:34" ht="15.75" customHeight="1" x14ac:dyDescent="0.25">
      <c r="A52" s="15"/>
      <c r="B52" s="3"/>
      <c r="C52" s="3"/>
      <c r="D52" s="3"/>
      <c r="E52" s="3"/>
      <c r="F52" s="3"/>
      <c r="G52" s="3"/>
      <c r="H52" s="3"/>
      <c r="I52" s="3"/>
      <c r="J52" s="3"/>
      <c r="K52" s="3"/>
      <c r="L52" s="17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29" t="s">
        <v>68</v>
      </c>
      <c r="AA52" s="29" t="s">
        <v>172</v>
      </c>
      <c r="AB52" s="29" t="s">
        <v>21</v>
      </c>
      <c r="AC52" s="29" t="s">
        <v>70</v>
      </c>
      <c r="AD52" s="3"/>
      <c r="AE52" s="3"/>
      <c r="AF52" s="3"/>
      <c r="AG52" s="3"/>
      <c r="AH52" s="3"/>
    </row>
    <row r="53" spans="1:34" ht="15.75" customHeight="1" x14ac:dyDescent="0.25">
      <c r="A53" s="35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"/>
      <c r="N53" s="3"/>
      <c r="O53" s="1"/>
      <c r="P53" s="1"/>
      <c r="Q53" s="3"/>
      <c r="R53" s="3"/>
      <c r="S53" s="3"/>
      <c r="T53" s="3"/>
      <c r="U53" s="3"/>
      <c r="V53" s="3"/>
      <c r="W53" s="3"/>
      <c r="X53" s="27"/>
      <c r="Y53" s="3"/>
      <c r="Z53" s="29" t="s">
        <v>75</v>
      </c>
      <c r="AA53" s="30">
        <v>7.2499999999999995E-2</v>
      </c>
      <c r="AB53" s="31">
        <f>U49</f>
        <v>22540.744610981794</v>
      </c>
      <c r="AC53" s="29"/>
      <c r="AD53" s="3"/>
      <c r="AE53" s="3"/>
      <c r="AF53" s="3"/>
      <c r="AG53" s="3"/>
      <c r="AH53" s="3"/>
    </row>
    <row r="54" spans="1:3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45"/>
      <c r="O54" s="46" t="s">
        <v>104</v>
      </c>
      <c r="P54" s="2" t="str">
        <f>B1</f>
        <v>Brunei</v>
      </c>
      <c r="Q54" s="45"/>
      <c r="R54" s="45"/>
      <c r="S54" s="45"/>
      <c r="T54" s="45"/>
      <c r="U54" s="3"/>
      <c r="V54" s="3"/>
      <c r="W54" s="3"/>
      <c r="X54" s="27"/>
      <c r="Y54" s="3"/>
      <c r="Z54" s="29">
        <f t="shared" ref="Z54:Z58" si="31">Z55-10</f>
        <v>-50</v>
      </c>
      <c r="AA54" s="30">
        <f>$AA$53*(1-(Z54/100))</f>
        <v>0.10874999999999999</v>
      </c>
      <c r="AB54" s="31">
        <f t="dataTable" ref="AB54:AB64" dt2D="0" dtr="0" r1="J10" ca="1"/>
        <v>26480.809387500503</v>
      </c>
      <c r="AC54" s="33">
        <f>100*((AB54-$AB$59)/$AB$59)</f>
        <v>17.479745432185588</v>
      </c>
      <c r="AD54" s="3"/>
      <c r="AE54" s="3"/>
      <c r="AF54" s="3"/>
      <c r="AG54" s="3"/>
      <c r="AH54" s="3"/>
    </row>
    <row r="55" spans="1:3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 t="s">
        <v>105</v>
      </c>
      <c r="P55" s="25">
        <f>SUM(O49:P49)</f>
        <v>7061.1610322669494</v>
      </c>
      <c r="Q55" s="3" t="s">
        <v>3</v>
      </c>
      <c r="R55" s="48">
        <f t="shared" ref="R55:R58" si="32">P55/$F$41</f>
        <v>2.0174745806476997E-2</v>
      </c>
      <c r="S55" s="3" t="s">
        <v>4</v>
      </c>
      <c r="T55" s="3"/>
      <c r="U55" s="3"/>
      <c r="V55" s="3"/>
      <c r="W55" s="3"/>
      <c r="X55" s="27"/>
      <c r="Y55" s="3"/>
      <c r="Z55" s="29">
        <f t="shared" si="31"/>
        <v>-40</v>
      </c>
      <c r="AA55" s="30">
        <f t="shared" ref="AA55:AA58" si="33">$AA$53*(1-(Z55/100))</f>
        <v>0.10149999999999999</v>
      </c>
      <c r="AB55" s="31">
        <v>25692.79643219677</v>
      </c>
      <c r="AC55" s="33">
        <f t="shared" ref="AC55:AC64" si="34">100*((AB55-$AB$59)/$AB$59)</f>
        <v>13.983796345748512</v>
      </c>
      <c r="AD55" s="3"/>
      <c r="AE55" s="3"/>
      <c r="AF55" s="3"/>
      <c r="AG55" s="3"/>
      <c r="AH55" s="3"/>
    </row>
    <row r="56" spans="1:3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88</v>
      </c>
      <c r="P56" s="25">
        <f>SUM(Q49)</f>
        <v>7880.1295530374373</v>
      </c>
      <c r="Q56" s="3" t="s">
        <v>3</v>
      </c>
      <c r="R56" s="48">
        <f t="shared" si="32"/>
        <v>2.251465586582125E-2</v>
      </c>
      <c r="S56" s="3" t="s">
        <v>4</v>
      </c>
      <c r="T56" s="3"/>
      <c r="U56" s="3"/>
      <c r="V56" s="3"/>
      <c r="W56" s="3"/>
      <c r="X56" s="27"/>
      <c r="Y56" s="3"/>
      <c r="Z56" s="29">
        <f t="shared" si="31"/>
        <v>-30</v>
      </c>
      <c r="AA56" s="30">
        <f t="shared" si="33"/>
        <v>9.425E-2</v>
      </c>
      <c r="AB56" s="31">
        <v>24904.783476893022</v>
      </c>
      <c r="AC56" s="33">
        <f t="shared" si="34"/>
        <v>10.487847259311367</v>
      </c>
      <c r="AD56" s="3"/>
      <c r="AE56" s="3"/>
      <c r="AF56" s="3"/>
      <c r="AG56" s="3"/>
      <c r="AH56" s="3"/>
    </row>
    <row r="57" spans="1:3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 t="s">
        <v>106</v>
      </c>
      <c r="P57" s="25">
        <f>SUM(R49:S49)</f>
        <v>9152.2527821995463</v>
      </c>
      <c r="Q57" s="3" t="s">
        <v>3</v>
      </c>
      <c r="R57" s="48">
        <f t="shared" si="32"/>
        <v>2.6149293663427275E-2</v>
      </c>
      <c r="S57" s="3" t="s">
        <v>4</v>
      </c>
      <c r="T57" s="3"/>
      <c r="U57" s="3"/>
      <c r="V57" s="3"/>
      <c r="W57" s="3"/>
      <c r="X57" s="27"/>
      <c r="Y57" s="3"/>
      <c r="Z57" s="29">
        <f t="shared" si="31"/>
        <v>-20</v>
      </c>
      <c r="AA57" s="30">
        <f t="shared" si="33"/>
        <v>8.6999999999999994E-2</v>
      </c>
      <c r="AB57" s="31">
        <v>24116.770521589282</v>
      </c>
      <c r="AC57" s="33">
        <f t="shared" si="34"/>
        <v>6.9918981728742562</v>
      </c>
      <c r="AD57" s="3"/>
      <c r="AE57" s="3"/>
      <c r="AF57" s="3"/>
      <c r="AG57" s="3"/>
      <c r="AH57" s="3"/>
    </row>
    <row r="58" spans="1:3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 t="s">
        <v>143</v>
      </c>
      <c r="P58" s="25">
        <f>T49</f>
        <v>-1552.7987565221424</v>
      </c>
      <c r="Q58" s="3" t="s">
        <v>3</v>
      </c>
      <c r="R58" s="48">
        <f t="shared" si="32"/>
        <v>-4.4365678757775501E-3</v>
      </c>
      <c r="S58" s="3" t="s">
        <v>4</v>
      </c>
      <c r="T58" s="3"/>
      <c r="U58" s="3"/>
      <c r="V58" s="3"/>
      <c r="W58" s="3"/>
      <c r="X58" s="27"/>
      <c r="Y58" s="3"/>
      <c r="Z58" s="29">
        <f t="shared" si="31"/>
        <v>-10</v>
      </c>
      <c r="AA58" s="30">
        <f t="shared" si="33"/>
        <v>7.9750000000000001E-2</v>
      </c>
      <c r="AB58" s="31">
        <v>23328.757566285531</v>
      </c>
      <c r="AC58" s="33">
        <f t="shared" si="34"/>
        <v>3.4959490864370952</v>
      </c>
      <c r="AD58" s="3"/>
      <c r="AE58" s="3"/>
      <c r="AF58" s="3"/>
      <c r="AG58" s="3"/>
      <c r="AH58" s="3"/>
    </row>
    <row r="59" spans="1:3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7"/>
      <c r="Y59" s="3"/>
      <c r="Z59" s="38">
        <v>0</v>
      </c>
      <c r="AA59" s="53">
        <f t="shared" ref="AA59" si="35">$AA$53*(1+(Z59/100))</f>
        <v>7.2499999999999995E-2</v>
      </c>
      <c r="AB59" s="39">
        <v>22540.744610981794</v>
      </c>
      <c r="AC59" s="55">
        <f t="shared" si="34"/>
        <v>0</v>
      </c>
      <c r="AD59" s="3"/>
      <c r="AE59" s="3"/>
      <c r="AF59" s="3"/>
      <c r="AG59" s="3"/>
      <c r="AH59" s="3"/>
    </row>
    <row r="60" spans="1:3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1" t="s">
        <v>2</v>
      </c>
      <c r="P60" s="4">
        <f>SUM(P55:P58)</f>
        <v>22540.74461098179</v>
      </c>
      <c r="Q60" s="1" t="s">
        <v>3</v>
      </c>
      <c r="R60" s="43">
        <f>SUM(R55:R58)</f>
        <v>6.4402127459947972E-2</v>
      </c>
      <c r="S60" s="1" t="s">
        <v>4</v>
      </c>
      <c r="T60" s="3"/>
      <c r="U60" s="3"/>
      <c r="V60" s="3"/>
      <c r="W60" s="3"/>
      <c r="X60" s="27"/>
      <c r="Y60" s="3"/>
      <c r="Z60" s="29">
        <f t="shared" ref="Z60:Z64" si="36">Z59+10</f>
        <v>10</v>
      </c>
      <c r="AA60" s="30">
        <f t="shared" ref="AA60:AA64" si="37">$AA$53*(1-(Z60/100))</f>
        <v>6.5250000000000002E-2</v>
      </c>
      <c r="AB60" s="31">
        <v>21752.731655678046</v>
      </c>
      <c r="AC60" s="33">
        <f t="shared" si="34"/>
        <v>-3.4959490864371436</v>
      </c>
      <c r="AD60" s="3"/>
      <c r="AE60" s="3"/>
      <c r="AF60" s="3"/>
      <c r="AG60" s="3"/>
      <c r="AH60" s="3"/>
    </row>
    <row r="61" spans="1:3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7"/>
      <c r="Y61" s="3"/>
      <c r="Z61" s="29">
        <f t="shared" si="36"/>
        <v>20</v>
      </c>
      <c r="AA61" s="30">
        <f t="shared" si="37"/>
        <v>5.7999999999999996E-2</v>
      </c>
      <c r="AB61" s="31">
        <v>20964.718700374306</v>
      </c>
      <c r="AC61" s="33">
        <f t="shared" si="34"/>
        <v>-6.9918981728742562</v>
      </c>
      <c r="AD61" s="3"/>
      <c r="AE61" s="3"/>
      <c r="AF61" s="3"/>
      <c r="AG61" s="3"/>
      <c r="AH61" s="3"/>
    </row>
    <row r="62" spans="1:3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7"/>
      <c r="Y62" s="3"/>
      <c r="Z62" s="29">
        <f t="shared" si="36"/>
        <v>30</v>
      </c>
      <c r="AA62" s="30">
        <f t="shared" si="37"/>
        <v>5.0749999999999997E-2</v>
      </c>
      <c r="AB62" s="31">
        <v>20176.705745070565</v>
      </c>
      <c r="AC62" s="33">
        <f t="shared" si="34"/>
        <v>-10.487847259311367</v>
      </c>
      <c r="AD62" s="3"/>
      <c r="AE62" s="3"/>
      <c r="AF62" s="3"/>
      <c r="AG62" s="3"/>
      <c r="AH62" s="3"/>
    </row>
    <row r="63" spans="1:3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7"/>
      <c r="Y63" s="3"/>
      <c r="Z63" s="29">
        <f t="shared" si="36"/>
        <v>40</v>
      </c>
      <c r="AA63" s="30">
        <f t="shared" si="37"/>
        <v>4.3499999999999997E-2</v>
      </c>
      <c r="AB63" s="31">
        <v>19388.692789766817</v>
      </c>
      <c r="AC63" s="33">
        <f t="shared" si="34"/>
        <v>-13.983796345748512</v>
      </c>
      <c r="AD63" s="3"/>
      <c r="AE63" s="3"/>
      <c r="AF63" s="3"/>
      <c r="AG63" s="3"/>
      <c r="AH63" s="3"/>
    </row>
    <row r="64" spans="1:3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7"/>
      <c r="Y64" s="3"/>
      <c r="Z64" s="29">
        <f t="shared" si="36"/>
        <v>50</v>
      </c>
      <c r="AA64" s="30">
        <f t="shared" si="37"/>
        <v>3.6249999999999998E-2</v>
      </c>
      <c r="AB64" s="31">
        <v>18600.679834463077</v>
      </c>
      <c r="AC64" s="33">
        <f t="shared" si="34"/>
        <v>-17.479745432185624</v>
      </c>
      <c r="AD64" s="3"/>
      <c r="AE64" s="3"/>
      <c r="AF64" s="3"/>
      <c r="AG64" s="3"/>
      <c r="AH64" s="3"/>
    </row>
    <row r="65" spans="1:3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7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7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7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spans="1:34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spans="1:34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spans="1:34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spans="1:34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spans="1:34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spans="1:34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spans="1:34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spans="1:34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spans="1:34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spans="1:34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spans="1:34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spans="1:34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spans="1:34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spans="1:34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spans="1:34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spans="1:34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spans="1:34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spans="1:34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spans="1:34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spans="1:34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spans="1:34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spans="1:34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spans="1:34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spans="1:34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spans="1:34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spans="1:34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spans="1:34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spans="1:34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spans="1:34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spans="1:34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spans="1:34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spans="1:34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spans="1:34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spans="1:34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spans="1:34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spans="1:34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spans="1:34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spans="1:34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spans="1:34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spans="1:34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spans="1:34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spans="1:34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spans="1:34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spans="1:34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spans="1:34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spans="1:34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spans="1:34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spans="1:34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spans="1:34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spans="1:34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spans="1:34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spans="1:34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spans="1:34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spans="1:34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spans="1:34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spans="1:34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spans="1:34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spans="1:34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spans="1:34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spans="1:34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spans="1:34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spans="1:34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spans="1:34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spans="1:34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spans="1:34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spans="1:34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spans="1:34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spans="1:34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spans="1:34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spans="1:34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spans="1:34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spans="1:34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spans="1:34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spans="1:34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spans="1:34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spans="1:34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spans="1:34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spans="1:34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spans="1:34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spans="1:34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spans="1:34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spans="1:34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spans="1:34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spans="1:34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spans="1:34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spans="1:34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spans="1:34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spans="1:34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spans="1:34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spans="1:34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spans="1:34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spans="1:34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spans="1:34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spans="1:34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spans="1:34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spans="1:34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spans="1:34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spans="1:34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spans="1:34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spans="1:34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spans="1:34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spans="1:34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spans="1:34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spans="1:34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spans="1:34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spans="1:34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spans="1:34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spans="1:34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spans="1:34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spans="1:34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spans="1:34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spans="1:34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spans="1:34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spans="1:34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spans="1:34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spans="1:34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spans="1:34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spans="1:34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spans="1:34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spans="1:34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spans="1:34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spans="1:34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spans="1:34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spans="1:34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spans="1:34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spans="1:34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spans="1:34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spans="1:34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spans="1:34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spans="1:34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spans="1:34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spans="1:34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spans="1:34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spans="1:34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spans="1:34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spans="1:34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spans="1:34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spans="1:34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spans="1:34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spans="1:34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spans="1:34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spans="1:34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spans="1:34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spans="1:34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spans="1:34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spans="1:34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spans="1:34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spans="1:34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spans="1:34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spans="1:34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spans="1:34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spans="1:34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spans="1:34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spans="1:34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spans="1:34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spans="1:34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spans="1:34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spans="1:34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spans="1:34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spans="1:34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spans="1:34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spans="1:34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spans="1:34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spans="1:34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spans="1:34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spans="1:34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spans="1:34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spans="1:34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spans="1:34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spans="1:34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spans="1:34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spans="1:34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spans="1:34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spans="1:34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spans="1:34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spans="1:34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spans="1:34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spans="1:34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spans="1:34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spans="1:34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spans="1:34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spans="1:34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spans="1:34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spans="1:34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spans="1:34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spans="1:34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spans="1:34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spans="1:34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spans="1:34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spans="1:34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spans="1:34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spans="1:34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spans="1:34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spans="1:34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spans="1:34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spans="1:34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spans="1:34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spans="1:34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spans="1:34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spans="1:34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spans="1:34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spans="1:34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spans="1:34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spans="1:34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spans="1:34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spans="1:34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spans="1:34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spans="1:34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spans="1:34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spans="1:34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spans="1:34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spans="1:34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spans="1:34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spans="1:34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spans="1:34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spans="1:34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spans="1:34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spans="1:34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spans="1:34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spans="1:34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spans="1:34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spans="1:34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spans="1:34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spans="1:34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spans="1:34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spans="1:34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spans="1:34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spans="1:34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spans="1:34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spans="1:34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spans="1:34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spans="1:34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spans="1:34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spans="1:34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spans="1:34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spans="1:34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spans="1:34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spans="1:34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spans="1:34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spans="1:34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spans="1:34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spans="1:34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spans="1:34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spans="1:34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spans="1:34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spans="1:34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spans="1:34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spans="1:34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spans="1:34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spans="1:34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spans="1:34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spans="1:34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spans="1:34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spans="1:34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spans="1:34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spans="1:34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spans="1:34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spans="1:34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spans="1:34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spans="1:34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spans="1:34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spans="1:34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spans="1:34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spans="1:34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spans="1:34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spans="1:34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spans="1:34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spans="1:34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spans="1:34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spans="1:34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spans="1:34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spans="1:34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spans="1:34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spans="1:34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spans="1:34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spans="1:34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spans="1:34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spans="1:34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spans="1:34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spans="1:34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spans="1:34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spans="1:34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spans="1:34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spans="1:34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spans="1:34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spans="1:34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spans="1:34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spans="1:34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spans="1:34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spans="1:34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spans="1:34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spans="1:34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spans="1:34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spans="1:34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spans="1:34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spans="1:34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spans="1:34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spans="1:34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spans="1:34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spans="1:34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spans="1:34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spans="1:34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spans="1:34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spans="1:34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spans="1:34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spans="1:34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spans="1:34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spans="1:34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spans="1:34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spans="1:34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spans="1:34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spans="1:34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spans="1:34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spans="1:34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spans="1:34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spans="1:34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spans="1:34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spans="1:34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spans="1:34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spans="1:34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spans="1:34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spans="1:34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spans="1:34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spans="1:34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spans="1:34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spans="1:34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spans="1:34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spans="1:34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spans="1:34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spans="1:34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spans="1:34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spans="1:34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spans="1:34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spans="1:34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spans="1:34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spans="1:34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spans="1:34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spans="1:34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spans="1:34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spans="1:34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spans="1:34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spans="1:34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spans="1:34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spans="1:34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spans="1:34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spans="1:34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spans="1:34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spans="1:34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spans="1:34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spans="1:34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spans="1:34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spans="1:34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spans="1:34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spans="1:34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spans="1:34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spans="1:34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spans="1:34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spans="1:34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spans="1:34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spans="1:34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spans="1:34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spans="1:34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spans="1:34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spans="1:34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spans="1:34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spans="1:34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spans="1:34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spans="1:34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spans="1:34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spans="1:34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spans="1:34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spans="1:34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spans="1:34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spans="1:34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spans="1:34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spans="1:34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spans="1:34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spans="1:34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spans="1:34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spans="1:34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spans="1:34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spans="1:34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spans="1:34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spans="1:34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spans="1:34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spans="1:34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spans="1:34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spans="1:34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spans="1:34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spans="1:34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spans="1:34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spans="1:34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spans="1:34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spans="1:34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spans="1:34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spans="1:34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spans="1:34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spans="1:34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spans="1:34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spans="1:34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spans="1:34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spans="1:34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spans="1:34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spans="1:34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spans="1:34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spans="1:34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spans="1:34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spans="1:34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spans="1:34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spans="1:34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spans="1:34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spans="1:34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spans="1:34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spans="1:34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spans="1:34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spans="1:34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spans="1:34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spans="1:34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spans="1:34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spans="1:34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spans="1:34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spans="1:34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spans="1:34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spans="1:34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spans="1:34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spans="1:34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spans="1:34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spans="1:34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spans="1:34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spans="1:34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spans="1:34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spans="1:34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spans="1:34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spans="1:34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spans="1:34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spans="1:34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spans="1:34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spans="1:34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spans="1:34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spans="1:34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spans="1:34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spans="1:34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spans="1:34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spans="1:34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spans="1:34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spans="1:34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spans="1:34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spans="1:34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spans="1:34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spans="1:34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spans="1:34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spans="1:34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spans="1:34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spans="1:34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spans="1:34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spans="1:34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spans="1:34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spans="1:34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spans="1:34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spans="1:34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spans="1:34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spans="1:34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spans="1:34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spans="1:34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spans="1:34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spans="1:34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spans="1:34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spans="1:34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spans="1:34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spans="1:34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spans="1:34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spans="1:34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spans="1:34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spans="1:34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spans="1:34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spans="1:34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spans="1:34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spans="1:34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spans="1:34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spans="1:34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spans="1:34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spans="1:34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spans="1:34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spans="1:34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spans="1:34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spans="1:34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spans="1:34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spans="1:34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spans="1:34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spans="1:34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spans="1:34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spans="1:34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spans="1:34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D4CC-66C0-4782-8F89-FD0FA53DD67C}">
  <dimension ref="A2:U45"/>
  <sheetViews>
    <sheetView tabSelected="1" topLeftCell="R22" zoomScaleNormal="100" workbookViewId="0">
      <selection activeCell="X49" sqref="X49"/>
    </sheetView>
  </sheetViews>
  <sheetFormatPr defaultRowHeight="15" x14ac:dyDescent="0.25"/>
  <cols>
    <col min="1" max="1" width="22" style="71" customWidth="1"/>
    <col min="2" max="2" width="21.7109375" style="71" customWidth="1"/>
    <col min="3" max="8" width="19.140625" style="72" customWidth="1"/>
    <col min="9" max="9" width="10.140625" style="71" customWidth="1"/>
    <col min="10" max="14" width="9.140625" style="71"/>
    <col min="15" max="15" width="21.140625" style="71" customWidth="1"/>
    <col min="16" max="20" width="18.42578125" style="71" customWidth="1"/>
    <col min="21" max="16384" width="9.140625" style="71"/>
  </cols>
  <sheetData>
    <row r="2" spans="1:21" ht="18.75" x14ac:dyDescent="0.3">
      <c r="A2" s="70" t="s">
        <v>171</v>
      </c>
      <c r="B2" s="71" t="s">
        <v>158</v>
      </c>
      <c r="O2" s="73" t="s">
        <v>159</v>
      </c>
    </row>
    <row r="3" spans="1:21" x14ac:dyDescent="0.25">
      <c r="B3" s="89" t="s">
        <v>160</v>
      </c>
      <c r="C3" s="90" t="s">
        <v>161</v>
      </c>
      <c r="D3" s="90"/>
      <c r="E3" s="90"/>
      <c r="F3" s="90"/>
      <c r="G3" s="90"/>
      <c r="H3" s="85"/>
      <c r="O3" s="89" t="s">
        <v>160</v>
      </c>
      <c r="P3" s="91" t="s">
        <v>161</v>
      </c>
      <c r="Q3" s="91"/>
      <c r="R3" s="91"/>
      <c r="S3" s="91"/>
      <c r="T3" s="75"/>
      <c r="U3" s="76"/>
    </row>
    <row r="4" spans="1:21" x14ac:dyDescent="0.25">
      <c r="B4" s="89"/>
      <c r="C4" s="75" t="s">
        <v>162</v>
      </c>
      <c r="D4" s="75" t="s">
        <v>163</v>
      </c>
      <c r="E4" s="75" t="s">
        <v>30</v>
      </c>
      <c r="F4" s="75" t="s">
        <v>164</v>
      </c>
      <c r="G4" s="75" t="s">
        <v>165</v>
      </c>
      <c r="H4" s="75" t="str">
        <f>'E-Bus BN'!AR21</f>
        <v>Energy Efficiency</v>
      </c>
      <c r="O4" s="89"/>
      <c r="P4" s="74" t="s">
        <v>162</v>
      </c>
      <c r="Q4" s="74" t="s">
        <v>110</v>
      </c>
      <c r="R4" s="74" t="s">
        <v>165</v>
      </c>
      <c r="S4" s="74" t="s">
        <v>164</v>
      </c>
      <c r="T4" s="74" t="str">
        <f>'ICE-Bus BN'!AO21</f>
        <v>Energy Efficiency</v>
      </c>
    </row>
    <row r="5" spans="1:21" x14ac:dyDescent="0.25">
      <c r="B5" s="77">
        <f>'E-Bus BN'!AL22</f>
        <v>-50</v>
      </c>
      <c r="C5" s="78">
        <f>'E-Bus BN'!AM22</f>
        <v>-52.321766486936014</v>
      </c>
      <c r="D5" s="78">
        <f>'E-Bus BN'!AN22</f>
        <v>-1.8397361452799095</v>
      </c>
      <c r="E5" s="78">
        <f>'E-Bus BN'!AO22</f>
        <v>-6.7986603650406847</v>
      </c>
      <c r="F5" s="78">
        <f>'E-Bus BN'!AP22</f>
        <v>-7.4219796270267206</v>
      </c>
      <c r="G5" s="78">
        <f>'E-Bus BN'!AQ22</f>
        <v>-5.5822434817467954</v>
      </c>
      <c r="H5" s="78">
        <f>'E-Bus BN'!AR22</f>
        <v>1.8397361452799414</v>
      </c>
      <c r="O5" s="77">
        <f>'ICE-Bus BN'!AJ22</f>
        <v>-50</v>
      </c>
      <c r="P5" s="79">
        <f>'ICE-Bus BN'!AK22</f>
        <v>-46.648257033267413</v>
      </c>
      <c r="Q5" s="79">
        <f>'ICE-Bus BN'!AL22</f>
        <v>-4.1359624326848179</v>
      </c>
      <c r="R5" s="79">
        <f>'ICE-Bus BN'!AM22</f>
        <v>-7.2827891559721287</v>
      </c>
      <c r="S5" s="79">
        <f>'ICE-Bus BN'!AN22</f>
        <v>-11.418751588656963</v>
      </c>
      <c r="T5" s="79">
        <f>'ICE-Bus BN'!AO22</f>
        <v>4.1359624326848179</v>
      </c>
    </row>
    <row r="6" spans="1:21" x14ac:dyDescent="0.25">
      <c r="B6" s="77">
        <f>'E-Bus BN'!AL23</f>
        <v>-40</v>
      </c>
      <c r="C6" s="78">
        <f>'E-Bus BN'!AM23</f>
        <v>-41.857413189548815</v>
      </c>
      <c r="D6" s="78">
        <f>'E-Bus BN'!AN23</f>
        <v>-1.4717889162239404</v>
      </c>
      <c r="E6" s="78">
        <f>'E-Bus BN'!AO23</f>
        <v>-5.4389282920325606</v>
      </c>
      <c r="F6" s="78">
        <f>'E-Bus BN'!AP23</f>
        <v>-5.9375837016213637</v>
      </c>
      <c r="G6" s="78">
        <f>'E-Bus BN'!AQ23</f>
        <v>-4.4657947853974553</v>
      </c>
      <c r="H6" s="78">
        <f>'E-Bus BN'!AR23</f>
        <v>1.4717889162239726</v>
      </c>
      <c r="O6" s="77">
        <f>'ICE-Bus BN'!AJ23</f>
        <v>-40</v>
      </c>
      <c r="P6" s="79">
        <f>'ICE-Bus BN'!AK23</f>
        <v>-37.31860562661393</v>
      </c>
      <c r="Q6" s="79">
        <f>'ICE-Bus BN'!AL23</f>
        <v>-3.3087699461478368</v>
      </c>
      <c r="R6" s="79">
        <f>'ICE-Bus BN'!AM23</f>
        <v>-5.8262313247777344</v>
      </c>
      <c r="S6" s="79">
        <f>'ICE-Bus BN'!AN23</f>
        <v>-9.1350012709255726</v>
      </c>
      <c r="T6" s="79">
        <f>'ICE-Bus BN'!AO23</f>
        <v>3.3087699461478897</v>
      </c>
    </row>
    <row r="7" spans="1:21" x14ac:dyDescent="0.25">
      <c r="B7" s="77">
        <f>'E-Bus BN'!AL24</f>
        <v>-30</v>
      </c>
      <c r="C7" s="78">
        <f>'E-Bus BN'!AM24</f>
        <v>-31.393059892161627</v>
      </c>
      <c r="D7" s="78">
        <f>'E-Bus BN'!AN24</f>
        <v>-1.1038416871679393</v>
      </c>
      <c r="E7" s="78">
        <f>'E-Bus BN'!AO24</f>
        <v>-4.0791962190244044</v>
      </c>
      <c r="F7" s="78">
        <f>'E-Bus BN'!AP24</f>
        <v>-4.4531877762160228</v>
      </c>
      <c r="G7" s="78">
        <f>'E-Bus BN'!AQ24</f>
        <v>-3.3493460890480673</v>
      </c>
      <c r="H7" s="78">
        <f>'E-Bus BN'!AR24</f>
        <v>1.1038416871680032</v>
      </c>
      <c r="O7" s="77">
        <f>'ICE-Bus BN'!AJ24</f>
        <v>-30</v>
      </c>
      <c r="P7" s="79">
        <f>'ICE-Bus BN'!AK24</f>
        <v>-27.988954219960448</v>
      </c>
      <c r="Q7" s="79">
        <f>'ICE-Bus BN'!AL24</f>
        <v>-2.4815774596108735</v>
      </c>
      <c r="R7" s="79">
        <f>'ICE-Bus BN'!AM24</f>
        <v>-4.3696734935832877</v>
      </c>
      <c r="S7" s="79">
        <f>'ICE-Bus BN'!AN24</f>
        <v>-6.8512509531941612</v>
      </c>
      <c r="T7" s="79">
        <f>'ICE-Bus BN'!AO24</f>
        <v>2.4815774596109264</v>
      </c>
    </row>
    <row r="8" spans="1:21" x14ac:dyDescent="0.25">
      <c r="B8" s="77">
        <f>'E-Bus BN'!AL25</f>
        <v>-20</v>
      </c>
      <c r="C8" s="78">
        <f>'E-Bus BN'!AM25</f>
        <v>-20.928706594774393</v>
      </c>
      <c r="D8" s="78">
        <f>'E-Bus BN'!AN25</f>
        <v>-0.73589445811193821</v>
      </c>
      <c r="E8" s="78">
        <f>'E-Bus BN'!AO25</f>
        <v>-2.7194641460162803</v>
      </c>
      <c r="F8" s="78">
        <f>'E-Bus BN'!AP25</f>
        <v>-2.9687918508106659</v>
      </c>
      <c r="G8" s="78">
        <f>'E-Bus BN'!AQ25</f>
        <v>-2.2328973926986952</v>
      </c>
      <c r="H8" s="78">
        <f>'E-Bus BN'!AR25</f>
        <v>0.73589445811201826</v>
      </c>
      <c r="O8" s="77">
        <f>'ICE-Bus BN'!AJ25</f>
        <v>-20</v>
      </c>
      <c r="P8" s="79">
        <f>'ICE-Bus BN'!AK25</f>
        <v>-18.659302813306962</v>
      </c>
      <c r="Q8" s="79">
        <f>'ICE-Bus BN'!AL25</f>
        <v>-1.6543849730739275</v>
      </c>
      <c r="R8" s="79">
        <f>'ICE-Bus BN'!AM25</f>
        <v>-2.9131156623888583</v>
      </c>
      <c r="S8" s="79">
        <f>'ICE-Bus BN'!AN25</f>
        <v>-4.5675006354628032</v>
      </c>
      <c r="T8" s="79">
        <f>'ICE-Bus BN'!AO25</f>
        <v>1.6543849730739448</v>
      </c>
    </row>
    <row r="9" spans="1:21" x14ac:dyDescent="0.25">
      <c r="B9" s="77">
        <f>'E-Bus BN'!AL26</f>
        <v>-10</v>
      </c>
      <c r="C9" s="78">
        <f>'E-Bus BN'!AM26</f>
        <v>-10.464353297387188</v>
      </c>
      <c r="D9" s="78">
        <f>'E-Bus BN'!AN26</f>
        <v>-0.36794722905595312</v>
      </c>
      <c r="E9" s="78">
        <f>'E-Bus BN'!AO26</f>
        <v>-1.3597320730081401</v>
      </c>
      <c r="F9" s="78">
        <f>'E-Bus BN'!AP26</f>
        <v>-1.4843959254053087</v>
      </c>
      <c r="G9" s="78">
        <f>'E-Bus BN'!AQ26</f>
        <v>-1.1164486963493556</v>
      </c>
      <c r="H9" s="78">
        <f>'E-Bus BN'!AR26</f>
        <v>0.36794722905603316</v>
      </c>
      <c r="O9" s="77">
        <f>'ICE-Bus BN'!AJ26</f>
        <v>-10</v>
      </c>
      <c r="P9" s="79">
        <f>'ICE-Bus BN'!AK26</f>
        <v>-9.3296514066534808</v>
      </c>
      <c r="Q9" s="79">
        <f>'ICE-Bus BN'!AL26</f>
        <v>-0.82719248653696376</v>
      </c>
      <c r="R9" s="79">
        <f>'ICE-Bus BN'!AM26</f>
        <v>-1.4565578311944292</v>
      </c>
      <c r="S9" s="79">
        <f>'ICE-Bus BN'!AN26</f>
        <v>-2.2837503177313754</v>
      </c>
      <c r="T9" s="79">
        <f>'ICE-Bus BN'!AO26</f>
        <v>0.82719248653698119</v>
      </c>
    </row>
    <row r="10" spans="1:21" x14ac:dyDescent="0.25">
      <c r="B10" s="77">
        <f>'E-Bus BN'!AL27</f>
        <v>0</v>
      </c>
      <c r="C10" s="78">
        <f>'E-Bus BN'!AM27</f>
        <v>0</v>
      </c>
      <c r="D10" s="78">
        <f>'E-Bus BN'!AN27</f>
        <v>0</v>
      </c>
      <c r="E10" s="78">
        <f>'E-Bus BN'!AO27</f>
        <v>0</v>
      </c>
      <c r="F10" s="78">
        <f>'E-Bus BN'!AP27</f>
        <v>0</v>
      </c>
      <c r="G10" s="78">
        <f>'E-Bus BN'!AQ27</f>
        <v>0</v>
      </c>
      <c r="H10" s="78">
        <f>'E-Bus BN'!AR27</f>
        <v>0</v>
      </c>
      <c r="O10" s="77">
        <f>'ICE-Bus BN'!AJ27</f>
        <v>0</v>
      </c>
      <c r="P10" s="79">
        <f>'ICE-Bus BN'!AK27</f>
        <v>0</v>
      </c>
      <c r="Q10" s="79">
        <f>'ICE-Bus BN'!AL27</f>
        <v>0</v>
      </c>
      <c r="R10" s="79">
        <f>'ICE-Bus BN'!AM27</f>
        <v>0</v>
      </c>
      <c r="S10" s="79">
        <f>'ICE-Bus BN'!AN27</f>
        <v>0</v>
      </c>
      <c r="T10" s="79">
        <f>'ICE-Bus BN'!AO27</f>
        <v>0</v>
      </c>
    </row>
    <row r="11" spans="1:21" x14ac:dyDescent="0.25">
      <c r="B11" s="77">
        <f>'E-Bus BN'!AL28</f>
        <v>10</v>
      </c>
      <c r="C11" s="78">
        <f>'E-Bus BN'!AM28</f>
        <v>10.464353297387204</v>
      </c>
      <c r="D11" s="78">
        <f>'E-Bus BN'!AN28</f>
        <v>0.36794722905603316</v>
      </c>
      <c r="E11" s="78">
        <f>'E-Bus BN'!AO28</f>
        <v>1.3597320730081564</v>
      </c>
      <c r="F11" s="78">
        <f>'E-Bus BN'!AP28</f>
        <v>1.4843959254053729</v>
      </c>
      <c r="G11" s="78">
        <f>'E-Bus BN'!AQ28</f>
        <v>1.1164486963494198</v>
      </c>
      <c r="H11" s="78">
        <f>'E-Bus BN'!AR28</f>
        <v>-0.36794722905595312</v>
      </c>
      <c r="O11" s="77">
        <f>'ICE-Bus BN'!AJ28</f>
        <v>10</v>
      </c>
      <c r="P11" s="79">
        <f>'ICE-Bus BN'!AK28</f>
        <v>9.3296514066535163</v>
      </c>
      <c r="Q11" s="79">
        <f>'ICE-Bus BN'!AL28</f>
        <v>0.82719248653698119</v>
      </c>
      <c r="R11" s="79">
        <f>'ICE-Bus BN'!AM28</f>
        <v>1.4565578311944645</v>
      </c>
      <c r="S11" s="79">
        <f>'ICE-Bus BN'!AN28</f>
        <v>2.2837503177314105</v>
      </c>
      <c r="T11" s="79">
        <f>'ICE-Bus BN'!AO28</f>
        <v>-0.82719248653696376</v>
      </c>
    </row>
    <row r="12" spans="1:21" x14ac:dyDescent="0.25">
      <c r="B12" s="77">
        <f>'E-Bus BN'!AL29</f>
        <v>20</v>
      </c>
      <c r="C12" s="78">
        <f>'E-Bus BN'!AM29</f>
        <v>20.928706594774425</v>
      </c>
      <c r="D12" s="78">
        <f>'E-Bus BN'!AN29</f>
        <v>0.73589445811201826</v>
      </c>
      <c r="E12" s="78">
        <f>'E-Bus BN'!AO29</f>
        <v>2.7194641460162643</v>
      </c>
      <c r="F12" s="78">
        <f>'E-Bus BN'!AP29</f>
        <v>2.9687918508107138</v>
      </c>
      <c r="G12" s="78">
        <f>'E-Bus BN'!AQ29</f>
        <v>2.2328973926987437</v>
      </c>
      <c r="H12" s="78">
        <f>'E-Bus BN'!AR29</f>
        <v>-0.73589445811193821</v>
      </c>
      <c r="O12" s="77">
        <f>'ICE-Bus BN'!AJ29</f>
        <v>20</v>
      </c>
      <c r="P12" s="79">
        <f>'ICE-Bus BN'!AK29</f>
        <v>18.659302813306962</v>
      </c>
      <c r="Q12" s="79">
        <f>'ICE-Bus BN'!AL29</f>
        <v>1.6543849730739448</v>
      </c>
      <c r="R12" s="79">
        <f>'ICE-Bus BN'!AM29</f>
        <v>2.9131156623888756</v>
      </c>
      <c r="S12" s="79">
        <f>'ICE-Bus BN'!AN29</f>
        <v>4.5675006354628209</v>
      </c>
      <c r="T12" s="79">
        <f>'ICE-Bus BN'!AO29</f>
        <v>-1.6543849730739275</v>
      </c>
    </row>
    <row r="13" spans="1:21" x14ac:dyDescent="0.25">
      <c r="B13" s="77">
        <f>'E-Bus BN'!AL30</f>
        <v>30</v>
      </c>
      <c r="C13" s="78">
        <f>'E-Bus BN'!AM30</f>
        <v>31.393059892161627</v>
      </c>
      <c r="D13" s="78">
        <f>'E-Bus BN'!AN30</f>
        <v>1.1038416871680032</v>
      </c>
      <c r="E13" s="78">
        <f>'E-Bus BN'!AO30</f>
        <v>4.0791962190244044</v>
      </c>
      <c r="F13" s="78">
        <f>'E-Bus BN'!AP30</f>
        <v>4.4531877762160708</v>
      </c>
      <c r="G13" s="78">
        <f>'E-Bus BN'!AQ30</f>
        <v>3.3493460890480988</v>
      </c>
      <c r="H13" s="78">
        <f>'E-Bus BN'!AR30</f>
        <v>-1.1038416871679393</v>
      </c>
      <c r="O13" s="77">
        <f>'ICE-Bus BN'!AJ30</f>
        <v>30</v>
      </c>
      <c r="P13" s="79">
        <f>'ICE-Bus BN'!AK30</f>
        <v>27.988954219960476</v>
      </c>
      <c r="Q13" s="79">
        <f>'ICE-Bus BN'!AL30</f>
        <v>2.4815774596109264</v>
      </c>
      <c r="R13" s="79">
        <f>'ICE-Bus BN'!AM30</f>
        <v>4.3696734935833232</v>
      </c>
      <c r="S13" s="79">
        <f>'ICE-Bus BN'!AN30</f>
        <v>6.8512509531942305</v>
      </c>
      <c r="T13" s="79">
        <f>'ICE-Bus BN'!AO30</f>
        <v>-2.4815774596108735</v>
      </c>
    </row>
    <row r="14" spans="1:21" x14ac:dyDescent="0.25">
      <c r="B14" s="77">
        <f>'E-Bus BN'!AL31</f>
        <v>40</v>
      </c>
      <c r="C14" s="78">
        <f>'E-Bus BN'!AM31</f>
        <v>41.857413189548851</v>
      </c>
      <c r="D14" s="78">
        <f>'E-Bus BN'!AN31</f>
        <v>1.4717889162239726</v>
      </c>
      <c r="E14" s="78">
        <f>'E-Bus BN'!AO31</f>
        <v>5.4389282920325606</v>
      </c>
      <c r="F14" s="78">
        <f>'E-Bus BN'!AP31</f>
        <v>5.9375837016213957</v>
      </c>
      <c r="G14" s="78">
        <f>'E-Bus BN'!AQ31</f>
        <v>4.4657947853974713</v>
      </c>
      <c r="H14" s="78">
        <f>'E-Bus BN'!AR31</f>
        <v>-1.4717889162239404</v>
      </c>
      <c r="O14" s="77">
        <f>'ICE-Bus BN'!AJ31</f>
        <v>40</v>
      </c>
      <c r="P14" s="79">
        <f>'ICE-Bus BN'!AK31</f>
        <v>37.318605626613923</v>
      </c>
      <c r="Q14" s="79">
        <f>'ICE-Bus BN'!AL31</f>
        <v>3.3087699461478897</v>
      </c>
      <c r="R14" s="79">
        <f>'ICE-Bus BN'!AM31</f>
        <v>5.8262313247777513</v>
      </c>
      <c r="S14" s="79">
        <f>'ICE-Bus BN'!AN31</f>
        <v>9.1350012709256241</v>
      </c>
      <c r="T14" s="79">
        <f>'ICE-Bus BN'!AO31</f>
        <v>-3.3087699461478368</v>
      </c>
    </row>
    <row r="15" spans="1:21" x14ac:dyDescent="0.25">
      <c r="B15" s="77">
        <f>'E-Bus BN'!AL32</f>
        <v>50</v>
      </c>
      <c r="C15" s="78">
        <f>'E-Bus BN'!AM32</f>
        <v>52.321766486936106</v>
      </c>
      <c r="D15" s="78">
        <f>'E-Bus BN'!AN32</f>
        <v>1.8397361452799414</v>
      </c>
      <c r="E15" s="78">
        <f>'E-Bus BN'!AO32</f>
        <v>6.7986603650407016</v>
      </c>
      <c r="F15" s="78">
        <f>'E-Bus BN'!AP32</f>
        <v>7.4219796270267206</v>
      </c>
      <c r="G15" s="78">
        <f>'E-Bus BN'!AQ32</f>
        <v>5.5822434817468434</v>
      </c>
      <c r="H15" s="78">
        <f>'E-Bus BN'!AR32</f>
        <v>-1.8397361452799095</v>
      </c>
      <c r="O15" s="77">
        <f>'ICE-Bus BN'!AJ32</f>
        <v>50</v>
      </c>
      <c r="P15" s="79">
        <f>'ICE-Bus BN'!AK32</f>
        <v>46.648257033267434</v>
      </c>
      <c r="Q15" s="79">
        <f>'ICE-Bus BN'!AL32</f>
        <v>4.1359624326848179</v>
      </c>
      <c r="R15" s="79">
        <f>'ICE-Bus BN'!AM32</f>
        <v>7.2827891559721634</v>
      </c>
      <c r="S15" s="79">
        <f>'ICE-Bus BN'!AN32</f>
        <v>11.418751588657017</v>
      </c>
      <c r="T15" s="79">
        <f>'ICE-Bus BN'!AO32</f>
        <v>-4.1359624326848179</v>
      </c>
    </row>
    <row r="17" spans="2:20" x14ac:dyDescent="0.25">
      <c r="B17" s="73" t="s">
        <v>166</v>
      </c>
      <c r="O17" s="73" t="s">
        <v>167</v>
      </c>
    </row>
    <row r="18" spans="2:20" x14ac:dyDescent="0.25">
      <c r="B18" s="89" t="s">
        <v>160</v>
      </c>
      <c r="C18" s="90" t="s">
        <v>161</v>
      </c>
      <c r="D18" s="90"/>
      <c r="E18" s="90"/>
      <c r="F18" s="90"/>
      <c r="G18" s="90"/>
      <c r="H18" s="85"/>
      <c r="O18" s="89" t="s">
        <v>160</v>
      </c>
      <c r="P18" s="91" t="s">
        <v>161</v>
      </c>
      <c r="Q18" s="91"/>
      <c r="R18" s="91"/>
      <c r="S18" s="91"/>
      <c r="T18" s="75"/>
    </row>
    <row r="19" spans="2:20" x14ac:dyDescent="0.25">
      <c r="B19" s="89"/>
      <c r="C19" s="75" t="s">
        <v>162</v>
      </c>
      <c r="D19" s="75" t="s">
        <v>163</v>
      </c>
      <c r="E19" s="75" t="s">
        <v>30</v>
      </c>
      <c r="F19" s="75" t="s">
        <v>164</v>
      </c>
      <c r="G19" s="75" t="s">
        <v>165</v>
      </c>
      <c r="H19" s="75" t="str">
        <f>'E-Truck BN'!AR21</f>
        <v>Energy Efficiency</v>
      </c>
      <c r="O19" s="89"/>
      <c r="P19" s="74" t="s">
        <v>162</v>
      </c>
      <c r="Q19" s="74" t="s">
        <v>110</v>
      </c>
      <c r="R19" s="74" t="s">
        <v>165</v>
      </c>
      <c r="S19" s="74" t="s">
        <v>164</v>
      </c>
      <c r="T19" s="74" t="str">
        <f>'ICE-Truck BN'!AO21</f>
        <v>Energy Efficiency</v>
      </c>
    </row>
    <row r="20" spans="2:20" x14ac:dyDescent="0.25">
      <c r="B20" s="77">
        <f>'E-Truck BN'!AL22</f>
        <v>-50</v>
      </c>
      <c r="C20" s="78">
        <f>'E-Truck BN'!AM22</f>
        <v>-40.585374436493957</v>
      </c>
      <c r="D20" s="78">
        <f>'E-Truck BN'!AN22</f>
        <v>-3.1131075565442123</v>
      </c>
      <c r="E20" s="78">
        <f>'E-Truck BN'!AO22</f>
        <v>-5.6066126078217637</v>
      </c>
      <c r="F20" s="78">
        <f>'E-Truck BN'!AP22</f>
        <v>-18.476407596424441</v>
      </c>
      <c r="G20" s="78">
        <f>'E-Truck BN'!AQ22</f>
        <v>-8.4310886160589575</v>
      </c>
      <c r="H20" s="78">
        <f>'E-Truck BN'!AR22</f>
        <v>3.1131075565441817</v>
      </c>
      <c r="O20" s="77">
        <f>'ICE-Truck BN'!AJ22</f>
        <v>-50</v>
      </c>
      <c r="P20" s="79">
        <f>'ICE-Truck BN'!AK22</f>
        <v>-13.940690130607472</v>
      </c>
      <c r="Q20" s="79">
        <f>'ICE-Truck BN'!AL22</f>
        <v>-9.7131262054178436</v>
      </c>
      <c r="R20" s="79">
        <f>'ICE-Truck BN'!AM22</f>
        <v>-25.191875030241128</v>
      </c>
      <c r="S20" s="79">
        <f>'ICE-Truck BN'!AN22</f>
        <v>-34.905001235658986</v>
      </c>
      <c r="T20" s="79">
        <f>'ICE-Truck BN'!AO22</f>
        <v>9.7131262054178293</v>
      </c>
    </row>
    <row r="21" spans="2:20" x14ac:dyDescent="0.25">
      <c r="B21" s="77">
        <f>'E-Truck BN'!AL23</f>
        <v>-40</v>
      </c>
      <c r="C21" s="78">
        <f>'E-Truck BN'!AM23</f>
        <v>-32.468299549195159</v>
      </c>
      <c r="D21" s="78">
        <f>'E-Truck BN'!AN23</f>
        <v>-2.4904860452353952</v>
      </c>
      <c r="E21" s="78">
        <f>'E-Truck BN'!AO23</f>
        <v>-4.4852900862574421</v>
      </c>
      <c r="F21" s="78">
        <f>'E-Truck BN'!AP23</f>
        <v>-15.568075498820766</v>
      </c>
      <c r="G21" s="78">
        <f>'E-Truck BN'!AQ23</f>
        <v>-6.744870892847163</v>
      </c>
      <c r="H21" s="78">
        <f>'E-Truck BN'!AR23</f>
        <v>2.490486045235333</v>
      </c>
      <c r="O21" s="77">
        <f>'ICE-Truck BN'!AJ23</f>
        <v>-40</v>
      </c>
      <c r="P21" s="79">
        <f>'ICE-Truck BN'!AK23</f>
        <v>-11.152552104485975</v>
      </c>
      <c r="Q21" s="79">
        <f>'ICE-Truck BN'!AL23</f>
        <v>-7.7705009643342775</v>
      </c>
      <c r="R21" s="79">
        <f>'ICE-Truck BN'!AM23</f>
        <v>-20.153500024192933</v>
      </c>
      <c r="S21" s="79">
        <f>'ICE-Truck BN'!AN23</f>
        <v>-27.924000988527197</v>
      </c>
      <c r="T21" s="79">
        <f>'ICE-Truck BN'!AO23</f>
        <v>7.7705009643342633</v>
      </c>
    </row>
    <row r="22" spans="2:20" x14ac:dyDescent="0.25">
      <c r="B22" s="77">
        <f>'E-Truck BN'!AL24</f>
        <v>-30</v>
      </c>
      <c r="C22" s="78">
        <f>'E-Truck BN'!AM24</f>
        <v>-24.351224661896378</v>
      </c>
      <c r="D22" s="78">
        <f>'E-Truck BN'!AN24</f>
        <v>-1.8678645339265616</v>
      </c>
      <c r="E22" s="78">
        <f>'E-Truck BN'!AO24</f>
        <v>-3.3639675646930738</v>
      </c>
      <c r="F22" s="78">
        <f>'E-Truck BN'!AP24</f>
        <v>-12.934540135865566</v>
      </c>
      <c r="G22" s="78">
        <f>'E-Truck BN'!AQ24</f>
        <v>-5.0586531696353836</v>
      </c>
      <c r="H22" s="78">
        <f>'E-Truck BN'!AR24</f>
        <v>1.8678645339265152</v>
      </c>
      <c r="O22" s="77">
        <f>'ICE-Truck BN'!AJ24</f>
        <v>-30</v>
      </c>
      <c r="P22" s="79">
        <f>'ICE-Truck BN'!AK24</f>
        <v>-8.3644140783644776</v>
      </c>
      <c r="Q22" s="79">
        <f>'ICE-Truck BN'!AL24</f>
        <v>-5.8278757232506981</v>
      </c>
      <c r="R22" s="79">
        <f>'ICE-Truck BN'!AM24</f>
        <v>-15.115125018144681</v>
      </c>
      <c r="S22" s="79">
        <f>'ICE-Truck BN'!AN24</f>
        <v>-20.943000741395394</v>
      </c>
      <c r="T22" s="79">
        <f>'ICE-Truck BN'!AO24</f>
        <v>5.8278757232506839</v>
      </c>
    </row>
    <row r="23" spans="2:20" x14ac:dyDescent="0.25">
      <c r="B23" s="77">
        <f>'E-Truck BN'!AL25</f>
        <v>-20</v>
      </c>
      <c r="C23" s="78">
        <f>'E-Truck BN'!AM25</f>
        <v>-16.234149774597576</v>
      </c>
      <c r="D23" s="78">
        <f>'E-Truck BN'!AN25</f>
        <v>-1.2452430226177129</v>
      </c>
      <c r="E23" s="78">
        <f>'E-Truck BN'!AO25</f>
        <v>-2.242645043128721</v>
      </c>
      <c r="F23" s="78">
        <f>'E-Truck BN'!AP25</f>
        <v>-10.283146485846476</v>
      </c>
      <c r="G23" s="78">
        <f>'E-Truck BN'!AQ25</f>
        <v>-3.3724354464235731</v>
      </c>
      <c r="H23" s="78">
        <f>'E-Truck BN'!AR25</f>
        <v>1.2452430226176665</v>
      </c>
      <c r="O23" s="77">
        <f>'ICE-Truck BN'!AJ25</f>
        <v>-20</v>
      </c>
      <c r="P23" s="79">
        <f>'ICE-Truck BN'!AK25</f>
        <v>-5.5762760522429948</v>
      </c>
      <c r="Q23" s="79">
        <f>'ICE-Truck BN'!AL25</f>
        <v>-3.8852504821671316</v>
      </c>
      <c r="R23" s="79">
        <f>'ICE-Truck BN'!AM25</f>
        <v>-10.076750012096474</v>
      </c>
      <c r="S23" s="79">
        <f>'ICE-Truck BN'!AN25</f>
        <v>-13.962000494263604</v>
      </c>
      <c r="T23" s="79">
        <f>'ICE-Truck BN'!AO25</f>
        <v>3.8852504821671316</v>
      </c>
    </row>
    <row r="24" spans="2:20" x14ac:dyDescent="0.25">
      <c r="B24" s="77">
        <f>'E-Truck BN'!AL26</f>
        <v>-10</v>
      </c>
      <c r="C24" s="78">
        <f>'E-Truck BN'!AM26</f>
        <v>-8.1170748872988021</v>
      </c>
      <c r="D24" s="78">
        <f>'E-Truck BN'!AN26</f>
        <v>-0.6226215113088488</v>
      </c>
      <c r="E24" s="78">
        <f>'E-Truck BN'!AO26</f>
        <v>-1.1213225215643683</v>
      </c>
      <c r="F24" s="78">
        <f>'E-Truck BN'!AP26</f>
        <v>-2.3088392345206588</v>
      </c>
      <c r="G24" s="78">
        <f>'E-Truck BN'!AQ26</f>
        <v>-1.6862177232118098</v>
      </c>
      <c r="H24" s="78">
        <f>'E-Truck BN'!AR26</f>
        <v>0.62262151130881771</v>
      </c>
      <c r="O24" s="77">
        <f>'ICE-Truck BN'!AJ26</f>
        <v>-10</v>
      </c>
      <c r="P24" s="79">
        <f>'ICE-Truck BN'!AK26</f>
        <v>-2.7881380261214836</v>
      </c>
      <c r="Q24" s="79">
        <f>'ICE-Truck BN'!AL26</f>
        <v>-1.9426252410835798</v>
      </c>
      <c r="R24" s="79">
        <f>'ICE-Truck BN'!AM26</f>
        <v>-5.0383750060482226</v>
      </c>
      <c r="S24" s="79">
        <f>'ICE-Truck BN'!AN26</f>
        <v>-6.981000247131802</v>
      </c>
      <c r="T24" s="79">
        <f>'ICE-Truck BN'!AO26</f>
        <v>1.9426252410835936</v>
      </c>
    </row>
    <row r="25" spans="2:20" x14ac:dyDescent="0.25">
      <c r="B25" s="77">
        <f>'E-Truck BN'!AL27</f>
        <v>0</v>
      </c>
      <c r="C25" s="78">
        <f>'E-Truck BN'!AM27</f>
        <v>0</v>
      </c>
      <c r="D25" s="78">
        <f>'E-Truck BN'!AN27</f>
        <v>0</v>
      </c>
      <c r="E25" s="78">
        <f>'E-Truck BN'!AO27</f>
        <v>0</v>
      </c>
      <c r="F25" s="78">
        <f>'E-Truck BN'!AP27</f>
        <v>0</v>
      </c>
      <c r="G25" s="78">
        <f>'E-Truck BN'!AQ27</f>
        <v>0</v>
      </c>
      <c r="H25" s="78">
        <f>'E-Truck BN'!AR27</f>
        <v>0</v>
      </c>
      <c r="O25" s="77">
        <f>'ICE-Truck BN'!AJ27</f>
        <v>0</v>
      </c>
      <c r="P25" s="79">
        <f>'ICE-Truck BN'!AK27</f>
        <v>0</v>
      </c>
      <c r="Q25" s="79">
        <f>'ICE-Truck BN'!AL27</f>
        <v>0</v>
      </c>
      <c r="R25" s="79">
        <f>'ICE-Truck BN'!AM27</f>
        <v>0</v>
      </c>
      <c r="S25" s="79">
        <f>'ICE-Truck BN'!AN27</f>
        <v>0</v>
      </c>
      <c r="T25" s="79">
        <f>'ICE-Truck BN'!AO27</f>
        <v>0</v>
      </c>
    </row>
    <row r="26" spans="2:20" x14ac:dyDescent="0.25">
      <c r="B26" s="77">
        <f>'E-Truck BN'!AL28</f>
        <v>10</v>
      </c>
      <c r="C26" s="78">
        <f>'E-Truck BN'!AM28</f>
        <v>8.1170748872987399</v>
      </c>
      <c r="D26" s="78">
        <f>'E-Truck BN'!AN28</f>
        <v>0.62262151130881771</v>
      </c>
      <c r="E26" s="78">
        <f>'E-Truck BN'!AO28</f>
        <v>1.1213225215643374</v>
      </c>
      <c r="F26" s="78">
        <f>'E-Truck BN'!AP28</f>
        <v>3.2896037259138229</v>
      </c>
      <c r="G26" s="78">
        <f>'E-Truck BN'!AQ28</f>
        <v>1.6862177232117481</v>
      </c>
      <c r="H26" s="78">
        <f>'E-Truck BN'!AR28</f>
        <v>-0.6226215113088488</v>
      </c>
      <c r="O26" s="77">
        <f>'ICE-Truck BN'!AJ28</f>
        <v>10</v>
      </c>
      <c r="P26" s="79">
        <f>'ICE-Truck BN'!AK28</f>
        <v>2.7881380261215112</v>
      </c>
      <c r="Q26" s="79">
        <f>'ICE-Truck BN'!AL28</f>
        <v>1.9426252410835936</v>
      </c>
      <c r="R26" s="79">
        <f>'ICE-Truck BN'!AM28</f>
        <v>5.0383750060482502</v>
      </c>
      <c r="S26" s="79">
        <f>'ICE-Truck BN'!AN28</f>
        <v>6.9810002471318162</v>
      </c>
      <c r="T26" s="79">
        <f>'ICE-Truck BN'!AO28</f>
        <v>-1.9426252410835798</v>
      </c>
    </row>
    <row r="27" spans="2:20" x14ac:dyDescent="0.25">
      <c r="B27" s="77">
        <f>'E-Truck BN'!AL29</f>
        <v>20</v>
      </c>
      <c r="C27" s="78">
        <f>'E-Truck BN'!AM29</f>
        <v>16.234149774597544</v>
      </c>
      <c r="D27" s="78">
        <f>'E-Truck BN'!AN29</f>
        <v>1.2452430226176665</v>
      </c>
      <c r="E27" s="78">
        <f>'E-Truck BN'!AO29</f>
        <v>2.2426450431286749</v>
      </c>
      <c r="F27" s="78">
        <f>'E-Truck BN'!AP29</f>
        <v>5.5984429604344657</v>
      </c>
      <c r="G27" s="78">
        <f>'E-Truck BN'!AQ29</f>
        <v>3.3724354464235264</v>
      </c>
      <c r="H27" s="78">
        <f>'E-Truck BN'!AR29</f>
        <v>-1.2452430226177129</v>
      </c>
      <c r="O27" s="77">
        <f>'ICE-Truck BN'!AJ29</f>
        <v>20</v>
      </c>
      <c r="P27" s="79">
        <f>'ICE-Truck BN'!AK29</f>
        <v>5.5762760522429948</v>
      </c>
      <c r="Q27" s="79">
        <f>'ICE-Truck BN'!AL29</f>
        <v>3.8852504821671316</v>
      </c>
      <c r="R27" s="79">
        <f>'ICE-Truck BN'!AM29</f>
        <v>10.076750012096431</v>
      </c>
      <c r="S27" s="79">
        <f>'ICE-Truck BN'!AN29</f>
        <v>13.962000494263618</v>
      </c>
      <c r="T27" s="79">
        <f>'ICE-Truck BN'!AO29</f>
        <v>-3.8852504821671316</v>
      </c>
    </row>
    <row r="28" spans="2:20" x14ac:dyDescent="0.25">
      <c r="B28" s="77">
        <f>'E-Truck BN'!AL30</f>
        <v>30</v>
      </c>
      <c r="C28" s="78">
        <f>'E-Truck BN'!AM30</f>
        <v>24.351224661896318</v>
      </c>
      <c r="D28" s="78">
        <f>'E-Truck BN'!AN30</f>
        <v>1.8678645339265152</v>
      </c>
      <c r="E28" s="78">
        <f>'E-Truck BN'!AO30</f>
        <v>3.3639675646930276</v>
      </c>
      <c r="F28" s="78">
        <f>'E-Truck BN'!AP30</f>
        <v>14.572571436174634</v>
      </c>
      <c r="G28" s="78">
        <f>'E-Truck BN'!AQ30</f>
        <v>5.0586531696353214</v>
      </c>
      <c r="H28" s="78">
        <f>'E-Truck BN'!AR30</f>
        <v>-1.8678645339265616</v>
      </c>
      <c r="O28" s="77">
        <f>'ICE-Truck BN'!AJ30</f>
        <v>30</v>
      </c>
      <c r="P28" s="79">
        <f>'ICE-Truck BN'!AK30</f>
        <v>8.3644140783644918</v>
      </c>
      <c r="Q28" s="79">
        <f>'ICE-Truck BN'!AL30</f>
        <v>5.8278757232506839</v>
      </c>
      <c r="R28" s="79">
        <f>'ICE-Truck BN'!AM30</f>
        <v>15.115125018144695</v>
      </c>
      <c r="S28" s="79">
        <f>'ICE-Truck BN'!AN30</f>
        <v>20.943000741395394</v>
      </c>
      <c r="T28" s="79">
        <f>'ICE-Truck BN'!AO30</f>
        <v>-5.8278757232507115</v>
      </c>
    </row>
    <row r="29" spans="2:20" x14ac:dyDescent="0.25">
      <c r="B29" s="77">
        <f>'E-Truck BN'!AL31</f>
        <v>40</v>
      </c>
      <c r="C29" s="78">
        <f>'E-Truck BN'!AM31</f>
        <v>32.468299549195088</v>
      </c>
      <c r="D29" s="78">
        <f>'E-Truck BN'!AN31</f>
        <v>2.4904860452353486</v>
      </c>
      <c r="E29" s="78">
        <f>'E-Truck BN'!AO31</f>
        <v>4.4852900862573648</v>
      </c>
      <c r="F29" s="78">
        <f>'E-Truck BN'!AP31</f>
        <v>16.88141067069526</v>
      </c>
      <c r="G29" s="78">
        <f>'E-Truck BN'!AQ31</f>
        <v>6.744870892847131</v>
      </c>
      <c r="H29" s="78">
        <f>'E-Truck BN'!AR31</f>
        <v>-2.4904860452353952</v>
      </c>
      <c r="O29" s="77">
        <f>'ICE-Truck BN'!AJ31</f>
        <v>40</v>
      </c>
      <c r="P29" s="79">
        <f>'ICE-Truck BN'!AK31</f>
        <v>11.15255210448599</v>
      </c>
      <c r="Q29" s="79">
        <f>'ICE-Truck BN'!AL31</f>
        <v>7.7705009643342633</v>
      </c>
      <c r="R29" s="79">
        <f>'ICE-Truck BN'!AM31</f>
        <v>20.153500024192919</v>
      </c>
      <c r="S29" s="79">
        <f>'ICE-Truck BN'!AN31</f>
        <v>27.924000988527197</v>
      </c>
      <c r="T29" s="79">
        <f>'ICE-Truck BN'!AO31</f>
        <v>-7.7705009643342775</v>
      </c>
    </row>
    <row r="30" spans="2:20" x14ac:dyDescent="0.25">
      <c r="B30" s="77">
        <f>'E-Truck BN'!AL32</f>
        <v>50</v>
      </c>
      <c r="C30" s="78">
        <f>'E-Truck BN'!AM32</f>
        <v>40.585374436493922</v>
      </c>
      <c r="D30" s="78">
        <f>'E-Truck BN'!AN32</f>
        <v>3.1131075565441817</v>
      </c>
      <c r="E30" s="78">
        <f>'E-Truck BN'!AO32</f>
        <v>5.6066126078217327</v>
      </c>
      <c r="F30" s="78">
        <f>'E-Truck BN'!AP32</f>
        <v>19.190249905215889</v>
      </c>
      <c r="G30" s="78">
        <f>'E-Truck BN'!AQ32</f>
        <v>8.4310886160589256</v>
      </c>
      <c r="H30" s="78">
        <f>'E-Truck BN'!AR32</f>
        <v>-3.1131075565442123</v>
      </c>
      <c r="O30" s="77">
        <f>'ICE-Truck BN'!AJ32</f>
        <v>50</v>
      </c>
      <c r="P30" s="79">
        <f>'ICE-Truck BN'!AK32</f>
        <v>13.9406901306075</v>
      </c>
      <c r="Q30" s="79">
        <f>'ICE-Truck BN'!AL32</f>
        <v>9.7131262054178293</v>
      </c>
      <c r="R30" s="79">
        <f>'ICE-Truck BN'!AM32</f>
        <v>25.191875030241157</v>
      </c>
      <c r="S30" s="79">
        <f>'ICE-Truck BN'!AN32</f>
        <v>34.905001235658986</v>
      </c>
      <c r="T30" s="79">
        <f>'ICE-Truck BN'!AO32</f>
        <v>-9.7131262054178436</v>
      </c>
    </row>
    <row r="32" spans="2:20" x14ac:dyDescent="0.25">
      <c r="B32" s="73" t="s">
        <v>168</v>
      </c>
      <c r="O32" s="73" t="s">
        <v>169</v>
      </c>
    </row>
    <row r="33" spans="2:20" x14ac:dyDescent="0.25">
      <c r="B33" s="89" t="s">
        <v>160</v>
      </c>
      <c r="C33" s="90" t="s">
        <v>161</v>
      </c>
      <c r="D33" s="90"/>
      <c r="E33" s="90"/>
      <c r="F33" s="90"/>
      <c r="G33" s="90"/>
      <c r="H33" s="85"/>
      <c r="O33" s="89" t="s">
        <v>160</v>
      </c>
      <c r="P33" s="91" t="s">
        <v>161</v>
      </c>
      <c r="Q33" s="91"/>
      <c r="R33" s="91"/>
      <c r="S33" s="91"/>
      <c r="T33" s="75"/>
    </row>
    <row r="34" spans="2:20" x14ac:dyDescent="0.25">
      <c r="B34" s="89"/>
      <c r="C34" s="75" t="s">
        <v>162</v>
      </c>
      <c r="D34" s="75" t="s">
        <v>163</v>
      </c>
      <c r="E34" s="75" t="s">
        <v>30</v>
      </c>
      <c r="F34" s="75" t="s">
        <v>164</v>
      </c>
      <c r="G34" s="75" t="s">
        <v>165</v>
      </c>
      <c r="H34" s="75" t="str">
        <f>'E-Cargo ID'!AR21</f>
        <v>Energy Efficiency</v>
      </c>
      <c r="O34" s="89"/>
      <c r="P34" s="74" t="s">
        <v>162</v>
      </c>
      <c r="Q34" s="74" t="s">
        <v>110</v>
      </c>
      <c r="R34" s="74" t="s">
        <v>165</v>
      </c>
      <c r="S34" s="74" t="s">
        <v>164</v>
      </c>
      <c r="T34" s="74" t="str">
        <f>'ICE-Cargo ID'!AO21</f>
        <v>Energy Efficiency</v>
      </c>
    </row>
    <row r="35" spans="2:20" x14ac:dyDescent="0.25">
      <c r="B35" s="80">
        <f>'E-Cargo ID'!AL22</f>
        <v>-50</v>
      </c>
      <c r="C35" s="78">
        <f>'E-Cargo ID'!AM22</f>
        <v>-32.726039751773115</v>
      </c>
      <c r="D35" s="78">
        <f>'E-Cargo ID'!AN22</f>
        <v>-5.9377080242779812</v>
      </c>
      <c r="E35" s="78">
        <f>'E-Cargo ID'!AO22</f>
        <v>-7.4191609027127861</v>
      </c>
      <c r="F35" s="78">
        <f>'E-Cargo ID'!AP22</f>
        <v>-24.952204623364576</v>
      </c>
      <c r="G35" s="78">
        <f>'E-Cargo ID'!AQ22</f>
        <v>-8.9293885242646418</v>
      </c>
      <c r="H35" s="78">
        <f>'E-Cargo ID'!AR22</f>
        <v>5.9377080242780211</v>
      </c>
      <c r="O35" s="77">
        <f>'ICE-Cargo ID'!AJ22</f>
        <v>-50</v>
      </c>
      <c r="P35" s="79">
        <f>'ICE-Cargo ID'!AK22</f>
        <v>-15.66310508843344</v>
      </c>
      <c r="Q35" s="79">
        <f>'ICE-Cargo ID'!AL22</f>
        <v>-17.479745432185624</v>
      </c>
      <c r="R35" s="79">
        <f>'ICE-Cargo ID'!AM22</f>
        <v>-18.492322037928201</v>
      </c>
      <c r="S35" s="79">
        <f>'ICE-Cargo ID'!AN22</f>
        <v>-35.972067470113842</v>
      </c>
      <c r="T35" s="79">
        <f>'ICE-Cargo ID'!AO22</f>
        <v>17.479745432185588</v>
      </c>
    </row>
    <row r="36" spans="2:20" x14ac:dyDescent="0.25">
      <c r="B36" s="80">
        <f>'E-Cargo ID'!AL23</f>
        <v>-40</v>
      </c>
      <c r="C36" s="78">
        <f>'E-Cargo ID'!AM23</f>
        <v>-26.180831801418471</v>
      </c>
      <c r="D36" s="78">
        <f>'E-Cargo ID'!AN23</f>
        <v>-4.750166419422432</v>
      </c>
      <c r="E36" s="78">
        <f>'E-Cargo ID'!AO23</f>
        <v>-5.9353287221702171</v>
      </c>
      <c r="F36" s="78">
        <f>'E-Cargo ID'!AP23</f>
        <v>-21.141852265113862</v>
      </c>
      <c r="G36" s="78">
        <f>'E-Cargo ID'!AQ23</f>
        <v>-7.1435108194117092</v>
      </c>
      <c r="H36" s="78">
        <f>'E-Cargo ID'!AR23</f>
        <v>4.750166419422432</v>
      </c>
      <c r="O36" s="77">
        <f>'ICE-Cargo ID'!AJ23</f>
        <v>-40</v>
      </c>
      <c r="P36" s="79">
        <f>'ICE-Cargo ID'!AK23</f>
        <v>-12.530484070746741</v>
      </c>
      <c r="Q36" s="79">
        <f>'ICE-Cargo ID'!AL23</f>
        <v>-13.983796345748525</v>
      </c>
      <c r="R36" s="79">
        <f>'ICE-Cargo ID'!AM23</f>
        <v>-14.793857630342586</v>
      </c>
      <c r="S36" s="79">
        <f>'ICE-Cargo ID'!AN23</f>
        <v>-28.777653976091059</v>
      </c>
      <c r="T36" s="79">
        <f>'ICE-Cargo ID'!AO23</f>
        <v>13.983796345748512</v>
      </c>
    </row>
    <row r="37" spans="2:20" x14ac:dyDescent="0.25">
      <c r="B37" s="80">
        <f>'E-Cargo ID'!AL24</f>
        <v>-30</v>
      </c>
      <c r="C37" s="78">
        <f>'E-Cargo ID'!AM24</f>
        <v>-19.635623851063865</v>
      </c>
      <c r="D37" s="78">
        <f>'E-Cargo ID'!AN24</f>
        <v>-3.5626248145668047</v>
      </c>
      <c r="E37" s="78">
        <f>'E-Cargo ID'!AO24</f>
        <v>-4.4514965416276873</v>
      </c>
      <c r="F37" s="78">
        <f>'E-Cargo ID'!AP24</f>
        <v>-17.715134947447329</v>
      </c>
      <c r="G37" s="78">
        <f>'E-Cargo ID'!AQ24</f>
        <v>-5.357633114558757</v>
      </c>
      <c r="H37" s="78">
        <f>'E-Cargo ID'!AR24</f>
        <v>3.5626248145668638</v>
      </c>
      <c r="O37" s="77">
        <f>'ICE-Cargo ID'!AJ24</f>
        <v>-30</v>
      </c>
      <c r="P37" s="79">
        <f>'ICE-Cargo ID'!AK24</f>
        <v>-9.3978630530600604</v>
      </c>
      <c r="Q37" s="79">
        <f>'ICE-Cargo ID'!AL24</f>
        <v>-10.487847259311367</v>
      </c>
      <c r="R37" s="79">
        <f>'ICE-Cargo ID'!AM24</f>
        <v>-11.09539322275695</v>
      </c>
      <c r="S37" s="79">
        <f>'ICE-Cargo ID'!AN24</f>
        <v>-21.583240482068334</v>
      </c>
      <c r="T37" s="79">
        <f>'ICE-Cargo ID'!AO24</f>
        <v>10.487847259311367</v>
      </c>
    </row>
    <row r="38" spans="2:20" x14ac:dyDescent="0.25">
      <c r="B38" s="80">
        <f>'E-Cargo ID'!AL25</f>
        <v>-20</v>
      </c>
      <c r="C38" s="78">
        <f>'E-Cargo ID'!AM25</f>
        <v>-13.090415900709246</v>
      </c>
      <c r="D38" s="78">
        <f>'E-Cargo ID'!AN25</f>
        <v>-2.375083209711216</v>
      </c>
      <c r="E38" s="78">
        <f>'E-Cargo ID'!AO25</f>
        <v>-2.9676643610850988</v>
      </c>
      <c r="F38" s="78">
        <f>'E-Cargo ID'!AP25</f>
        <v>-7.2446721025370229</v>
      </c>
      <c r="G38" s="78">
        <f>'E-Cargo ID'!AQ25</f>
        <v>-3.5717554097058448</v>
      </c>
      <c r="H38" s="78">
        <f>'E-Cargo ID'!AR25</f>
        <v>2.375083209711236</v>
      </c>
      <c r="O38" s="77">
        <f>'ICE-Cargo ID'!AJ25</f>
        <v>-20</v>
      </c>
      <c r="P38" s="79">
        <f>'ICE-Cargo ID'!AK25</f>
        <v>-6.2652420353733627</v>
      </c>
      <c r="Q38" s="79">
        <f>'ICE-Cargo ID'!AL25</f>
        <v>-6.9918981728742562</v>
      </c>
      <c r="R38" s="79">
        <f>'ICE-Cargo ID'!AM25</f>
        <v>-7.3969288151712842</v>
      </c>
      <c r="S38" s="79">
        <f>'ICE-Cargo ID'!AN25</f>
        <v>-14.388826988045523</v>
      </c>
      <c r="T38" s="79">
        <f>'ICE-Cargo ID'!AO25</f>
        <v>6.9918981728742562</v>
      </c>
    </row>
    <row r="39" spans="2:20" x14ac:dyDescent="0.25">
      <c r="B39" s="80">
        <f>'E-Cargo ID'!AL26</f>
        <v>-10</v>
      </c>
      <c r="C39" s="78">
        <f>'E-Cargo ID'!AM26</f>
        <v>-6.5452079503546017</v>
      </c>
      <c r="D39" s="78">
        <f>'E-Cargo ID'!AN26</f>
        <v>-1.187541604855608</v>
      </c>
      <c r="E39" s="78">
        <f>'E-Cargo ID'!AO26</f>
        <v>-1.4838321805425692</v>
      </c>
      <c r="F39" s="78">
        <f>'E-Cargo ID'!AP26</f>
        <v>-4.271252792828462</v>
      </c>
      <c r="G39" s="78">
        <f>'E-Cargo ID'!AQ26</f>
        <v>-1.7858777048529124</v>
      </c>
      <c r="H39" s="78">
        <f>'E-Cargo ID'!AR26</f>
        <v>1.1875416048556278</v>
      </c>
      <c r="O39" s="77">
        <f>'ICE-Cargo ID'!AJ26</f>
        <v>-10</v>
      </c>
      <c r="P39" s="79">
        <f>'ICE-Cargo ID'!AK26</f>
        <v>-3.1326210176866653</v>
      </c>
      <c r="Q39" s="79">
        <f>'ICE-Cargo ID'!AL26</f>
        <v>-3.4959490864371436</v>
      </c>
      <c r="R39" s="79">
        <f>'ICE-Cargo ID'!AM26</f>
        <v>-3.6984644075856665</v>
      </c>
      <c r="S39" s="79">
        <f>'ICE-Cargo ID'!AN26</f>
        <v>-7.1944134940227613</v>
      </c>
      <c r="T39" s="79">
        <f>'ICE-Cargo ID'!AO26</f>
        <v>3.4959490864370952</v>
      </c>
    </row>
    <row r="40" spans="2:20" x14ac:dyDescent="0.25">
      <c r="B40" s="80">
        <f>'E-Cargo ID'!AL27</f>
        <v>0</v>
      </c>
      <c r="C40" s="78">
        <f>'E-Cargo ID'!AM27</f>
        <v>0</v>
      </c>
      <c r="D40" s="78">
        <f>'E-Cargo ID'!AN27</f>
        <v>0</v>
      </c>
      <c r="E40" s="78">
        <f>'E-Cargo ID'!AO27</f>
        <v>0</v>
      </c>
      <c r="F40" s="78">
        <f>'E-Cargo ID'!AP27</f>
        <v>0</v>
      </c>
      <c r="G40" s="78">
        <f>'E-Cargo ID'!AQ27</f>
        <v>0</v>
      </c>
      <c r="H40" s="78">
        <f>'E-Cargo ID'!AR27</f>
        <v>0</v>
      </c>
      <c r="O40" s="77">
        <f>'ICE-Cargo ID'!AJ27</f>
        <v>0</v>
      </c>
      <c r="P40" s="79">
        <f>'ICE-Cargo ID'!AK27</f>
        <v>0</v>
      </c>
      <c r="Q40" s="79">
        <f>'ICE-Cargo ID'!AL27</f>
        <v>0</v>
      </c>
      <c r="R40" s="79">
        <f>'ICE-Cargo ID'!AM27</f>
        <v>0</v>
      </c>
      <c r="S40" s="79">
        <f>'ICE-Cargo ID'!AN27</f>
        <v>0</v>
      </c>
      <c r="T40" s="79">
        <f>'ICE-Cargo ID'!AO27</f>
        <v>0</v>
      </c>
    </row>
    <row r="41" spans="2:20" x14ac:dyDescent="0.25">
      <c r="B41" s="80">
        <f>'E-Cargo ID'!AL28</f>
        <v>10</v>
      </c>
      <c r="C41" s="78">
        <f>'E-Cargo ID'!AM28</f>
        <v>6.5452079503546425</v>
      </c>
      <c r="D41" s="78">
        <f>'E-Cargo ID'!AN28</f>
        <v>1.1875416048556278</v>
      </c>
      <c r="E41" s="78">
        <f>'E-Cargo ID'!AO28</f>
        <v>1.4838321805425494</v>
      </c>
      <c r="F41" s="78">
        <f>'E-Cargo ID'!AP28</f>
        <v>2.9734193097085604</v>
      </c>
      <c r="G41" s="78">
        <f>'E-Cargo ID'!AQ28</f>
        <v>1.7858777048529519</v>
      </c>
      <c r="H41" s="78">
        <f>'E-Cargo ID'!AR28</f>
        <v>-1.187541604855608</v>
      </c>
      <c r="O41" s="77">
        <f>'ICE-Cargo ID'!AJ28</f>
        <v>10</v>
      </c>
      <c r="P41" s="79">
        <f>'ICE-Cargo ID'!AK28</f>
        <v>3.1326210176866973</v>
      </c>
      <c r="Q41" s="79">
        <f>'ICE-Cargo ID'!AL28</f>
        <v>3.4959490864371112</v>
      </c>
      <c r="R41" s="79">
        <f>'ICE-Cargo ID'!AM28</f>
        <v>3.6984644075856181</v>
      </c>
      <c r="S41" s="79">
        <f>'ICE-Cargo ID'!AN28</f>
        <v>7.1944134940227613</v>
      </c>
      <c r="T41" s="79">
        <f>'ICE-Cargo ID'!AO28</f>
        <v>-3.4959490864371436</v>
      </c>
    </row>
    <row r="42" spans="2:20" x14ac:dyDescent="0.25">
      <c r="B42" s="80">
        <f>'E-Cargo ID'!AL29</f>
        <v>20</v>
      </c>
      <c r="C42" s="78">
        <f>'E-Cargo ID'!AM29</f>
        <v>13.090415900709246</v>
      </c>
      <c r="D42" s="78">
        <f>'E-Cargo ID'!AN29</f>
        <v>2.375083209711236</v>
      </c>
      <c r="E42" s="78">
        <f>'E-Cargo ID'!AO29</f>
        <v>2.9676643610851183</v>
      </c>
      <c r="F42" s="78">
        <f>'E-Cargo ID'!AP29</f>
        <v>14.766933176108887</v>
      </c>
      <c r="G42" s="78">
        <f>'E-Cargo ID'!AQ29</f>
        <v>3.5717554097058644</v>
      </c>
      <c r="H42" s="78">
        <f>'E-Cargo ID'!AR29</f>
        <v>-2.375083209711216</v>
      </c>
      <c r="O42" s="77">
        <f>'ICE-Cargo ID'!AJ29</f>
        <v>20</v>
      </c>
      <c r="P42" s="79">
        <f>'ICE-Cargo ID'!AK29</f>
        <v>6.2652420353733795</v>
      </c>
      <c r="Q42" s="79">
        <f>'ICE-Cargo ID'!AL29</f>
        <v>6.9918981728742224</v>
      </c>
      <c r="R42" s="79">
        <f>'ICE-Cargo ID'!AM29</f>
        <v>7.3969288151712682</v>
      </c>
      <c r="S42" s="79">
        <f>'ICE-Cargo ID'!AN29</f>
        <v>14.388826988045539</v>
      </c>
      <c r="T42" s="79">
        <f>'ICE-Cargo ID'!AO29</f>
        <v>-6.9918981728742562</v>
      </c>
    </row>
    <row r="43" spans="2:20" x14ac:dyDescent="0.25">
      <c r="B43" s="80">
        <f>'E-Cargo ID'!AL30</f>
        <v>30</v>
      </c>
      <c r="C43" s="78">
        <f>'E-Cargo ID'!AM30</f>
        <v>19.635623851063887</v>
      </c>
      <c r="D43" s="78">
        <f>'E-Cargo ID'!AN30</f>
        <v>3.5626248145668638</v>
      </c>
      <c r="E43" s="78">
        <f>'E-Cargo ID'!AO30</f>
        <v>4.4514965416276473</v>
      </c>
      <c r="F43" s="78">
        <f>'E-Cargo ID'!AP30</f>
        <v>17.740352485817429</v>
      </c>
      <c r="G43" s="78">
        <f>'E-Cargo ID'!AQ30</f>
        <v>5.357633114558797</v>
      </c>
      <c r="H43" s="78">
        <f>'E-Cargo ID'!AR30</f>
        <v>-3.5626248145668047</v>
      </c>
      <c r="O43" s="77">
        <f>'ICE-Cargo ID'!AJ30</f>
        <v>30</v>
      </c>
      <c r="P43" s="79">
        <f>'ICE-Cargo ID'!AK30</f>
        <v>9.3978630530600604</v>
      </c>
      <c r="Q43" s="79">
        <f>'ICE-Cargo ID'!AL30</f>
        <v>10.487847259311367</v>
      </c>
      <c r="R43" s="79">
        <f>'ICE-Cargo ID'!AM30</f>
        <v>11.095393222756918</v>
      </c>
      <c r="S43" s="79">
        <f>'ICE-Cargo ID'!AN30</f>
        <v>21.583240482068302</v>
      </c>
      <c r="T43" s="79">
        <f>'ICE-Cargo ID'!AO30</f>
        <v>-10.487847259311367</v>
      </c>
    </row>
    <row r="44" spans="2:20" x14ac:dyDescent="0.25">
      <c r="B44" s="80">
        <f>'E-Cargo ID'!AL31</f>
        <v>40</v>
      </c>
      <c r="C44" s="78">
        <f>'E-Cargo ID'!AM31</f>
        <v>26.180831801418492</v>
      </c>
      <c r="D44" s="78">
        <f>'E-Cargo ID'!AN31</f>
        <v>4.750166419422432</v>
      </c>
      <c r="E44" s="78">
        <f>'E-Cargo ID'!AO31</f>
        <v>5.9353287221702367</v>
      </c>
      <c r="F44" s="78">
        <f>'E-Cargo ID'!AP31</f>
        <v>20.713771795526011</v>
      </c>
      <c r="G44" s="78">
        <f>'E-Cargo ID'!AQ31</f>
        <v>7.1435108194117287</v>
      </c>
      <c r="H44" s="78">
        <f>'E-Cargo ID'!AR31</f>
        <v>-4.750166419422432</v>
      </c>
      <c r="O44" s="77">
        <f>'ICE-Cargo ID'!AJ31</f>
        <v>40</v>
      </c>
      <c r="P44" s="79">
        <f>'ICE-Cargo ID'!AK31</f>
        <v>12.530484070746759</v>
      </c>
      <c r="Q44" s="79">
        <f>'ICE-Cargo ID'!AL31</f>
        <v>13.983796345748495</v>
      </c>
      <c r="R44" s="79">
        <f>'ICE-Cargo ID'!AM31</f>
        <v>14.793857630342536</v>
      </c>
      <c r="S44" s="79">
        <f>'ICE-Cargo ID'!AN31</f>
        <v>28.777653976091045</v>
      </c>
      <c r="T44" s="79">
        <f>'ICE-Cargo ID'!AO31</f>
        <v>-13.983796345748512</v>
      </c>
    </row>
    <row r="45" spans="2:20" x14ac:dyDescent="0.25">
      <c r="B45" s="80">
        <f>'E-Cargo ID'!AL32</f>
        <v>50</v>
      </c>
      <c r="C45" s="78">
        <f>'E-Cargo ID'!AM32</f>
        <v>32.726039751773087</v>
      </c>
      <c r="D45" s="78">
        <f>'E-Cargo ID'!AN32</f>
        <v>5.9377080242780211</v>
      </c>
      <c r="E45" s="78">
        <f>'E-Cargo ID'!AO32</f>
        <v>7.4191609027127665</v>
      </c>
      <c r="F45" s="78">
        <f>'E-Cargo ID'!AP32</f>
        <v>23.687191105234508</v>
      </c>
      <c r="G45" s="78">
        <f>'E-Cargo ID'!AQ32</f>
        <v>8.9293885242646418</v>
      </c>
      <c r="H45" s="78">
        <f>'E-Cargo ID'!AR32</f>
        <v>-5.9377080242779812</v>
      </c>
      <c r="O45" s="77">
        <f>'ICE-Cargo ID'!AJ32</f>
        <v>50</v>
      </c>
      <c r="P45" s="79">
        <f>'ICE-Cargo ID'!AK32</f>
        <v>15.66310508843344</v>
      </c>
      <c r="Q45" s="79">
        <f>'ICE-Cargo ID'!AL32</f>
        <v>17.479745432185588</v>
      </c>
      <c r="R45" s="79">
        <f>'ICE-Cargo ID'!AM32</f>
        <v>18.492322037928155</v>
      </c>
      <c r="S45" s="79">
        <f>'ICE-Cargo ID'!AN32</f>
        <v>35.972067470113828</v>
      </c>
      <c r="T45" s="79">
        <f>'ICE-Cargo ID'!AO32</f>
        <v>-17.479745432185624</v>
      </c>
    </row>
  </sheetData>
  <mergeCells count="12">
    <mergeCell ref="B33:B34"/>
    <mergeCell ref="C33:G33"/>
    <mergeCell ref="O33:O34"/>
    <mergeCell ref="P33:S33"/>
    <mergeCell ref="B3:B4"/>
    <mergeCell ref="C3:G3"/>
    <mergeCell ref="O3:O4"/>
    <mergeCell ref="P3:S3"/>
    <mergeCell ref="B18:B19"/>
    <mergeCell ref="C18:G18"/>
    <mergeCell ref="O18:O19"/>
    <mergeCell ref="P18:S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E-Bus BN</vt:lpstr>
      <vt:lpstr>ICE-Bus BN</vt:lpstr>
      <vt:lpstr>E-Truck BN</vt:lpstr>
      <vt:lpstr>ICE-Truck BN</vt:lpstr>
      <vt:lpstr>E-Cargo ID</vt:lpstr>
      <vt:lpstr>ICE-Cargo ID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Indra Al Irsyad</dc:creator>
  <cp:lastModifiedBy>Valentinus Tri Frebrina Harisetyawan</cp:lastModifiedBy>
  <dcterms:created xsi:type="dcterms:W3CDTF">2015-06-05T18:17:20Z</dcterms:created>
  <dcterms:modified xsi:type="dcterms:W3CDTF">2024-09-30T04:52:29Z</dcterms:modified>
</cp:coreProperties>
</file>