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1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1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908e728f1b34df/Paper ERIA/Xls baru 29092024/"/>
    </mc:Choice>
  </mc:AlternateContent>
  <xr:revisionPtr revIDLastSave="45" documentId="13_ncr:1_{F5C686F3-7500-4ACB-AA42-76EE8B449862}" xr6:coauthVersionLast="47" xr6:coauthVersionMax="47" xr10:uidLastSave="{F55BA668-E2EF-4697-ACD3-C9BB79896C3B}"/>
  <bookViews>
    <workbookView xWindow="-105" yWindow="0" windowWidth="14610" windowHeight="16305" firstSheet="4" activeTab="6" xr2:uid="{00000000-000D-0000-FFFF-FFFF00000000}"/>
  </bookViews>
  <sheets>
    <sheet name="E-Bus KH" sheetId="1" r:id="rId1"/>
    <sheet name="ICE-Bus KH" sheetId="2" r:id="rId2"/>
    <sheet name="E-Truck KH" sheetId="3" r:id="rId3"/>
    <sheet name="ICE-Truck KH" sheetId="4" r:id="rId4"/>
    <sheet name="E-Cargo KH" sheetId="5" r:id="rId5"/>
    <sheet name="ICE-Cargo KH" sheetId="6" r:id="rId6"/>
    <sheet name="Sensitivity" sheetId="8" r:id="rId7"/>
    <sheet name="Description" sheetId="7" r:id="rId8"/>
  </sheets>
  <externalReferences>
    <externalReference r:id="rId9"/>
  </externalReferenc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72j6BX+mV3/RGE6ZWuhMNcKox86qHBE5QoDKyfYrXUI="/>
    </ext>
  </extLst>
</workbook>
</file>

<file path=xl/calcChain.xml><?xml version="1.0" encoding="utf-8"?>
<calcChain xmlns="http://schemas.openxmlformats.org/spreadsheetml/2006/main">
  <c r="AO21" i="6" l="1"/>
  <c r="T34" i="8" s="1"/>
  <c r="AO21" i="4"/>
  <c r="T19" i="8" s="1"/>
  <c r="AO21" i="2"/>
  <c r="T4" i="8" s="1"/>
  <c r="AC64" i="6"/>
  <c r="AO32" i="6" s="1"/>
  <c r="T45" i="8" s="1"/>
  <c r="AC63" i="6"/>
  <c r="AO31" i="6" s="1"/>
  <c r="T44" i="8" s="1"/>
  <c r="AC62" i="6"/>
  <c r="AO30" i="6" s="1"/>
  <c r="T43" i="8" s="1"/>
  <c r="AC61" i="6"/>
  <c r="AO29" i="6" s="1"/>
  <c r="T42" i="8" s="1"/>
  <c r="AC60" i="6"/>
  <c r="AO28" i="6" s="1"/>
  <c r="T41" i="8" s="1"/>
  <c r="Z60" i="6"/>
  <c r="AC59" i="6"/>
  <c r="AO27" i="6" s="1"/>
  <c r="T40" i="8" s="1"/>
  <c r="AA59" i="6"/>
  <c r="AC58" i="6"/>
  <c r="AO26" i="6" s="1"/>
  <c r="T39" i="8" s="1"/>
  <c r="Z58" i="6"/>
  <c r="AA58" i="6" s="1"/>
  <c r="AC57" i="6"/>
  <c r="AO25" i="6" s="1"/>
  <c r="T38" i="8" s="1"/>
  <c r="Z57" i="6"/>
  <c r="AC56" i="6"/>
  <c r="AO24" i="6" s="1"/>
  <c r="T37" i="8" s="1"/>
  <c r="AC55" i="6"/>
  <c r="AO23" i="6" s="1"/>
  <c r="T36" i="8" s="1"/>
  <c r="AC54" i="6"/>
  <c r="AO22" i="6" s="1"/>
  <c r="T35" i="8" s="1"/>
  <c r="AC64" i="4"/>
  <c r="AO32" i="4" s="1"/>
  <c r="T30" i="8" s="1"/>
  <c r="AC63" i="4"/>
  <c r="AO31" i="4" s="1"/>
  <c r="T29" i="8" s="1"/>
  <c r="AC62" i="4"/>
  <c r="AO30" i="4" s="1"/>
  <c r="T28" i="8" s="1"/>
  <c r="AC61" i="4"/>
  <c r="AO29" i="4" s="1"/>
  <c r="T27" i="8" s="1"/>
  <c r="AC60" i="4"/>
  <c r="AO28" i="4" s="1"/>
  <c r="T26" i="8" s="1"/>
  <c r="Z60" i="4"/>
  <c r="AC59" i="4"/>
  <c r="AO27" i="4" s="1"/>
  <c r="T25" i="8" s="1"/>
  <c r="AA59" i="4"/>
  <c r="AC58" i="4"/>
  <c r="AO26" i="4" s="1"/>
  <c r="T24" i="8" s="1"/>
  <c r="Z58" i="4"/>
  <c r="AA58" i="4" s="1"/>
  <c r="AC57" i="4"/>
  <c r="AO25" i="4" s="1"/>
  <c r="T23" i="8" s="1"/>
  <c r="Z57" i="4"/>
  <c r="AC56" i="4"/>
  <c r="AO24" i="4" s="1"/>
  <c r="T22" i="8" s="1"/>
  <c r="AC55" i="4"/>
  <c r="AO23" i="4" s="1"/>
  <c r="T21" i="8" s="1"/>
  <c r="AC54" i="4"/>
  <c r="AO22" i="4" s="1"/>
  <c r="T20" i="8" s="1"/>
  <c r="AC64" i="2"/>
  <c r="AO32" i="2" s="1"/>
  <c r="T15" i="8" s="1"/>
  <c r="AC63" i="2"/>
  <c r="AO31" i="2" s="1"/>
  <c r="T14" i="8" s="1"/>
  <c r="AC62" i="2"/>
  <c r="AO30" i="2" s="1"/>
  <c r="T13" i="8" s="1"/>
  <c r="AC61" i="2"/>
  <c r="AO29" i="2" s="1"/>
  <c r="T12" i="8" s="1"/>
  <c r="AC60" i="2"/>
  <c r="AO28" i="2" s="1"/>
  <c r="T11" i="8" s="1"/>
  <c r="Z60" i="2"/>
  <c r="AC59" i="2"/>
  <c r="AO27" i="2" s="1"/>
  <c r="T10" i="8" s="1"/>
  <c r="AA59" i="2"/>
  <c r="AC58" i="2"/>
  <c r="AO26" i="2" s="1"/>
  <c r="T9" i="8" s="1"/>
  <c r="Z58" i="2"/>
  <c r="AA58" i="2" s="1"/>
  <c r="AC57" i="2"/>
  <c r="AO25" i="2" s="1"/>
  <c r="T8" i="8" s="1"/>
  <c r="AC56" i="2"/>
  <c r="AO24" i="2" s="1"/>
  <c r="T7" i="8" s="1"/>
  <c r="AC55" i="2"/>
  <c r="AO23" i="2" s="1"/>
  <c r="T6" i="8" s="1"/>
  <c r="AC54" i="2"/>
  <c r="AO22" i="2" s="1"/>
  <c r="T5" i="8" s="1"/>
  <c r="AR21" i="5"/>
  <c r="H34" i="8" s="1"/>
  <c r="AR21" i="3"/>
  <c r="H19" i="8" s="1"/>
  <c r="AR21" i="1"/>
  <c r="H4" i="8" s="1"/>
  <c r="AA12" i="6"/>
  <c r="AA12" i="4"/>
  <c r="AA12" i="2"/>
  <c r="AC14" i="1"/>
  <c r="AC14" i="3"/>
  <c r="AC14" i="5"/>
  <c r="AE79" i="5"/>
  <c r="AR32" i="5" s="1"/>
  <c r="H45" i="8" s="1"/>
  <c r="AE78" i="5"/>
  <c r="AR31" i="5" s="1"/>
  <c r="H44" i="8" s="1"/>
  <c r="AE77" i="5"/>
  <c r="AR30" i="5" s="1"/>
  <c r="H43" i="8" s="1"/>
  <c r="AE76" i="5"/>
  <c r="AR29" i="5" s="1"/>
  <c r="H42" i="8" s="1"/>
  <c r="AE75" i="5"/>
  <c r="AR28" i="5" s="1"/>
  <c r="H41" i="8" s="1"/>
  <c r="AB75" i="5"/>
  <c r="AE74" i="5"/>
  <c r="AR27" i="5" s="1"/>
  <c r="H40" i="8" s="1"/>
  <c r="AC74" i="5"/>
  <c r="AE73" i="5"/>
  <c r="AR26" i="5" s="1"/>
  <c r="H39" i="8" s="1"/>
  <c r="AB73" i="5"/>
  <c r="AC73" i="5" s="1"/>
  <c r="AE72" i="5"/>
  <c r="AR25" i="5" s="1"/>
  <c r="H38" i="8" s="1"/>
  <c r="AE71" i="5"/>
  <c r="AR24" i="5" s="1"/>
  <c r="H37" i="8" s="1"/>
  <c r="AE70" i="5"/>
  <c r="AR23" i="5" s="1"/>
  <c r="H36" i="8" s="1"/>
  <c r="AE69" i="5"/>
  <c r="AR22" i="5" s="1"/>
  <c r="H35" i="8" s="1"/>
  <c r="AE79" i="3"/>
  <c r="AR32" i="3" s="1"/>
  <c r="H30" i="8" s="1"/>
  <c r="AE78" i="3"/>
  <c r="AR31" i="3" s="1"/>
  <c r="H29" i="8" s="1"/>
  <c r="AE77" i="3"/>
  <c r="AR30" i="3" s="1"/>
  <c r="H28" i="8" s="1"/>
  <c r="AE76" i="3"/>
  <c r="AR29" i="3" s="1"/>
  <c r="H27" i="8" s="1"/>
  <c r="AE75" i="3"/>
  <c r="AR28" i="3" s="1"/>
  <c r="H26" i="8" s="1"/>
  <c r="AB75" i="3"/>
  <c r="AE74" i="3"/>
  <c r="AR27" i="3" s="1"/>
  <c r="H25" i="8" s="1"/>
  <c r="AC74" i="3"/>
  <c r="AE73" i="3"/>
  <c r="AR26" i="3" s="1"/>
  <c r="H24" i="8" s="1"/>
  <c r="AB73" i="3"/>
  <c r="AC73" i="3" s="1"/>
  <c r="AE72" i="3"/>
  <c r="AR25" i="3" s="1"/>
  <c r="H23" i="8" s="1"/>
  <c r="AE71" i="3"/>
  <c r="AR24" i="3" s="1"/>
  <c r="H22" i="8" s="1"/>
  <c r="AE70" i="3"/>
  <c r="AR23" i="3" s="1"/>
  <c r="H21" i="8" s="1"/>
  <c r="AE69" i="3"/>
  <c r="AR22" i="3" s="1"/>
  <c r="H20" i="8" s="1"/>
  <c r="AE69" i="1"/>
  <c r="AR22" i="1" s="1"/>
  <c r="H5" i="8" s="1"/>
  <c r="AE79" i="1"/>
  <c r="AR32" i="1" s="1"/>
  <c r="H15" i="8" s="1"/>
  <c r="AE78" i="1"/>
  <c r="AR31" i="1" s="1"/>
  <c r="H14" i="8" s="1"/>
  <c r="AE77" i="1"/>
  <c r="AR30" i="1" s="1"/>
  <c r="H13" i="8" s="1"/>
  <c r="AE76" i="1"/>
  <c r="AR29" i="1" s="1"/>
  <c r="H12" i="8" s="1"/>
  <c r="AE75" i="1"/>
  <c r="AR28" i="1" s="1"/>
  <c r="H11" i="8" s="1"/>
  <c r="AB75" i="1"/>
  <c r="AE74" i="1"/>
  <c r="AR27" i="1" s="1"/>
  <c r="H10" i="8" s="1"/>
  <c r="AC74" i="1"/>
  <c r="AE73" i="1"/>
  <c r="AR26" i="1" s="1"/>
  <c r="H9" i="8" s="1"/>
  <c r="AB73" i="1"/>
  <c r="AC73" i="1" s="1"/>
  <c r="AE72" i="1"/>
  <c r="AR25" i="1" s="1"/>
  <c r="H8" i="8" s="1"/>
  <c r="AE71" i="1"/>
  <c r="AR24" i="1" s="1"/>
  <c r="H7" i="8" s="1"/>
  <c r="AE70" i="1"/>
  <c r="AR23" i="1" s="1"/>
  <c r="H6" i="8" s="1"/>
  <c r="Z61" i="2" l="1"/>
  <c r="AA61" i="2" s="1"/>
  <c r="AA60" i="2"/>
  <c r="AB76" i="1"/>
  <c r="AC76" i="1" s="1"/>
  <c r="AC75" i="1"/>
  <c r="AB76" i="3"/>
  <c r="AC76" i="3" s="1"/>
  <c r="AC75" i="3"/>
  <c r="AB72" i="5"/>
  <c r="Z57" i="2"/>
  <c r="Z56" i="4"/>
  <c r="AA56" i="4" s="1"/>
  <c r="AA57" i="4"/>
  <c r="AB72" i="1"/>
  <c r="AB72" i="3"/>
  <c r="AB76" i="5"/>
  <c r="AC76" i="5" s="1"/>
  <c r="AC75" i="5"/>
  <c r="Z61" i="6"/>
  <c r="AA61" i="6" s="1"/>
  <c r="AA60" i="6"/>
  <c r="Z56" i="6"/>
  <c r="AA56" i="6" s="1"/>
  <c r="AA57" i="6"/>
  <c r="Z61" i="4"/>
  <c r="AA61" i="4" s="1"/>
  <c r="AA60" i="4"/>
  <c r="Z55" i="6"/>
  <c r="AA55" i="6" s="1"/>
  <c r="Z62" i="4"/>
  <c r="AA62" i="4" s="1"/>
  <c r="Z55" i="4"/>
  <c r="AA55" i="4" s="1"/>
  <c r="Z62" i="2"/>
  <c r="AA62" i="2" s="1"/>
  <c r="AB77" i="1"/>
  <c r="AC77" i="1" s="1"/>
  <c r="AB71" i="5" l="1"/>
  <c r="AC72" i="5"/>
  <c r="AB71" i="3"/>
  <c r="AC72" i="3"/>
  <c r="Z56" i="2"/>
  <c r="AA57" i="2"/>
  <c r="AB77" i="3"/>
  <c r="AC77" i="3" s="1"/>
  <c r="Z62" i="6"/>
  <c r="AA62" i="6" s="1"/>
  <c r="AB77" i="5"/>
  <c r="AC77" i="5" s="1"/>
  <c r="AB71" i="1"/>
  <c r="AC72" i="1"/>
  <c r="Z54" i="6"/>
  <c r="AA54" i="6" s="1"/>
  <c r="Z63" i="4"/>
  <c r="AA63" i="4" s="1"/>
  <c r="Z54" i="4"/>
  <c r="AA54" i="4" s="1"/>
  <c r="Z63" i="2"/>
  <c r="AA63" i="2" s="1"/>
  <c r="AB78" i="1"/>
  <c r="AC78" i="1" s="1"/>
  <c r="Z63" i="6" l="1"/>
  <c r="AA63" i="6" s="1"/>
  <c r="AA56" i="2"/>
  <c r="Z55" i="2"/>
  <c r="AC71" i="3"/>
  <c r="AB70" i="3"/>
  <c r="AB78" i="3"/>
  <c r="AC78" i="3" s="1"/>
  <c r="AB78" i="5"/>
  <c r="AC78" i="5" s="1"/>
  <c r="AC71" i="1"/>
  <c r="AB70" i="1"/>
  <c r="AC71" i="5"/>
  <c r="AB70" i="5"/>
  <c r="Z64" i="6"/>
  <c r="AA64" i="6" s="1"/>
  <c r="Z64" i="4"/>
  <c r="AA64" i="4" s="1"/>
  <c r="Z64" i="2"/>
  <c r="AA64" i="2" s="1"/>
  <c r="AB79" i="5"/>
  <c r="AC79" i="5" s="1"/>
  <c r="AB79" i="3"/>
  <c r="AC79" i="3" s="1"/>
  <c r="AB79" i="1"/>
  <c r="AC79" i="1" s="1"/>
  <c r="AC70" i="3" l="1"/>
  <c r="AB69" i="3"/>
  <c r="AC69" i="3" s="1"/>
  <c r="AA55" i="2"/>
  <c r="Z54" i="2"/>
  <c r="AA54" i="2" s="1"/>
  <c r="AC70" i="5"/>
  <c r="AB69" i="5"/>
  <c r="AC69" i="5" s="1"/>
  <c r="AC70" i="1"/>
  <c r="AB69" i="1"/>
  <c r="AC69" i="1" s="1"/>
  <c r="O35" i="8"/>
  <c r="O36" i="8"/>
  <c r="O37" i="8"/>
  <c r="O38" i="8"/>
  <c r="O39" i="8"/>
  <c r="O40" i="8"/>
  <c r="O41" i="8"/>
  <c r="O42" i="8"/>
  <c r="O43" i="8"/>
  <c r="O44" i="8"/>
  <c r="O45" i="8"/>
  <c r="O20" i="8"/>
  <c r="O21" i="8"/>
  <c r="O22" i="8"/>
  <c r="O23" i="8"/>
  <c r="O24" i="8"/>
  <c r="O25" i="8"/>
  <c r="O26" i="8"/>
  <c r="O27" i="8"/>
  <c r="O28" i="8"/>
  <c r="O29" i="8"/>
  <c r="O30" i="8"/>
  <c r="O5" i="8"/>
  <c r="O6" i="8"/>
  <c r="O7" i="8"/>
  <c r="O8" i="8"/>
  <c r="O9" i="8"/>
  <c r="O10" i="8"/>
  <c r="O11" i="8"/>
  <c r="O12" i="8"/>
  <c r="O13" i="8"/>
  <c r="O14" i="8"/>
  <c r="O15" i="8"/>
  <c r="B35" i="8"/>
  <c r="B36" i="8"/>
  <c r="B37" i="8"/>
  <c r="B38" i="8"/>
  <c r="B39" i="8"/>
  <c r="B40" i="8"/>
  <c r="B41" i="8"/>
  <c r="B42" i="8"/>
  <c r="B43" i="8"/>
  <c r="B44" i="8"/>
  <c r="B45" i="8"/>
  <c r="B20" i="8"/>
  <c r="B21" i="8"/>
  <c r="B22" i="8"/>
  <c r="B23" i="8"/>
  <c r="B24" i="8"/>
  <c r="B25" i="8"/>
  <c r="B26" i="8"/>
  <c r="B27" i="8"/>
  <c r="B28" i="8"/>
  <c r="B29" i="8"/>
  <c r="B30" i="8"/>
  <c r="B5" i="8"/>
  <c r="B6" i="8"/>
  <c r="B7" i="8"/>
  <c r="B8" i="8"/>
  <c r="B9" i="8"/>
  <c r="B10" i="8"/>
  <c r="B11" i="8"/>
  <c r="B12" i="8"/>
  <c r="B13" i="8"/>
  <c r="B14" i="8"/>
  <c r="B15" i="8"/>
  <c r="AJ64" i="5" l="1"/>
  <c r="AJ63" i="5"/>
  <c r="AJ62" i="5"/>
  <c r="AJ61" i="5"/>
  <c r="AJ60" i="5"/>
  <c r="AJ59" i="5"/>
  <c r="AJ58" i="5"/>
  <c r="AJ57" i="5"/>
  <c r="AJ56" i="5"/>
  <c r="AJ55" i="5"/>
  <c r="AJ54" i="5"/>
  <c r="AJ64" i="3"/>
  <c r="AJ63" i="3"/>
  <c r="AJ62" i="3"/>
  <c r="AJ61" i="3"/>
  <c r="AJ60" i="3"/>
  <c r="AJ59" i="3"/>
  <c r="AJ58" i="3"/>
  <c r="AJ57" i="3"/>
  <c r="AJ56" i="3"/>
  <c r="AJ55" i="3"/>
  <c r="AJ54" i="3"/>
  <c r="AJ55" i="1"/>
  <c r="AJ56" i="1"/>
  <c r="AJ57" i="1"/>
  <c r="AJ58" i="1"/>
  <c r="AJ59" i="1"/>
  <c r="AJ60" i="1"/>
  <c r="AJ61" i="1"/>
  <c r="AJ62" i="1"/>
  <c r="AJ63" i="1"/>
  <c r="AJ64" i="1"/>
  <c r="AJ54" i="1"/>
  <c r="AG60" i="5"/>
  <c r="AG61" i="5" s="1"/>
  <c r="AH59" i="5"/>
  <c r="AG58" i="5"/>
  <c r="AH58" i="5" s="1"/>
  <c r="AG60" i="3"/>
  <c r="AG61" i="3" s="1"/>
  <c r="AH59" i="3"/>
  <c r="AG58" i="3"/>
  <c r="AH58" i="3" s="1"/>
  <c r="AG57" i="3"/>
  <c r="AG56" i="3" s="1"/>
  <c r="AG60" i="1"/>
  <c r="AG61" i="1" s="1"/>
  <c r="AH59" i="1"/>
  <c r="AG58" i="1"/>
  <c r="AH58" i="1" s="1"/>
  <c r="AG57" i="1"/>
  <c r="AG56" i="1" s="1"/>
  <c r="AG57" i="5" l="1"/>
  <c r="AG56" i="5" s="1"/>
  <c r="AH61" i="5"/>
  <c r="AG62" i="5"/>
  <c r="AH56" i="5"/>
  <c r="AG55" i="5"/>
  <c r="AH57" i="5"/>
  <c r="AH60" i="5"/>
  <c r="AG62" i="3"/>
  <c r="AH61" i="3"/>
  <c r="AH56" i="3"/>
  <c r="AG55" i="3"/>
  <c r="AH57" i="3"/>
  <c r="AH60" i="3"/>
  <c r="AG62" i="1"/>
  <c r="AH61" i="1"/>
  <c r="AH56" i="1"/>
  <c r="AG55" i="1"/>
  <c r="AH60" i="1"/>
  <c r="AH57" i="1"/>
  <c r="AG63" i="5" l="1"/>
  <c r="AH62" i="5"/>
  <c r="AH55" i="5"/>
  <c r="AG54" i="5"/>
  <c r="AH54" i="5" s="1"/>
  <c r="AH62" i="3"/>
  <c r="AG63" i="3"/>
  <c r="AH55" i="3"/>
  <c r="AG54" i="3"/>
  <c r="AH54" i="3" s="1"/>
  <c r="AH55" i="1"/>
  <c r="AG54" i="1"/>
  <c r="AH54" i="1" s="1"/>
  <c r="AG63" i="1"/>
  <c r="AH62" i="1"/>
  <c r="AG64" i="5" l="1"/>
  <c r="AH64" i="5" s="1"/>
  <c r="AH63" i="5"/>
  <c r="AG64" i="3"/>
  <c r="AH64" i="3" s="1"/>
  <c r="AH63" i="3"/>
  <c r="AG64" i="1"/>
  <c r="AH64" i="1" s="1"/>
  <c r="AH63" i="1"/>
  <c r="F45" i="5" l="1"/>
  <c r="F46" i="5" s="1"/>
  <c r="F48" i="5" s="1"/>
  <c r="F45" i="3"/>
  <c r="F46" i="3" s="1"/>
  <c r="F47" i="5"/>
  <c r="B46" i="5"/>
  <c r="B48" i="5" s="1"/>
  <c r="AC9" i="5" s="1"/>
  <c r="B46" i="3"/>
  <c r="J26" i="5"/>
  <c r="F47" i="3"/>
  <c r="J26" i="3"/>
  <c r="J26" i="1"/>
  <c r="AC13" i="1" s="1"/>
  <c r="F49" i="1"/>
  <c r="F47" i="1"/>
  <c r="F45" i="1"/>
  <c r="F46" i="1" s="1"/>
  <c r="F48" i="1" s="1"/>
  <c r="B44" i="1"/>
  <c r="B46" i="1" s="1"/>
  <c r="AC9" i="1" s="1"/>
  <c r="J35" i="6"/>
  <c r="AA11" i="6" s="1"/>
  <c r="J40" i="5"/>
  <c r="AC12" i="5" s="1"/>
  <c r="J35" i="4"/>
  <c r="AA11" i="4" s="1"/>
  <c r="J41" i="3"/>
  <c r="AC12" i="3" s="1"/>
  <c r="J35" i="2"/>
  <c r="AA11" i="2" s="1"/>
  <c r="J40" i="1"/>
  <c r="AC12" i="1" s="1"/>
  <c r="P54" i="6"/>
  <c r="AH49" i="6"/>
  <c r="AN32" i="6" s="1"/>
  <c r="S45" i="8" s="1"/>
  <c r="AC49" i="6"/>
  <c r="AM32" i="6" s="1"/>
  <c r="R45" i="8" s="1"/>
  <c r="AH48" i="6"/>
  <c r="AN31" i="6" s="1"/>
  <c r="S44" i="8" s="1"/>
  <c r="AC48" i="6"/>
  <c r="AM31" i="6" s="1"/>
  <c r="R44" i="8" s="1"/>
  <c r="AH47" i="6"/>
  <c r="AN30" i="6" s="1"/>
  <c r="S43" i="8" s="1"/>
  <c r="AC47" i="6"/>
  <c r="AM30" i="6" s="1"/>
  <c r="R43" i="8" s="1"/>
  <c r="AH46" i="6"/>
  <c r="AN29" i="6" s="1"/>
  <c r="S42" i="8" s="1"/>
  <c r="AC46" i="6"/>
  <c r="AM29" i="6" s="1"/>
  <c r="R42" i="8" s="1"/>
  <c r="AH45" i="6"/>
  <c r="AN28" i="6" s="1"/>
  <c r="S41" i="8" s="1"/>
  <c r="AF45" i="6"/>
  <c r="AE45" i="6"/>
  <c r="AE46" i="6" s="1"/>
  <c r="AC45" i="6"/>
  <c r="AM28" i="6" s="1"/>
  <c r="R41" i="8" s="1"/>
  <c r="Z45" i="6"/>
  <c r="AH44" i="6"/>
  <c r="AN27" i="6" s="1"/>
  <c r="S40" i="8" s="1"/>
  <c r="AF44" i="6"/>
  <c r="AC44" i="6"/>
  <c r="AM27" i="6" s="1"/>
  <c r="R40" i="8" s="1"/>
  <c r="AA44" i="6"/>
  <c r="AH43" i="6"/>
  <c r="AN26" i="6" s="1"/>
  <c r="S39" i="8" s="1"/>
  <c r="AE43" i="6"/>
  <c r="AE42" i="6" s="1"/>
  <c r="AC43" i="6"/>
  <c r="AM26" i="6" s="1"/>
  <c r="R39" i="8" s="1"/>
  <c r="Z43" i="6"/>
  <c r="B43" i="6"/>
  <c r="B44" i="6" s="1"/>
  <c r="AH42" i="6"/>
  <c r="AN25" i="6" s="1"/>
  <c r="S38" i="8" s="1"/>
  <c r="AC42" i="6"/>
  <c r="AM25" i="6" s="1"/>
  <c r="R38" i="8" s="1"/>
  <c r="AH41" i="6"/>
  <c r="AN24" i="6" s="1"/>
  <c r="S37" i="8" s="1"/>
  <c r="AC41" i="6"/>
  <c r="AM24" i="6" s="1"/>
  <c r="R37" i="8" s="1"/>
  <c r="F41" i="6"/>
  <c r="AH40" i="6"/>
  <c r="AN23" i="6" s="1"/>
  <c r="S36" i="8" s="1"/>
  <c r="AC40" i="6"/>
  <c r="AM23" i="6" s="1"/>
  <c r="R36" i="8" s="1"/>
  <c r="AH39" i="6"/>
  <c r="AN22" i="6" s="1"/>
  <c r="S35" i="8" s="1"/>
  <c r="AC39" i="6"/>
  <c r="AM22" i="6" s="1"/>
  <c r="R35" i="8" s="1"/>
  <c r="F36" i="6"/>
  <c r="AH34" i="6"/>
  <c r="AK32" i="6" s="1"/>
  <c r="P45" i="8" s="1"/>
  <c r="AC34" i="6"/>
  <c r="AL32" i="6" s="1"/>
  <c r="Q45" i="8" s="1"/>
  <c r="J33" i="6"/>
  <c r="AH33" i="6"/>
  <c r="AK31" i="6" s="1"/>
  <c r="P44" i="8" s="1"/>
  <c r="AC33" i="6"/>
  <c r="AL31" i="6" s="1"/>
  <c r="Q44" i="8" s="1"/>
  <c r="AH32" i="6"/>
  <c r="AK30" i="6" s="1"/>
  <c r="P43" i="8" s="1"/>
  <c r="AC32" i="6"/>
  <c r="AL30" i="6" s="1"/>
  <c r="Q43" i="8" s="1"/>
  <c r="J32" i="6"/>
  <c r="B32" i="6"/>
  <c r="AH31" i="6"/>
  <c r="AK29" i="6" s="1"/>
  <c r="P42" i="8" s="1"/>
  <c r="AC31" i="6"/>
  <c r="AL29" i="6" s="1"/>
  <c r="Q42" i="8" s="1"/>
  <c r="B31" i="6"/>
  <c r="AH30" i="6"/>
  <c r="AK28" i="6" s="1"/>
  <c r="P41" i="8" s="1"/>
  <c r="AE30" i="6"/>
  <c r="AC30" i="6"/>
  <c r="AL28" i="6" s="1"/>
  <c r="Q41" i="8" s="1"/>
  <c r="Z30" i="6"/>
  <c r="AA30" i="6" s="1"/>
  <c r="AH29" i="6"/>
  <c r="AK27" i="6" s="1"/>
  <c r="P40" i="8" s="1"/>
  <c r="AF29" i="6"/>
  <c r="AC29" i="6"/>
  <c r="AL27" i="6" s="1"/>
  <c r="Q40" i="8" s="1"/>
  <c r="AA29" i="6"/>
  <c r="AH28" i="6"/>
  <c r="AK26" i="6" s="1"/>
  <c r="P39" i="8" s="1"/>
  <c r="AE28" i="6"/>
  <c r="AF28" i="6" s="1"/>
  <c r="AC28" i="6"/>
  <c r="AL26" i="6" s="1"/>
  <c r="Q39" i="8" s="1"/>
  <c r="Z28" i="6"/>
  <c r="Z27" i="6" s="1"/>
  <c r="Z26" i="6" s="1"/>
  <c r="AH27" i="6"/>
  <c r="AK25" i="6" s="1"/>
  <c r="P38" i="8" s="1"/>
  <c r="AC27" i="6"/>
  <c r="AL25" i="6" s="1"/>
  <c r="Q38" i="8" s="1"/>
  <c r="AH26" i="6"/>
  <c r="AK24" i="6" s="1"/>
  <c r="P37" i="8" s="1"/>
  <c r="AC26" i="6"/>
  <c r="AL24" i="6" s="1"/>
  <c r="Q37" i="8" s="1"/>
  <c r="AH25" i="6"/>
  <c r="AK23" i="6" s="1"/>
  <c r="P36" i="8" s="1"/>
  <c r="AC25" i="6"/>
  <c r="AL23" i="6" s="1"/>
  <c r="Q36" i="8" s="1"/>
  <c r="AH24" i="6"/>
  <c r="AK22" i="6" s="1"/>
  <c r="P35" i="8" s="1"/>
  <c r="AC24" i="6"/>
  <c r="AL22" i="6" s="1"/>
  <c r="Q35" i="8" s="1"/>
  <c r="AA10" i="6"/>
  <c r="N10" i="6"/>
  <c r="N11" i="6" s="1"/>
  <c r="T11" i="6" s="1"/>
  <c r="T9" i="6"/>
  <c r="AE64" i="5"/>
  <c r="AQ32" i="5" s="1"/>
  <c r="G45" i="8" s="1"/>
  <c r="AE63" i="5"/>
  <c r="AQ31" i="5" s="1"/>
  <c r="G44" i="8" s="1"/>
  <c r="AE62" i="5"/>
  <c r="AQ30" i="5" s="1"/>
  <c r="G43" i="8" s="1"/>
  <c r="AE61" i="5"/>
  <c r="AQ29" i="5" s="1"/>
  <c r="G42" i="8" s="1"/>
  <c r="AE60" i="5"/>
  <c r="AQ28" i="5" s="1"/>
  <c r="G41" i="8" s="1"/>
  <c r="AB60" i="5"/>
  <c r="AE59" i="5"/>
  <c r="AQ27" i="5" s="1"/>
  <c r="G40" i="8" s="1"/>
  <c r="AC59" i="5"/>
  <c r="AE58" i="5"/>
  <c r="AQ26" i="5" s="1"/>
  <c r="G39" i="8" s="1"/>
  <c r="AB58" i="5"/>
  <c r="AC58" i="5" s="1"/>
  <c r="AE57" i="5"/>
  <c r="AQ25" i="5" s="1"/>
  <c r="G38" i="8" s="1"/>
  <c r="AE56" i="5"/>
  <c r="AQ24" i="5" s="1"/>
  <c r="G37" i="8" s="1"/>
  <c r="AE55" i="5"/>
  <c r="AQ23" i="5" s="1"/>
  <c r="G36" i="8" s="1"/>
  <c r="AE54" i="5"/>
  <c r="AQ22" i="5" s="1"/>
  <c r="G35" i="8" s="1"/>
  <c r="P54" i="5"/>
  <c r="AJ49" i="5"/>
  <c r="AP32" i="5" s="1"/>
  <c r="F45" i="8" s="1"/>
  <c r="AE49" i="5"/>
  <c r="AO32" i="5" s="1"/>
  <c r="E45" i="8" s="1"/>
  <c r="AJ48" i="5"/>
  <c r="AP31" i="5" s="1"/>
  <c r="F44" i="8" s="1"/>
  <c r="AE48" i="5"/>
  <c r="AO31" i="5" s="1"/>
  <c r="E44" i="8" s="1"/>
  <c r="AJ47" i="5"/>
  <c r="AP30" i="5" s="1"/>
  <c r="F43" i="8" s="1"/>
  <c r="AE47" i="5"/>
  <c r="AO30" i="5" s="1"/>
  <c r="E43" i="8" s="1"/>
  <c r="AJ46" i="5"/>
  <c r="AP29" i="5" s="1"/>
  <c r="F42" i="8" s="1"/>
  <c r="AE46" i="5"/>
  <c r="AO29" i="5" s="1"/>
  <c r="E42" i="8" s="1"/>
  <c r="AJ45" i="5"/>
  <c r="AP28" i="5" s="1"/>
  <c r="F41" i="8" s="1"/>
  <c r="AG45" i="5"/>
  <c r="AG46" i="5" s="1"/>
  <c r="AG47" i="5" s="1"/>
  <c r="AG48" i="5" s="1"/>
  <c r="AG49" i="5" s="1"/>
  <c r="AH49" i="5" s="1"/>
  <c r="AE45" i="5"/>
  <c r="AO28" i="5" s="1"/>
  <c r="E41" i="8" s="1"/>
  <c r="AB45" i="5"/>
  <c r="AB46" i="5" s="1"/>
  <c r="B45" i="5"/>
  <c r="B47" i="5" s="1"/>
  <c r="AJ44" i="5"/>
  <c r="AP27" i="5" s="1"/>
  <c r="F40" i="8" s="1"/>
  <c r="AH44" i="5"/>
  <c r="AE44" i="5"/>
  <c r="AO27" i="5" s="1"/>
  <c r="E40" i="8" s="1"/>
  <c r="AC44" i="5"/>
  <c r="AJ43" i="5"/>
  <c r="AP26" i="5" s="1"/>
  <c r="F39" i="8" s="1"/>
  <c r="AG43" i="5"/>
  <c r="AE43" i="5"/>
  <c r="AO26" i="5" s="1"/>
  <c r="E39" i="8" s="1"/>
  <c r="AB43" i="5"/>
  <c r="AB42" i="5" s="1"/>
  <c r="AC42" i="5" s="1"/>
  <c r="AJ42" i="5"/>
  <c r="AP25" i="5" s="1"/>
  <c r="F38" i="8" s="1"/>
  <c r="AE42" i="5"/>
  <c r="AO25" i="5" s="1"/>
  <c r="E38" i="8" s="1"/>
  <c r="AJ41" i="5"/>
  <c r="AP24" i="5" s="1"/>
  <c r="F37" i="8" s="1"/>
  <c r="AE41" i="5"/>
  <c r="AO24" i="5" s="1"/>
  <c r="E37" i="8" s="1"/>
  <c r="AJ40" i="5"/>
  <c r="AP23" i="5" s="1"/>
  <c r="F36" i="8" s="1"/>
  <c r="AE40" i="5"/>
  <c r="AO23" i="5" s="1"/>
  <c r="E36" i="8" s="1"/>
  <c r="AJ39" i="5"/>
  <c r="AP22" i="5" s="1"/>
  <c r="F35" i="8" s="1"/>
  <c r="AE39" i="5"/>
  <c r="AO22" i="5" s="1"/>
  <c r="E35" i="8" s="1"/>
  <c r="J38" i="5"/>
  <c r="F37" i="5"/>
  <c r="F40" i="5" s="1"/>
  <c r="F36" i="5"/>
  <c r="AC8" i="5" s="1"/>
  <c r="AJ34" i="5"/>
  <c r="AM32" i="5" s="1"/>
  <c r="C45" i="8" s="1"/>
  <c r="AE34" i="5"/>
  <c r="AN32" i="5" s="1"/>
  <c r="D45" i="8" s="1"/>
  <c r="J34" i="5"/>
  <c r="AJ33" i="5"/>
  <c r="AM31" i="5" s="1"/>
  <c r="C44" i="8" s="1"/>
  <c r="AE33" i="5"/>
  <c r="AN31" i="5" s="1"/>
  <c r="D44" i="8" s="1"/>
  <c r="AJ32" i="5"/>
  <c r="AM30" i="5" s="1"/>
  <c r="C43" i="8" s="1"/>
  <c r="AE32" i="5"/>
  <c r="AN30" i="5" s="1"/>
  <c r="D43" i="8" s="1"/>
  <c r="B32" i="5"/>
  <c r="AJ31" i="5"/>
  <c r="AM29" i="5" s="1"/>
  <c r="C42" i="8" s="1"/>
  <c r="AG31" i="5"/>
  <c r="AG32" i="5" s="1"/>
  <c r="AE31" i="5"/>
  <c r="AN29" i="5" s="1"/>
  <c r="D42" i="8" s="1"/>
  <c r="J31" i="5"/>
  <c r="U9" i="5" s="1"/>
  <c r="B31" i="5"/>
  <c r="AJ30" i="5"/>
  <c r="AM28" i="5" s="1"/>
  <c r="C41" i="8" s="1"/>
  <c r="AG30" i="5"/>
  <c r="AH30" i="5" s="1"/>
  <c r="AE30" i="5"/>
  <c r="AN28" i="5" s="1"/>
  <c r="D41" i="8" s="1"/>
  <c r="AB30" i="5"/>
  <c r="AB31" i="5" s="1"/>
  <c r="AJ29" i="5"/>
  <c r="AM27" i="5" s="1"/>
  <c r="C40" i="8" s="1"/>
  <c r="AH29" i="5"/>
  <c r="AE29" i="5"/>
  <c r="AN27" i="5" s="1"/>
  <c r="D40" i="8" s="1"/>
  <c r="AC29" i="5"/>
  <c r="AJ28" i="5"/>
  <c r="AM26" i="5" s="1"/>
  <c r="C39" i="8" s="1"/>
  <c r="AG28" i="5"/>
  <c r="AG27" i="5" s="1"/>
  <c r="AE28" i="5"/>
  <c r="AN26" i="5" s="1"/>
  <c r="D39" i="8" s="1"/>
  <c r="AB28" i="5"/>
  <c r="AB27" i="5" s="1"/>
  <c r="AJ27" i="5"/>
  <c r="AM25" i="5" s="1"/>
  <c r="C38" i="8" s="1"/>
  <c r="AE27" i="5"/>
  <c r="AN25" i="5" s="1"/>
  <c r="D38" i="8" s="1"/>
  <c r="AJ26" i="5"/>
  <c r="AM24" i="5" s="1"/>
  <c r="C37" i="8" s="1"/>
  <c r="AE26" i="5"/>
  <c r="AN24" i="5" s="1"/>
  <c r="D37" i="8" s="1"/>
  <c r="AJ25" i="5"/>
  <c r="AM23" i="5" s="1"/>
  <c r="C36" i="8" s="1"/>
  <c r="AE25" i="5"/>
  <c r="AN23" i="5" s="1"/>
  <c r="D36" i="8" s="1"/>
  <c r="AJ24" i="5"/>
  <c r="AM22" i="5" s="1"/>
  <c r="C35" i="8" s="1"/>
  <c r="AE24" i="5"/>
  <c r="AN22" i="5" s="1"/>
  <c r="D35" i="8" s="1"/>
  <c r="AC11" i="5"/>
  <c r="N10" i="5"/>
  <c r="N11" i="5" s="1"/>
  <c r="W11" i="5" s="1"/>
  <c r="W9" i="5"/>
  <c r="P54" i="4"/>
  <c r="AH49" i="4"/>
  <c r="AN32" i="4" s="1"/>
  <c r="S30" i="8" s="1"/>
  <c r="AC49" i="4"/>
  <c r="AM32" i="4" s="1"/>
  <c r="R30" i="8" s="1"/>
  <c r="AH48" i="4"/>
  <c r="AN31" i="4" s="1"/>
  <c r="S29" i="8" s="1"/>
  <c r="AC48" i="4"/>
  <c r="AM31" i="4" s="1"/>
  <c r="R29" i="8" s="1"/>
  <c r="AH47" i="4"/>
  <c r="AN30" i="4" s="1"/>
  <c r="S28" i="8" s="1"/>
  <c r="AC47" i="4"/>
  <c r="AM30" i="4" s="1"/>
  <c r="R28" i="8" s="1"/>
  <c r="AH46" i="4"/>
  <c r="AN29" i="4" s="1"/>
  <c r="S27" i="8" s="1"/>
  <c r="AC46" i="4"/>
  <c r="AM29" i="4" s="1"/>
  <c r="R27" i="8" s="1"/>
  <c r="AH45" i="4"/>
  <c r="AN28" i="4" s="1"/>
  <c r="S26" i="8" s="1"/>
  <c r="AE45" i="4"/>
  <c r="AF45" i="4" s="1"/>
  <c r="AC45" i="4"/>
  <c r="AM28" i="4" s="1"/>
  <c r="R26" i="8" s="1"/>
  <c r="Z45" i="4"/>
  <c r="AH44" i="4"/>
  <c r="AN27" i="4" s="1"/>
  <c r="S25" i="8" s="1"/>
  <c r="AF44" i="4"/>
  <c r="AC44" i="4"/>
  <c r="AM27" i="4" s="1"/>
  <c r="R25" i="8" s="1"/>
  <c r="AA44" i="4"/>
  <c r="AH43" i="4"/>
  <c r="AN26" i="4" s="1"/>
  <c r="S24" i="8" s="1"/>
  <c r="AE43" i="4"/>
  <c r="AC43" i="4"/>
  <c r="AM26" i="4" s="1"/>
  <c r="R24" i="8" s="1"/>
  <c r="Z43" i="4"/>
  <c r="AA43" i="4" s="1"/>
  <c r="B43" i="4"/>
  <c r="B44" i="4" s="1"/>
  <c r="AH42" i="4"/>
  <c r="AN25" i="4" s="1"/>
  <c r="S23" i="8" s="1"/>
  <c r="AC42" i="4"/>
  <c r="AM25" i="4" s="1"/>
  <c r="R23" i="8" s="1"/>
  <c r="Z42" i="4"/>
  <c r="AA42" i="4" s="1"/>
  <c r="AH41" i="4"/>
  <c r="AN24" i="4" s="1"/>
  <c r="S22" i="8" s="1"/>
  <c r="AC41" i="4"/>
  <c r="AM24" i="4" s="1"/>
  <c r="R22" i="8" s="1"/>
  <c r="F41" i="4"/>
  <c r="AH40" i="4"/>
  <c r="AN23" i="4" s="1"/>
  <c r="S21" i="8" s="1"/>
  <c r="AC40" i="4"/>
  <c r="AM23" i="4" s="1"/>
  <c r="R21" i="8" s="1"/>
  <c r="AH39" i="4"/>
  <c r="AN22" i="4" s="1"/>
  <c r="S20" i="8" s="1"/>
  <c r="AC39" i="4"/>
  <c r="AM22" i="4" s="1"/>
  <c r="R20" i="8" s="1"/>
  <c r="F36" i="4"/>
  <c r="F37" i="4" s="1"/>
  <c r="F38" i="4" s="1"/>
  <c r="Q9" i="4" s="1"/>
  <c r="B35" i="4"/>
  <c r="AH34" i="4"/>
  <c r="AK32" i="4" s="1"/>
  <c r="P30" i="8" s="1"/>
  <c r="AC34" i="4"/>
  <c r="AL32" i="4" s="1"/>
  <c r="Q30" i="8" s="1"/>
  <c r="J33" i="4"/>
  <c r="AH33" i="4"/>
  <c r="AK31" i="4" s="1"/>
  <c r="P29" i="8" s="1"/>
  <c r="AC33" i="4"/>
  <c r="AL31" i="4" s="1"/>
  <c r="Q29" i="8" s="1"/>
  <c r="AH32" i="4"/>
  <c r="AK30" i="4" s="1"/>
  <c r="P28" i="8" s="1"/>
  <c r="AC32" i="4"/>
  <c r="AL30" i="4" s="1"/>
  <c r="Q28" i="8" s="1"/>
  <c r="J32" i="4"/>
  <c r="B32" i="4"/>
  <c r="AH31" i="4"/>
  <c r="AK29" i="4" s="1"/>
  <c r="P27" i="8" s="1"/>
  <c r="AC31" i="4"/>
  <c r="AL29" i="4" s="1"/>
  <c r="Q27" i="8" s="1"/>
  <c r="Z31" i="4"/>
  <c r="B31" i="4"/>
  <c r="AH30" i="4"/>
  <c r="AK28" i="4" s="1"/>
  <c r="P26" i="8" s="1"/>
  <c r="AE30" i="4"/>
  <c r="AF30" i="4" s="1"/>
  <c r="AC30" i="4"/>
  <c r="AL28" i="4" s="1"/>
  <c r="Q26" i="8" s="1"/>
  <c r="Z30" i="4"/>
  <c r="AA30" i="4" s="1"/>
  <c r="AH29" i="4"/>
  <c r="AK27" i="4" s="1"/>
  <c r="P25" i="8" s="1"/>
  <c r="AF29" i="4"/>
  <c r="AC29" i="4"/>
  <c r="AL27" i="4" s="1"/>
  <c r="Q25" i="8" s="1"/>
  <c r="AA29" i="4"/>
  <c r="AH28" i="4"/>
  <c r="AK26" i="4" s="1"/>
  <c r="P24" i="8" s="1"/>
  <c r="AE28" i="4"/>
  <c r="AF28" i="4" s="1"/>
  <c r="AC28" i="4"/>
  <c r="AL26" i="4" s="1"/>
  <c r="Q24" i="8" s="1"/>
  <c r="Z28" i="4"/>
  <c r="AA28" i="4" s="1"/>
  <c r="AH27" i="4"/>
  <c r="AK25" i="4" s="1"/>
  <c r="P23" i="8" s="1"/>
  <c r="AC27" i="4"/>
  <c r="AL25" i="4" s="1"/>
  <c r="Q23" i="8" s="1"/>
  <c r="Z27" i="4"/>
  <c r="AA27" i="4" s="1"/>
  <c r="AH26" i="4"/>
  <c r="AK24" i="4" s="1"/>
  <c r="P22" i="8" s="1"/>
  <c r="AC26" i="4"/>
  <c r="AL24" i="4" s="1"/>
  <c r="Q22" i="8" s="1"/>
  <c r="Z26" i="4"/>
  <c r="Z25" i="4" s="1"/>
  <c r="AH25" i="4"/>
  <c r="AK23" i="4" s="1"/>
  <c r="P21" i="8" s="1"/>
  <c r="AC25" i="4"/>
  <c r="AL23" i="4" s="1"/>
  <c r="Q21" i="8" s="1"/>
  <c r="AH24" i="4"/>
  <c r="AK22" i="4" s="1"/>
  <c r="P20" i="8" s="1"/>
  <c r="AC24" i="4"/>
  <c r="AL22" i="4" s="1"/>
  <c r="Q20" i="8" s="1"/>
  <c r="AA10" i="4"/>
  <c r="N10" i="4"/>
  <c r="T9" i="4"/>
  <c r="AA8" i="4"/>
  <c r="AE64" i="3"/>
  <c r="AQ32" i="3" s="1"/>
  <c r="G30" i="8" s="1"/>
  <c r="AE63" i="3"/>
  <c r="AQ31" i="3" s="1"/>
  <c r="G29" i="8" s="1"/>
  <c r="AE62" i="3"/>
  <c r="AQ30" i="3" s="1"/>
  <c r="G28" i="8" s="1"/>
  <c r="AE61" i="3"/>
  <c r="AQ29" i="3" s="1"/>
  <c r="G27" i="8" s="1"/>
  <c r="AE60" i="3"/>
  <c r="AQ28" i="3" s="1"/>
  <c r="G26" i="8" s="1"/>
  <c r="AB60" i="3"/>
  <c r="AC60" i="3" s="1"/>
  <c r="AE59" i="3"/>
  <c r="AQ27" i="3" s="1"/>
  <c r="G25" i="8" s="1"/>
  <c r="AC59" i="3"/>
  <c r="AE58" i="3"/>
  <c r="AQ26" i="3" s="1"/>
  <c r="G24" i="8" s="1"/>
  <c r="AB58" i="3"/>
  <c r="AC58" i="3" s="1"/>
  <c r="AE57" i="3"/>
  <c r="AQ25" i="3" s="1"/>
  <c r="G23" i="8" s="1"/>
  <c r="AB57" i="3"/>
  <c r="AB56" i="3" s="1"/>
  <c r="AB55" i="3" s="1"/>
  <c r="AC55" i="3" s="1"/>
  <c r="AE56" i="3"/>
  <c r="AQ24" i="3" s="1"/>
  <c r="G22" i="8" s="1"/>
  <c r="AE55" i="3"/>
  <c r="AQ23" i="3" s="1"/>
  <c r="G21" i="8" s="1"/>
  <c r="AE54" i="3"/>
  <c r="AQ22" i="3" s="1"/>
  <c r="G20" i="8" s="1"/>
  <c r="AB54" i="3"/>
  <c r="AC54" i="3" s="1"/>
  <c r="P54" i="3"/>
  <c r="AJ49" i="3"/>
  <c r="AP32" i="3" s="1"/>
  <c r="F30" i="8" s="1"/>
  <c r="AE49" i="3"/>
  <c r="AO32" i="3" s="1"/>
  <c r="E30" i="8" s="1"/>
  <c r="AJ48" i="3"/>
  <c r="AP31" i="3" s="1"/>
  <c r="F29" i="8" s="1"/>
  <c r="AE48" i="3"/>
  <c r="AO31" i="3" s="1"/>
  <c r="E29" i="8" s="1"/>
  <c r="AJ47" i="3"/>
  <c r="AP30" i="3" s="1"/>
  <c r="F28" i="8" s="1"/>
  <c r="AE47" i="3"/>
  <c r="AO30" i="3" s="1"/>
  <c r="E28" i="8" s="1"/>
  <c r="AJ46" i="3"/>
  <c r="AP29" i="3" s="1"/>
  <c r="F27" i="8" s="1"/>
  <c r="AE46" i="3"/>
  <c r="AO29" i="3" s="1"/>
  <c r="E27" i="8" s="1"/>
  <c r="B48" i="3"/>
  <c r="AC9" i="3" s="1"/>
  <c r="AJ45" i="3"/>
  <c r="AP28" i="3" s="1"/>
  <c r="F26" i="8" s="1"/>
  <c r="AG45" i="3"/>
  <c r="AG46" i="3" s="1"/>
  <c r="AE45" i="3"/>
  <c r="AO28" i="3" s="1"/>
  <c r="E26" i="8" s="1"/>
  <c r="AB45" i="3"/>
  <c r="AC45" i="3" s="1"/>
  <c r="B45" i="3"/>
  <c r="B47" i="3" s="1"/>
  <c r="AJ44" i="3"/>
  <c r="AP27" i="3" s="1"/>
  <c r="F25" i="8" s="1"/>
  <c r="AH44" i="3"/>
  <c r="AE44" i="3"/>
  <c r="AO27" i="3" s="1"/>
  <c r="E25" i="8" s="1"/>
  <c r="AC44" i="3"/>
  <c r="AJ43" i="3"/>
  <c r="AP26" i="3" s="1"/>
  <c r="F24" i="8" s="1"/>
  <c r="AG43" i="3"/>
  <c r="AG42" i="3" s="1"/>
  <c r="AH42" i="3" s="1"/>
  <c r="AE43" i="3"/>
  <c r="AO26" i="3" s="1"/>
  <c r="E24" i="8" s="1"/>
  <c r="AB43" i="3"/>
  <c r="AC43" i="3" s="1"/>
  <c r="AJ42" i="3"/>
  <c r="AP25" i="3" s="1"/>
  <c r="F23" i="8" s="1"/>
  <c r="AE42" i="3"/>
  <c r="AO25" i="3" s="1"/>
  <c r="E23" i="8" s="1"/>
  <c r="AJ41" i="3"/>
  <c r="AP24" i="3" s="1"/>
  <c r="F22" i="8" s="1"/>
  <c r="AE41" i="3"/>
  <c r="AO24" i="3" s="1"/>
  <c r="E22" i="8" s="1"/>
  <c r="AJ40" i="3"/>
  <c r="AP23" i="3" s="1"/>
  <c r="F21" i="8" s="1"/>
  <c r="AE40" i="3"/>
  <c r="AO23" i="3" s="1"/>
  <c r="E21" i="8" s="1"/>
  <c r="AJ39" i="3"/>
  <c r="AP22" i="3" s="1"/>
  <c r="F20" i="8" s="1"/>
  <c r="AE39" i="3"/>
  <c r="AO22" i="3" s="1"/>
  <c r="E20" i="8" s="1"/>
  <c r="J39" i="3"/>
  <c r="J38" i="3"/>
  <c r="F37" i="3"/>
  <c r="F40" i="3" s="1"/>
  <c r="R9" i="3" s="1"/>
  <c r="F36" i="3"/>
  <c r="B35" i="3"/>
  <c r="AJ34" i="3"/>
  <c r="AM32" i="3" s="1"/>
  <c r="C30" i="8" s="1"/>
  <c r="AE34" i="3"/>
  <c r="AN32" i="3" s="1"/>
  <c r="D30" i="8" s="1"/>
  <c r="J34" i="3"/>
  <c r="AJ33" i="3"/>
  <c r="AM31" i="3" s="1"/>
  <c r="C29" i="8" s="1"/>
  <c r="AE33" i="3"/>
  <c r="AN31" i="3" s="1"/>
  <c r="D29" i="8" s="1"/>
  <c r="AJ32" i="3"/>
  <c r="AM30" i="3" s="1"/>
  <c r="C28" i="8" s="1"/>
  <c r="AE32" i="3"/>
  <c r="AN30" i="3" s="1"/>
  <c r="D28" i="8" s="1"/>
  <c r="B32" i="3"/>
  <c r="AJ31" i="3"/>
  <c r="AM29" i="3" s="1"/>
  <c r="C27" i="8" s="1"/>
  <c r="AE31" i="3"/>
  <c r="AN29" i="3" s="1"/>
  <c r="D27" i="8" s="1"/>
  <c r="J31" i="3"/>
  <c r="U9" i="3" s="1"/>
  <c r="B31" i="3"/>
  <c r="AJ30" i="3"/>
  <c r="AM28" i="3" s="1"/>
  <c r="C26" i="8" s="1"/>
  <c r="AG30" i="3"/>
  <c r="AH30" i="3" s="1"/>
  <c r="AE30" i="3"/>
  <c r="AN28" i="3" s="1"/>
  <c r="D26" i="8" s="1"/>
  <c r="AB30" i="3"/>
  <c r="AJ29" i="3"/>
  <c r="AM27" i="3" s="1"/>
  <c r="C25" i="8" s="1"/>
  <c r="AH29" i="3"/>
  <c r="AE29" i="3"/>
  <c r="AN27" i="3" s="1"/>
  <c r="D25" i="8" s="1"/>
  <c r="AC29" i="3"/>
  <c r="AJ28" i="3"/>
  <c r="AM26" i="3" s="1"/>
  <c r="C24" i="8" s="1"/>
  <c r="AG28" i="3"/>
  <c r="AH28" i="3" s="1"/>
  <c r="AE28" i="3"/>
  <c r="AN26" i="3" s="1"/>
  <c r="D24" i="8" s="1"/>
  <c r="AB28" i="3"/>
  <c r="AB27" i="3" s="1"/>
  <c r="AJ27" i="3"/>
  <c r="AM25" i="3" s="1"/>
  <c r="C23" i="8" s="1"/>
  <c r="AG27" i="3"/>
  <c r="AG26" i="3" s="1"/>
  <c r="AE27" i="3"/>
  <c r="AN25" i="3" s="1"/>
  <c r="D23" i="8" s="1"/>
  <c r="AJ26" i="3"/>
  <c r="AM24" i="3" s="1"/>
  <c r="C22" i="8" s="1"/>
  <c r="AE26" i="3"/>
  <c r="AN24" i="3" s="1"/>
  <c r="D22" i="8" s="1"/>
  <c r="AJ25" i="3"/>
  <c r="AM23" i="3" s="1"/>
  <c r="C21" i="8" s="1"/>
  <c r="AE25" i="3"/>
  <c r="AN23" i="3" s="1"/>
  <c r="D21" i="8" s="1"/>
  <c r="AJ24" i="3"/>
  <c r="AM22" i="3" s="1"/>
  <c r="C20" i="8" s="1"/>
  <c r="AE24" i="3"/>
  <c r="AN22" i="3" s="1"/>
  <c r="D20" i="8" s="1"/>
  <c r="AC11" i="3"/>
  <c r="N10" i="3"/>
  <c r="W9" i="3"/>
  <c r="P54" i="2"/>
  <c r="AH49" i="2"/>
  <c r="AN32" i="2" s="1"/>
  <c r="S15" i="8" s="1"/>
  <c r="AC49" i="2"/>
  <c r="AM32" i="2" s="1"/>
  <c r="R15" i="8" s="1"/>
  <c r="AH48" i="2"/>
  <c r="AN31" i="2" s="1"/>
  <c r="S14" i="8" s="1"/>
  <c r="AC48" i="2"/>
  <c r="AM31" i="2" s="1"/>
  <c r="R14" i="8" s="1"/>
  <c r="AH47" i="2"/>
  <c r="AN30" i="2" s="1"/>
  <c r="S13" i="8" s="1"/>
  <c r="AC47" i="2"/>
  <c r="AM30" i="2" s="1"/>
  <c r="R13" i="8" s="1"/>
  <c r="AH46" i="2"/>
  <c r="AN29" i="2" s="1"/>
  <c r="S12" i="8" s="1"/>
  <c r="AC46" i="2"/>
  <c r="AM29" i="2" s="1"/>
  <c r="R12" i="8" s="1"/>
  <c r="AH45" i="2"/>
  <c r="AN28" i="2" s="1"/>
  <c r="S11" i="8" s="1"/>
  <c r="AE45" i="2"/>
  <c r="AC45" i="2"/>
  <c r="AM28" i="2" s="1"/>
  <c r="R11" i="8" s="1"/>
  <c r="Z45" i="2"/>
  <c r="Z46" i="2" s="1"/>
  <c r="Z47" i="2" s="1"/>
  <c r="AA47" i="2" s="1"/>
  <c r="AH44" i="2"/>
  <c r="AN27" i="2" s="1"/>
  <c r="S10" i="8" s="1"/>
  <c r="AF44" i="2"/>
  <c r="AC44" i="2"/>
  <c r="AM27" i="2" s="1"/>
  <c r="R10" i="8" s="1"/>
  <c r="AH43" i="2"/>
  <c r="AN26" i="2" s="1"/>
  <c r="S9" i="8" s="1"/>
  <c r="AE43" i="2"/>
  <c r="AF43" i="2" s="1"/>
  <c r="AC43" i="2"/>
  <c r="AM26" i="2" s="1"/>
  <c r="R9" i="8" s="1"/>
  <c r="Z43" i="2"/>
  <c r="Z42" i="2" s="1"/>
  <c r="Z41" i="2" s="1"/>
  <c r="Z40" i="2" s="1"/>
  <c r="AA40" i="2" s="1"/>
  <c r="B43" i="2"/>
  <c r="B44" i="2" s="1"/>
  <c r="AH42" i="2"/>
  <c r="AN25" i="2" s="1"/>
  <c r="S8" i="8" s="1"/>
  <c r="AC42" i="2"/>
  <c r="AM25" i="2" s="1"/>
  <c r="R8" i="8" s="1"/>
  <c r="AH41" i="2"/>
  <c r="AN24" i="2" s="1"/>
  <c r="S7" i="8" s="1"/>
  <c r="AC41" i="2"/>
  <c r="AM24" i="2" s="1"/>
  <c r="R7" i="8" s="1"/>
  <c r="F41" i="2"/>
  <c r="AH40" i="2"/>
  <c r="AN23" i="2" s="1"/>
  <c r="S6" i="8" s="1"/>
  <c r="AC40" i="2"/>
  <c r="AM23" i="2" s="1"/>
  <c r="R6" i="8" s="1"/>
  <c r="AH39" i="2"/>
  <c r="AN22" i="2" s="1"/>
  <c r="S5" i="8" s="1"/>
  <c r="AC39" i="2"/>
  <c r="AM22" i="2" s="1"/>
  <c r="R5" i="8" s="1"/>
  <c r="F36" i="2"/>
  <c r="AA8" i="2" s="1"/>
  <c r="AH34" i="2"/>
  <c r="AK32" i="2" s="1"/>
  <c r="P15" i="8" s="1"/>
  <c r="AC34" i="2"/>
  <c r="AL32" i="2" s="1"/>
  <c r="Q15" i="8" s="1"/>
  <c r="J33" i="2"/>
  <c r="AH33" i="2"/>
  <c r="AK31" i="2" s="1"/>
  <c r="P14" i="8" s="1"/>
  <c r="AC33" i="2"/>
  <c r="AL31" i="2" s="1"/>
  <c r="Q14" i="8" s="1"/>
  <c r="AH32" i="2"/>
  <c r="AK30" i="2" s="1"/>
  <c r="P13" i="8" s="1"/>
  <c r="AC32" i="2"/>
  <c r="AL30" i="2" s="1"/>
  <c r="Q13" i="8" s="1"/>
  <c r="J32" i="2"/>
  <c r="B32" i="2"/>
  <c r="AH31" i="2"/>
  <c r="AK29" i="2" s="1"/>
  <c r="P12" i="8" s="1"/>
  <c r="AC31" i="2"/>
  <c r="AL29" i="2" s="1"/>
  <c r="Q12" i="8" s="1"/>
  <c r="B31" i="2"/>
  <c r="AH30" i="2"/>
  <c r="AK28" i="2" s="1"/>
  <c r="P11" i="8" s="1"/>
  <c r="AE30" i="2"/>
  <c r="AF30" i="2" s="1"/>
  <c r="AC30" i="2"/>
  <c r="AL28" i="2" s="1"/>
  <c r="Q11" i="8" s="1"/>
  <c r="Z30" i="2"/>
  <c r="AA30" i="2" s="1"/>
  <c r="AH29" i="2"/>
  <c r="AK27" i="2" s="1"/>
  <c r="P10" i="8" s="1"/>
  <c r="AF29" i="2"/>
  <c r="AC29" i="2"/>
  <c r="AL27" i="2" s="1"/>
  <c r="Q10" i="8" s="1"/>
  <c r="AA29" i="2"/>
  <c r="AH28" i="2"/>
  <c r="AK26" i="2" s="1"/>
  <c r="P9" i="8" s="1"/>
  <c r="AE28" i="2"/>
  <c r="AE27" i="2" s="1"/>
  <c r="AC28" i="2"/>
  <c r="AL26" i="2" s="1"/>
  <c r="Q9" i="8" s="1"/>
  <c r="Z28" i="2"/>
  <c r="Z27" i="2" s="1"/>
  <c r="Z26" i="2" s="1"/>
  <c r="AH27" i="2"/>
  <c r="AK25" i="2" s="1"/>
  <c r="P8" i="8" s="1"/>
  <c r="AC27" i="2"/>
  <c r="AL25" i="2" s="1"/>
  <c r="Q8" i="8" s="1"/>
  <c r="AH26" i="2"/>
  <c r="AK24" i="2" s="1"/>
  <c r="P7" i="8" s="1"/>
  <c r="AC26" i="2"/>
  <c r="AL24" i="2" s="1"/>
  <c r="Q7" i="8" s="1"/>
  <c r="AH25" i="2"/>
  <c r="AK23" i="2" s="1"/>
  <c r="P6" i="8" s="1"/>
  <c r="AC25" i="2"/>
  <c r="AL23" i="2" s="1"/>
  <c r="Q6" i="8" s="1"/>
  <c r="AH24" i="2"/>
  <c r="AK22" i="2" s="1"/>
  <c r="P5" i="8" s="1"/>
  <c r="AC24" i="2"/>
  <c r="AL22" i="2" s="1"/>
  <c r="Q5" i="8" s="1"/>
  <c r="AA10" i="2"/>
  <c r="N10" i="2"/>
  <c r="N11" i="2" s="1"/>
  <c r="T9" i="2"/>
  <c r="AE64" i="1"/>
  <c r="AQ32" i="1" s="1"/>
  <c r="G15" i="8" s="1"/>
  <c r="AE63" i="1"/>
  <c r="AQ31" i="1" s="1"/>
  <c r="G14" i="8" s="1"/>
  <c r="AE62" i="1"/>
  <c r="AQ30" i="1" s="1"/>
  <c r="G13" i="8" s="1"/>
  <c r="AE61" i="1"/>
  <c r="AQ29" i="1" s="1"/>
  <c r="G12" i="8" s="1"/>
  <c r="AC61" i="1"/>
  <c r="AE60" i="1"/>
  <c r="AQ28" i="1" s="1"/>
  <c r="G11" i="8" s="1"/>
  <c r="AB60" i="1"/>
  <c r="AB61" i="1" s="1"/>
  <c r="AB62" i="1" s="1"/>
  <c r="AC62" i="1" s="1"/>
  <c r="AE59" i="1"/>
  <c r="AQ27" i="1" s="1"/>
  <c r="G10" i="8" s="1"/>
  <c r="AC59" i="1"/>
  <c r="AE58" i="1"/>
  <c r="AQ26" i="1" s="1"/>
  <c r="G9" i="8" s="1"/>
  <c r="AB58" i="1"/>
  <c r="AC58" i="1" s="1"/>
  <c r="AE57" i="1"/>
  <c r="AQ25" i="1" s="1"/>
  <c r="G8" i="8" s="1"/>
  <c r="AE56" i="1"/>
  <c r="AQ24" i="1" s="1"/>
  <c r="G7" i="8" s="1"/>
  <c r="AE55" i="1"/>
  <c r="AQ23" i="1" s="1"/>
  <c r="G6" i="8" s="1"/>
  <c r="AE54" i="1"/>
  <c r="AQ22" i="1" s="1"/>
  <c r="G5" i="8" s="1"/>
  <c r="P54" i="1"/>
  <c r="B51" i="1"/>
  <c r="AJ49" i="1"/>
  <c r="AP32" i="1" s="1"/>
  <c r="F15" i="8" s="1"/>
  <c r="AE49" i="1"/>
  <c r="AO32" i="1" s="1"/>
  <c r="E15" i="8" s="1"/>
  <c r="AJ48" i="1"/>
  <c r="AP31" i="1" s="1"/>
  <c r="F14" i="8" s="1"/>
  <c r="AH48" i="1"/>
  <c r="AE48" i="1"/>
  <c r="AO31" i="1" s="1"/>
  <c r="E14" i="8" s="1"/>
  <c r="AJ47" i="1"/>
  <c r="AP30" i="1" s="1"/>
  <c r="F13" i="8" s="1"/>
  <c r="AE47" i="1"/>
  <c r="AO30" i="1" s="1"/>
  <c r="E13" i="8" s="1"/>
  <c r="AJ46" i="1"/>
  <c r="AP29" i="1" s="1"/>
  <c r="F12" i="8" s="1"/>
  <c r="AE46" i="1"/>
  <c r="AO29" i="1" s="1"/>
  <c r="E12" i="8" s="1"/>
  <c r="AJ45" i="1"/>
  <c r="AP28" i="1" s="1"/>
  <c r="F11" i="8" s="1"/>
  <c r="AG45" i="1"/>
  <c r="AG46" i="1" s="1"/>
  <c r="AG47" i="1" s="1"/>
  <c r="AG48" i="1" s="1"/>
  <c r="AG49" i="1" s="1"/>
  <c r="AH49" i="1" s="1"/>
  <c r="AE45" i="1"/>
  <c r="AO28" i="1" s="1"/>
  <c r="E11" i="8" s="1"/>
  <c r="AB45" i="1"/>
  <c r="AB46" i="1" s="1"/>
  <c r="AJ44" i="1"/>
  <c r="AP27" i="1" s="1"/>
  <c r="F10" i="8" s="1"/>
  <c r="AH44" i="1"/>
  <c r="AE44" i="1"/>
  <c r="AO27" i="1" s="1"/>
  <c r="E10" i="8" s="1"/>
  <c r="AC44" i="1"/>
  <c r="AJ43" i="1"/>
  <c r="AP26" i="1" s="1"/>
  <c r="F9" i="8" s="1"/>
  <c r="AG43" i="1"/>
  <c r="AH43" i="1" s="1"/>
  <c r="AE43" i="1"/>
  <c r="AO26" i="1" s="1"/>
  <c r="E9" i="8" s="1"/>
  <c r="AB43" i="1"/>
  <c r="AC43" i="1" s="1"/>
  <c r="B43" i="1"/>
  <c r="B45" i="1" s="1"/>
  <c r="AJ42" i="1"/>
  <c r="AP25" i="1" s="1"/>
  <c r="F8" i="8" s="1"/>
  <c r="AE42" i="1"/>
  <c r="AO25" i="1" s="1"/>
  <c r="E8" i="8" s="1"/>
  <c r="AJ41" i="1"/>
  <c r="AP24" i="1" s="1"/>
  <c r="F7" i="8" s="1"/>
  <c r="AE41" i="1"/>
  <c r="AO24" i="1" s="1"/>
  <c r="E7" i="8" s="1"/>
  <c r="AJ40" i="1"/>
  <c r="AP23" i="1" s="1"/>
  <c r="F6" i="8" s="1"/>
  <c r="AE40" i="1"/>
  <c r="AO23" i="1" s="1"/>
  <c r="E6" i="8" s="1"/>
  <c r="J38" i="1"/>
  <c r="AJ39" i="1"/>
  <c r="AP22" i="1" s="1"/>
  <c r="F5" i="8" s="1"/>
  <c r="AE39" i="1"/>
  <c r="AO22" i="1" s="1"/>
  <c r="E5" i="8" s="1"/>
  <c r="F37" i="1"/>
  <c r="F40" i="1" s="1"/>
  <c r="F36" i="1"/>
  <c r="F38" i="1" s="1"/>
  <c r="F41" i="1" s="1"/>
  <c r="Q9" i="1" s="1"/>
  <c r="AJ34" i="1"/>
  <c r="AM32" i="1" s="1"/>
  <c r="C15" i="8" s="1"/>
  <c r="AE34" i="1"/>
  <c r="AN32" i="1" s="1"/>
  <c r="D15" i="8" s="1"/>
  <c r="J34" i="1"/>
  <c r="AJ33" i="1"/>
  <c r="AM31" i="1" s="1"/>
  <c r="C14" i="8" s="1"/>
  <c r="AE33" i="1"/>
  <c r="AN31" i="1" s="1"/>
  <c r="D14" i="8" s="1"/>
  <c r="AJ32" i="1"/>
  <c r="AM30" i="1" s="1"/>
  <c r="C13" i="8" s="1"/>
  <c r="AE32" i="1"/>
  <c r="AN30" i="1" s="1"/>
  <c r="D13" i="8" s="1"/>
  <c r="B32" i="1"/>
  <c r="AJ31" i="1"/>
  <c r="AM29" i="1" s="1"/>
  <c r="C12" i="8" s="1"/>
  <c r="AE31" i="1"/>
  <c r="AN29" i="1" s="1"/>
  <c r="D12" i="8" s="1"/>
  <c r="J31" i="1"/>
  <c r="U9" i="1" s="1"/>
  <c r="B31" i="1"/>
  <c r="AJ30" i="1"/>
  <c r="AM28" i="1" s="1"/>
  <c r="C11" i="8" s="1"/>
  <c r="AG30" i="1"/>
  <c r="AG31" i="1" s="1"/>
  <c r="AE30" i="1"/>
  <c r="AN28" i="1" s="1"/>
  <c r="D11" i="8" s="1"/>
  <c r="AB30" i="1"/>
  <c r="AB31" i="1" s="1"/>
  <c r="AJ29" i="1"/>
  <c r="AM27" i="1" s="1"/>
  <c r="C10" i="8" s="1"/>
  <c r="AH29" i="1"/>
  <c r="AE29" i="1"/>
  <c r="AN27" i="1" s="1"/>
  <c r="D10" i="8" s="1"/>
  <c r="AC29" i="1"/>
  <c r="AJ28" i="1"/>
  <c r="AM26" i="1" s="1"/>
  <c r="C9" i="8" s="1"/>
  <c r="AG28" i="1"/>
  <c r="AG27" i="1" s="1"/>
  <c r="AE28" i="1"/>
  <c r="AN26" i="1" s="1"/>
  <c r="D9" i="8" s="1"/>
  <c r="AB28" i="1"/>
  <c r="AC28" i="1" s="1"/>
  <c r="AJ27" i="1"/>
  <c r="AM25" i="1" s="1"/>
  <c r="C8" i="8" s="1"/>
  <c r="AE27" i="1"/>
  <c r="AN25" i="1" s="1"/>
  <c r="D8" i="8" s="1"/>
  <c r="AJ26" i="1"/>
  <c r="AM24" i="1" s="1"/>
  <c r="C7" i="8" s="1"/>
  <c r="AE26" i="1"/>
  <c r="AN24" i="1" s="1"/>
  <c r="D7" i="8" s="1"/>
  <c r="AJ25" i="1"/>
  <c r="AM23" i="1" s="1"/>
  <c r="C6" i="8" s="1"/>
  <c r="AE25" i="1"/>
  <c r="AN23" i="1" s="1"/>
  <c r="D6" i="8" s="1"/>
  <c r="AJ24" i="1"/>
  <c r="AM22" i="1" s="1"/>
  <c r="C5" i="8" s="1"/>
  <c r="AE24" i="1"/>
  <c r="AN22" i="1" s="1"/>
  <c r="D5" i="8" s="1"/>
  <c r="AC11" i="1"/>
  <c r="N10" i="1"/>
  <c r="N11" i="1" s="1"/>
  <c r="W9" i="1"/>
  <c r="AC43" i="5" l="1"/>
  <c r="AA28" i="6"/>
  <c r="F49" i="5"/>
  <c r="F51" i="5" s="1"/>
  <c r="AC13" i="5"/>
  <c r="F48" i="3"/>
  <c r="AC30" i="5"/>
  <c r="F49" i="3"/>
  <c r="F50" i="3" s="1"/>
  <c r="AC13" i="3"/>
  <c r="B49" i="5"/>
  <c r="B35" i="5" s="1"/>
  <c r="AC46" i="5"/>
  <c r="AB47" i="5"/>
  <c r="F50" i="1"/>
  <c r="F51" i="1"/>
  <c r="F50" i="5"/>
  <c r="J32" i="5" s="1"/>
  <c r="V9" i="5" s="1"/>
  <c r="AA28" i="2"/>
  <c r="AC56" i="3"/>
  <c r="AH43" i="3"/>
  <c r="AC45" i="5"/>
  <c r="AA45" i="2"/>
  <c r="B46" i="6"/>
  <c r="AC8" i="1"/>
  <c r="AE42" i="2"/>
  <c r="AF42" i="2" s="1"/>
  <c r="AB57" i="5"/>
  <c r="AC57" i="5" s="1"/>
  <c r="AE27" i="6"/>
  <c r="AE26" i="6" s="1"/>
  <c r="AE25" i="6" s="1"/>
  <c r="B46" i="2"/>
  <c r="AB46" i="3"/>
  <c r="AH45" i="1"/>
  <c r="AH28" i="5"/>
  <c r="J37" i="3"/>
  <c r="S9" i="3" s="1"/>
  <c r="B51" i="5"/>
  <c r="U10" i="3"/>
  <c r="B51" i="3"/>
  <c r="AE26" i="2"/>
  <c r="AF27" i="2"/>
  <c r="AC27" i="5"/>
  <c r="AB26" i="5"/>
  <c r="AC26" i="5" s="1"/>
  <c r="AA26" i="6"/>
  <c r="Z25" i="6"/>
  <c r="AA25" i="4"/>
  <c r="Z24" i="4"/>
  <c r="AA24" i="4" s="1"/>
  <c r="AG26" i="5"/>
  <c r="AH27" i="5"/>
  <c r="AF26" i="6"/>
  <c r="AH46" i="3"/>
  <c r="AG47" i="3"/>
  <c r="AG48" i="3" s="1"/>
  <c r="W10" i="1"/>
  <c r="AG42" i="1"/>
  <c r="AF28" i="2"/>
  <c r="AC28" i="3"/>
  <c r="AB42" i="3"/>
  <c r="AA26" i="4"/>
  <c r="AE31" i="4"/>
  <c r="Z41" i="4"/>
  <c r="U10" i="5"/>
  <c r="AH31" i="5"/>
  <c r="AH45" i="5"/>
  <c r="AB57" i="1"/>
  <c r="AG31" i="3"/>
  <c r="AH31" i="3" s="1"/>
  <c r="AH45" i="3"/>
  <c r="AH47" i="5"/>
  <c r="Z31" i="6"/>
  <c r="Z32" i="6" s="1"/>
  <c r="Z31" i="2"/>
  <c r="Z32" i="2" s="1"/>
  <c r="AB41" i="5"/>
  <c r="AH47" i="1"/>
  <c r="AC28" i="5"/>
  <c r="AH48" i="5"/>
  <c r="AF43" i="6"/>
  <c r="B46" i="4"/>
  <c r="J37" i="5"/>
  <c r="S11" i="5" s="1"/>
  <c r="AH46" i="5"/>
  <c r="AA27" i="6"/>
  <c r="AB42" i="1"/>
  <c r="AB61" i="3"/>
  <c r="AB62" i="3" s="1"/>
  <c r="AE27" i="4"/>
  <c r="AF27" i="4" s="1"/>
  <c r="J31" i="6"/>
  <c r="R11" i="6" s="1"/>
  <c r="J31" i="4"/>
  <c r="R9" i="4" s="1"/>
  <c r="J37" i="1"/>
  <c r="S9" i="1" s="1"/>
  <c r="N12" i="1"/>
  <c r="Q11" i="1"/>
  <c r="W11" i="1"/>
  <c r="R11" i="1"/>
  <c r="U11" i="1"/>
  <c r="AH27" i="1"/>
  <c r="AG26" i="1"/>
  <c r="AB47" i="1"/>
  <c r="AC46" i="1"/>
  <c r="AH31" i="1"/>
  <c r="AG32" i="1"/>
  <c r="R9" i="1"/>
  <c r="R10" i="1"/>
  <c r="AA26" i="2"/>
  <c r="Z25" i="2"/>
  <c r="AC31" i="1"/>
  <c r="AB32" i="1"/>
  <c r="B47" i="1"/>
  <c r="AH28" i="1"/>
  <c r="AH30" i="1"/>
  <c r="AC45" i="1"/>
  <c r="B35" i="2"/>
  <c r="B33" i="2"/>
  <c r="AH26" i="3"/>
  <c r="AG25" i="3"/>
  <c r="T11" i="2"/>
  <c r="F38" i="3"/>
  <c r="F41" i="3" s="1"/>
  <c r="Q9" i="3" s="1"/>
  <c r="AC8" i="3"/>
  <c r="AC46" i="3"/>
  <c r="AB47" i="3"/>
  <c r="U10" i="1"/>
  <c r="AB27" i="1"/>
  <c r="AC30" i="1"/>
  <c r="AA27" i="2"/>
  <c r="AA31" i="2"/>
  <c r="AA46" i="2"/>
  <c r="AH27" i="3"/>
  <c r="AC61" i="3"/>
  <c r="AC47" i="5"/>
  <c r="AB48" i="5"/>
  <c r="AB31" i="3"/>
  <c r="AC30" i="3"/>
  <c r="Q10" i="1"/>
  <c r="B49" i="1"/>
  <c r="AH46" i="1"/>
  <c r="AB63" i="1"/>
  <c r="N12" i="2"/>
  <c r="J31" i="2"/>
  <c r="Z48" i="2"/>
  <c r="AC42" i="3"/>
  <c r="AB41" i="3"/>
  <c r="AA31" i="4"/>
  <c r="Z32" i="4"/>
  <c r="R11" i="5"/>
  <c r="R9" i="5"/>
  <c r="N11" i="4"/>
  <c r="Q10" i="4"/>
  <c r="B33" i="5"/>
  <c r="AF42" i="6"/>
  <c r="AE41" i="6"/>
  <c r="AE46" i="2"/>
  <c r="AF45" i="2"/>
  <c r="W10" i="3"/>
  <c r="R10" i="3"/>
  <c r="N11" i="3"/>
  <c r="AC27" i="3"/>
  <c r="AB26" i="3"/>
  <c r="AE42" i="4"/>
  <c r="AF43" i="4"/>
  <c r="AB32" i="5"/>
  <c r="AC31" i="5"/>
  <c r="F38" i="5"/>
  <c r="F41" i="5" s="1"/>
  <c r="Q11" i="5" s="1"/>
  <c r="AC41" i="5"/>
  <c r="AB40" i="5"/>
  <c r="B35" i="6"/>
  <c r="B33" i="6"/>
  <c r="B45" i="6" s="1"/>
  <c r="B47" i="6" s="1"/>
  <c r="AC60" i="1"/>
  <c r="AE31" i="2"/>
  <c r="F37" i="2"/>
  <c r="F38" i="2" s="1"/>
  <c r="Q11" i="2" s="1"/>
  <c r="Z39" i="2"/>
  <c r="AA39" i="2" s="1"/>
  <c r="AG32" i="3"/>
  <c r="AG41" i="3"/>
  <c r="B49" i="3"/>
  <c r="B33" i="3" s="1"/>
  <c r="B50" i="3" s="1"/>
  <c r="AC57" i="3"/>
  <c r="T10" i="4"/>
  <c r="AE46" i="4"/>
  <c r="AB61" i="5"/>
  <c r="AC60" i="5"/>
  <c r="T10" i="2"/>
  <c r="AA41" i="2"/>
  <c r="AA42" i="2"/>
  <c r="AG33" i="5"/>
  <c r="AH32" i="5"/>
  <c r="AA43" i="2"/>
  <c r="AA44" i="2"/>
  <c r="B33" i="4"/>
  <c r="B45" i="4" s="1"/>
  <c r="Z46" i="4"/>
  <c r="AA45" i="4"/>
  <c r="N12" i="5"/>
  <c r="U11" i="5"/>
  <c r="AH43" i="5"/>
  <c r="AG42" i="5"/>
  <c r="F37" i="6"/>
  <c r="F38" i="6" s="1"/>
  <c r="AA8" i="6"/>
  <c r="R10" i="5"/>
  <c r="W10" i="5"/>
  <c r="N12" i="6"/>
  <c r="T10" i="6"/>
  <c r="AE31" i="6"/>
  <c r="AF30" i="6"/>
  <c r="Z42" i="6"/>
  <c r="AA43" i="6"/>
  <c r="Z46" i="6"/>
  <c r="AA45" i="6"/>
  <c r="AE47" i="6"/>
  <c r="AF46" i="6"/>
  <c r="AE41" i="2" l="1"/>
  <c r="F51" i="3"/>
  <c r="AB25" i="5"/>
  <c r="AA31" i="6"/>
  <c r="AB56" i="5"/>
  <c r="J32" i="1"/>
  <c r="V9" i="1" s="1"/>
  <c r="V10" i="5"/>
  <c r="AE26" i="4"/>
  <c r="AH47" i="3"/>
  <c r="J32" i="3"/>
  <c r="V9" i="3" s="1"/>
  <c r="V11" i="5"/>
  <c r="AF27" i="6"/>
  <c r="B45" i="2"/>
  <c r="B47" i="2" s="1"/>
  <c r="S10" i="3"/>
  <c r="B52" i="3"/>
  <c r="AC10" i="3" s="1"/>
  <c r="S9" i="5"/>
  <c r="Q10" i="3"/>
  <c r="AH42" i="1"/>
  <c r="AG41" i="1"/>
  <c r="B47" i="4"/>
  <c r="AA9" i="4" s="1"/>
  <c r="S10" i="1"/>
  <c r="S11" i="1"/>
  <c r="Z40" i="4"/>
  <c r="AA41" i="4"/>
  <c r="Z24" i="6"/>
  <c r="AA24" i="6" s="1"/>
  <c r="AA25" i="6"/>
  <c r="AE32" i="4"/>
  <c r="AF31" i="4"/>
  <c r="AC56" i="5"/>
  <c r="AB55" i="5"/>
  <c r="AB54" i="5" s="1"/>
  <c r="AC57" i="1"/>
  <c r="AB56" i="1"/>
  <c r="AE24" i="6"/>
  <c r="AF24" i="6" s="1"/>
  <c r="AF25" i="6"/>
  <c r="AC42" i="1"/>
  <c r="AB41" i="1"/>
  <c r="S10" i="5"/>
  <c r="AG25" i="5"/>
  <c r="AH26" i="5"/>
  <c r="AF26" i="2"/>
  <c r="AE25" i="2"/>
  <c r="R9" i="6"/>
  <c r="R10" i="6"/>
  <c r="R10" i="4"/>
  <c r="AA9" i="2"/>
  <c r="F31" i="2"/>
  <c r="O8" i="2" s="1"/>
  <c r="F31" i="4"/>
  <c r="O8" i="4" s="1"/>
  <c r="AF47" i="6"/>
  <c r="AE48" i="6"/>
  <c r="Z41" i="6"/>
  <c r="AA42" i="6"/>
  <c r="AA9" i="6"/>
  <c r="F31" i="6"/>
  <c r="O8" i="6" s="1"/>
  <c r="AH48" i="3"/>
  <c r="AG49" i="3"/>
  <c r="AH49" i="3" s="1"/>
  <c r="Q10" i="6"/>
  <c r="Q9" i="6"/>
  <c r="S12" i="5"/>
  <c r="W12" i="5"/>
  <c r="R12" i="5"/>
  <c r="U12" i="5"/>
  <c r="N13" i="5"/>
  <c r="Q12" i="5"/>
  <c r="V12" i="5"/>
  <c r="AC40" i="5"/>
  <c r="AB39" i="5"/>
  <c r="AC39" i="5" s="1"/>
  <c r="AC32" i="5"/>
  <c r="AB33" i="5"/>
  <c r="AC26" i="3"/>
  <c r="AB25" i="3"/>
  <c r="U11" i="3"/>
  <c r="S11" i="3"/>
  <c r="W11" i="3"/>
  <c r="R11" i="3"/>
  <c r="N12" i="3"/>
  <c r="Q11" i="3"/>
  <c r="AE47" i="2"/>
  <c r="AF46" i="2"/>
  <c r="B50" i="5"/>
  <c r="B52" i="5" s="1"/>
  <c r="AC41" i="3"/>
  <c r="AB40" i="3"/>
  <c r="AB39" i="3" s="1"/>
  <c r="R9" i="2"/>
  <c r="R10" i="2"/>
  <c r="AF26" i="4"/>
  <c r="AE25" i="4"/>
  <c r="AB63" i="3"/>
  <c r="AC62" i="3"/>
  <c r="Z33" i="2"/>
  <c r="AA32" i="2"/>
  <c r="AC27" i="1"/>
  <c r="AB26" i="1"/>
  <c r="AB33" i="1"/>
  <c r="AC32" i="1"/>
  <c r="AB48" i="1"/>
  <c r="AC47" i="1"/>
  <c r="R12" i="6"/>
  <c r="N13" i="6"/>
  <c r="Q12" i="6"/>
  <c r="T12" i="6"/>
  <c r="AE32" i="2"/>
  <c r="AF31" i="2"/>
  <c r="AE40" i="2"/>
  <c r="AF41" i="2"/>
  <c r="AH25" i="3"/>
  <c r="AG24" i="3"/>
  <c r="AH24" i="3" s="1"/>
  <c r="Z33" i="6"/>
  <c r="AA32" i="6"/>
  <c r="Z47" i="6"/>
  <c r="AA46" i="6"/>
  <c r="AE32" i="6"/>
  <c r="AF31" i="6"/>
  <c r="AG41" i="5"/>
  <c r="AH42" i="5"/>
  <c r="AB62" i="5"/>
  <c r="AC61" i="5"/>
  <c r="AE47" i="4"/>
  <c r="AF46" i="4"/>
  <c r="AG40" i="3"/>
  <c r="AH41" i="3"/>
  <c r="AF41" i="6"/>
  <c r="AE40" i="6"/>
  <c r="T11" i="4"/>
  <c r="N12" i="4"/>
  <c r="R11" i="4"/>
  <c r="Q11" i="4"/>
  <c r="R12" i="2"/>
  <c r="N13" i="2"/>
  <c r="Q12" i="2"/>
  <c r="T12" i="2"/>
  <c r="AC48" i="5"/>
  <c r="AB49" i="5"/>
  <c r="AC49" i="5" s="1"/>
  <c r="AC47" i="3"/>
  <c r="AB48" i="3"/>
  <c r="R11" i="2"/>
  <c r="AH26" i="1"/>
  <c r="AG25" i="1"/>
  <c r="N13" i="1"/>
  <c r="Q12" i="1"/>
  <c r="R12" i="1"/>
  <c r="U12" i="1"/>
  <c r="S12" i="1"/>
  <c r="W12" i="1"/>
  <c r="AH32" i="3"/>
  <c r="AG33" i="3"/>
  <c r="AA48" i="2"/>
  <c r="Z49" i="2"/>
  <c r="AA49" i="2" s="1"/>
  <c r="AC31" i="3"/>
  <c r="AB32" i="3"/>
  <c r="Q11" i="6"/>
  <c r="Z47" i="4"/>
  <c r="AA46" i="4"/>
  <c r="AG34" i="5"/>
  <c r="AH34" i="5" s="1"/>
  <c r="AH33" i="5"/>
  <c r="AC25" i="5"/>
  <c r="AB24" i="5"/>
  <c r="AC24" i="5" s="1"/>
  <c r="Q9" i="2"/>
  <c r="Q10" i="2"/>
  <c r="Q9" i="5"/>
  <c r="Q10" i="5"/>
  <c r="AE41" i="4"/>
  <c r="AF42" i="4"/>
  <c r="Z33" i="4"/>
  <c r="AA32" i="4"/>
  <c r="AC63" i="1"/>
  <c r="AB64" i="1"/>
  <c r="AC64" i="1" s="1"/>
  <c r="B33" i="1"/>
  <c r="B35" i="1"/>
  <c r="Z24" i="2"/>
  <c r="AA24" i="2" s="1"/>
  <c r="AA25" i="2"/>
  <c r="AG33" i="1"/>
  <c r="AH32" i="1"/>
  <c r="V12" i="1" l="1"/>
  <c r="V11" i="1"/>
  <c r="V10" i="1"/>
  <c r="V11" i="3"/>
  <c r="V10" i="3"/>
  <c r="F31" i="3"/>
  <c r="O8" i="3" s="1"/>
  <c r="O49" i="3" s="1"/>
  <c r="F32" i="4"/>
  <c r="F33" i="4" s="1"/>
  <c r="P12" i="4" s="1"/>
  <c r="F32" i="2"/>
  <c r="F33" i="2" s="1"/>
  <c r="P11" i="2" s="1"/>
  <c r="U11" i="2" s="1"/>
  <c r="AE24" i="2"/>
  <c r="AF24" i="2" s="1"/>
  <c r="AF25" i="2"/>
  <c r="B48" i="1"/>
  <c r="B50" i="1" s="1"/>
  <c r="B52" i="1" s="1"/>
  <c r="AC56" i="1"/>
  <c r="AB55" i="1"/>
  <c r="Z39" i="4"/>
  <c r="AA39" i="4" s="1"/>
  <c r="AA40" i="4"/>
  <c r="AH25" i="5"/>
  <c r="AG24" i="5"/>
  <c r="AH24" i="5" s="1"/>
  <c r="AB40" i="1"/>
  <c r="AC41" i="1"/>
  <c r="AC54" i="5"/>
  <c r="AC55" i="5"/>
  <c r="AE33" i="4"/>
  <c r="AF32" i="4"/>
  <c r="AH41" i="1"/>
  <c r="AG40" i="1"/>
  <c r="AH33" i="1"/>
  <c r="AG34" i="1"/>
  <c r="AH34" i="1" s="1"/>
  <c r="AB33" i="3"/>
  <c r="AC32" i="3"/>
  <c r="AG34" i="3"/>
  <c r="AH34" i="3" s="1"/>
  <c r="AH33" i="3"/>
  <c r="AF40" i="6"/>
  <c r="AE39" i="6"/>
  <c r="AF39" i="6" s="1"/>
  <c r="AF32" i="6"/>
  <c r="AE33" i="6"/>
  <c r="Z34" i="6"/>
  <c r="AA34" i="6" s="1"/>
  <c r="AA33" i="6"/>
  <c r="AE39" i="2"/>
  <c r="AF39" i="2" s="1"/>
  <c r="AF40" i="2"/>
  <c r="AE33" i="2"/>
  <c r="AF32" i="2"/>
  <c r="T13" i="6"/>
  <c r="Q13" i="6"/>
  <c r="N14" i="6"/>
  <c r="R13" i="6"/>
  <c r="AB64" i="3"/>
  <c r="AC64" i="3" s="1"/>
  <c r="AC63" i="3"/>
  <c r="F31" i="5"/>
  <c r="O8" i="5" s="1"/>
  <c r="AC10" i="5"/>
  <c r="W12" i="3"/>
  <c r="R12" i="3"/>
  <c r="N13" i="3"/>
  <c r="V12" i="3"/>
  <c r="Q12" i="3"/>
  <c r="S12" i="3"/>
  <c r="U12" i="3"/>
  <c r="U8" i="6"/>
  <c r="O49" i="6"/>
  <c r="Z40" i="6"/>
  <c r="Z39" i="6" s="1"/>
  <c r="AA41" i="6"/>
  <c r="Z48" i="4"/>
  <c r="AA47" i="4"/>
  <c r="S13" i="1"/>
  <c r="Q13" i="1"/>
  <c r="U13" i="1"/>
  <c r="W13" i="1"/>
  <c r="R13" i="1"/>
  <c r="V13" i="1"/>
  <c r="N14" i="1"/>
  <c r="T13" i="2"/>
  <c r="N14" i="2"/>
  <c r="R13" i="2"/>
  <c r="Q13" i="2"/>
  <c r="AF47" i="4"/>
  <c r="AE48" i="4"/>
  <c r="AB34" i="5"/>
  <c r="AC34" i="5" s="1"/>
  <c r="AC33" i="5"/>
  <c r="AF48" i="6"/>
  <c r="AE49" i="6"/>
  <c r="AF49" i="6" s="1"/>
  <c r="AE40" i="4"/>
  <c r="AF41" i="4"/>
  <c r="AG39" i="3"/>
  <c r="AH39" i="3" s="1"/>
  <c r="AH40" i="3"/>
  <c r="AC62" i="5"/>
  <c r="AB63" i="5"/>
  <c r="AB49" i="1"/>
  <c r="AC49" i="1" s="1"/>
  <c r="AC48" i="1"/>
  <c r="AC26" i="1"/>
  <c r="AB25" i="1"/>
  <c r="AC25" i="3"/>
  <c r="AB24" i="3"/>
  <c r="AC24" i="3" s="1"/>
  <c r="V13" i="5"/>
  <c r="Q13" i="5"/>
  <c r="N14" i="5"/>
  <c r="U13" i="5"/>
  <c r="R13" i="5"/>
  <c r="W13" i="5"/>
  <c r="S13" i="5"/>
  <c r="Z34" i="4"/>
  <c r="AA34" i="4" s="1"/>
  <c r="AA33" i="4"/>
  <c r="AG40" i="5"/>
  <c r="AH41" i="5"/>
  <c r="AC33" i="1"/>
  <c r="AB34" i="1"/>
  <c r="AC34" i="1" s="1"/>
  <c r="AF25" i="4"/>
  <c r="AE24" i="4"/>
  <c r="AF24" i="4" s="1"/>
  <c r="AC40" i="3"/>
  <c r="AC39" i="3"/>
  <c r="AG24" i="1"/>
  <c r="AH24" i="1" s="1"/>
  <c r="AH25" i="1"/>
  <c r="AC48" i="3"/>
  <c r="AB49" i="3"/>
  <c r="AC49" i="3" s="1"/>
  <c r="T12" i="4"/>
  <c r="R12" i="4"/>
  <c r="Q12" i="4"/>
  <c r="N13" i="4"/>
  <c r="AA47" i="6"/>
  <c r="Z48" i="6"/>
  <c r="Z34" i="2"/>
  <c r="AA34" i="2" s="1"/>
  <c r="AA33" i="2"/>
  <c r="AE48" i="2"/>
  <c r="AF47" i="2"/>
  <c r="F32" i="6"/>
  <c r="O49" i="4"/>
  <c r="U8" i="4"/>
  <c r="O49" i="2"/>
  <c r="U8" i="2"/>
  <c r="X8" i="3" l="1"/>
  <c r="F32" i="3"/>
  <c r="F33" i="3" s="1"/>
  <c r="P11" i="3" s="1"/>
  <c r="X11" i="3" s="1"/>
  <c r="F32" i="5"/>
  <c r="F33" i="5" s="1"/>
  <c r="P12" i="2"/>
  <c r="U12" i="2" s="1"/>
  <c r="P10" i="2"/>
  <c r="U10" i="2" s="1"/>
  <c r="AC10" i="1"/>
  <c r="AE34" i="4"/>
  <c r="AF34" i="4" s="1"/>
  <c r="AF33" i="4"/>
  <c r="AB54" i="1"/>
  <c r="AC54" i="1" s="1"/>
  <c r="AC55" i="1"/>
  <c r="AB39" i="1"/>
  <c r="AC39" i="1" s="1"/>
  <c r="AC40" i="1"/>
  <c r="P11" i="4"/>
  <c r="U11" i="4" s="1"/>
  <c r="P9" i="4"/>
  <c r="U9" i="4" s="1"/>
  <c r="AH40" i="1"/>
  <c r="AG39" i="1"/>
  <c r="AH39" i="1" s="1"/>
  <c r="U12" i="4"/>
  <c r="P9" i="2"/>
  <c r="U9" i="2" s="1"/>
  <c r="AA48" i="6"/>
  <c r="Z49" i="6"/>
  <c r="AA49" i="6" s="1"/>
  <c r="R14" i="2"/>
  <c r="N15" i="2"/>
  <c r="Q14" i="2"/>
  <c r="P14" i="2"/>
  <c r="T14" i="2"/>
  <c r="Z49" i="4"/>
  <c r="AA49" i="4" s="1"/>
  <c r="AA48" i="4"/>
  <c r="AC33" i="3"/>
  <c r="AB34" i="3"/>
  <c r="AC34" i="3" s="1"/>
  <c r="F33" i="6"/>
  <c r="P11" i="6" s="1"/>
  <c r="U11" i="6" s="1"/>
  <c r="AG39" i="5"/>
  <c r="AH39" i="5" s="1"/>
  <c r="AH40" i="5"/>
  <c r="AC25" i="1"/>
  <c r="AB24" i="1"/>
  <c r="AC24" i="1" s="1"/>
  <c r="AC63" i="5"/>
  <c r="AB64" i="5"/>
  <c r="AC64" i="5" s="1"/>
  <c r="P13" i="2"/>
  <c r="U13" i="2" s="1"/>
  <c r="P10" i="4"/>
  <c r="U10" i="4" s="1"/>
  <c r="AA40" i="6"/>
  <c r="AA39" i="6"/>
  <c r="O49" i="5"/>
  <c r="X8" i="5"/>
  <c r="F31" i="1"/>
  <c r="O8" i="1" s="1"/>
  <c r="N15" i="5"/>
  <c r="U14" i="5"/>
  <c r="P14" i="5"/>
  <c r="S14" i="5"/>
  <c r="Q14" i="5"/>
  <c r="W14" i="5"/>
  <c r="R14" i="5"/>
  <c r="V14" i="5"/>
  <c r="AF40" i="4"/>
  <c r="AE39" i="4"/>
  <c r="AF39" i="4" s="1"/>
  <c r="R14" i="6"/>
  <c r="N15" i="6"/>
  <c r="Q14" i="6"/>
  <c r="T14" i="6"/>
  <c r="P14" i="6"/>
  <c r="AE49" i="2"/>
  <c r="AF49" i="2" s="1"/>
  <c r="AF48" i="2"/>
  <c r="AF48" i="4"/>
  <c r="AE49" i="4"/>
  <c r="AF49" i="4" s="1"/>
  <c r="W14" i="1"/>
  <c r="R14" i="1"/>
  <c r="U14" i="1"/>
  <c r="S14" i="1"/>
  <c r="V14" i="1"/>
  <c r="Q14" i="1"/>
  <c r="P14" i="1"/>
  <c r="N15" i="1"/>
  <c r="AE34" i="2"/>
  <c r="AF34" i="2" s="1"/>
  <c r="AF33" i="2"/>
  <c r="R13" i="4"/>
  <c r="N14" i="4"/>
  <c r="Q13" i="4"/>
  <c r="T13" i="4"/>
  <c r="P13" i="4"/>
  <c r="P12" i="3"/>
  <c r="X12" i="3" s="1"/>
  <c r="N14" i="3"/>
  <c r="U13" i="3"/>
  <c r="S13" i="3"/>
  <c r="Q13" i="3"/>
  <c r="W13" i="3"/>
  <c r="V13" i="3"/>
  <c r="R13" i="3"/>
  <c r="AE34" i="6"/>
  <c r="AF34" i="6" s="1"/>
  <c r="AF33" i="6"/>
  <c r="P10" i="3" l="1"/>
  <c r="X10" i="3" s="1"/>
  <c r="P9" i="3"/>
  <c r="X9" i="3" s="1"/>
  <c r="P13" i="3"/>
  <c r="X13" i="3" s="1"/>
  <c r="P13" i="5"/>
  <c r="X13" i="5" s="1"/>
  <c r="P9" i="5"/>
  <c r="X9" i="5" s="1"/>
  <c r="P12" i="5"/>
  <c r="X12" i="5" s="1"/>
  <c r="P12" i="6"/>
  <c r="U12" i="6" s="1"/>
  <c r="U14" i="2"/>
  <c r="P9" i="6"/>
  <c r="U9" i="6" s="1"/>
  <c r="U13" i="4"/>
  <c r="X14" i="1"/>
  <c r="P13" i="6"/>
  <c r="U13" i="6" s="1"/>
  <c r="P11" i="5"/>
  <c r="X11" i="5" s="1"/>
  <c r="P10" i="5"/>
  <c r="X10" i="5" s="1"/>
  <c r="X14" i="5"/>
  <c r="O49" i="1"/>
  <c r="X8" i="1"/>
  <c r="P15" i="6"/>
  <c r="T15" i="6"/>
  <c r="N16" i="6"/>
  <c r="R15" i="6"/>
  <c r="Q15" i="6"/>
  <c r="S14" i="3"/>
  <c r="W14" i="3"/>
  <c r="R14" i="3"/>
  <c r="N15" i="3"/>
  <c r="P14" i="3"/>
  <c r="V14" i="3"/>
  <c r="U14" i="3"/>
  <c r="Q14" i="3"/>
  <c r="P14" i="4"/>
  <c r="T14" i="4"/>
  <c r="N15" i="4"/>
  <c r="R14" i="4"/>
  <c r="Q14" i="4"/>
  <c r="V15" i="1"/>
  <c r="Q15" i="1"/>
  <c r="R15" i="1"/>
  <c r="N16" i="1"/>
  <c r="U15" i="1"/>
  <c r="P15" i="1"/>
  <c r="S15" i="1"/>
  <c r="W15" i="1"/>
  <c r="U14" i="6"/>
  <c r="S15" i="5"/>
  <c r="W15" i="5"/>
  <c r="R15" i="5"/>
  <c r="N16" i="5"/>
  <c r="P15" i="5"/>
  <c r="V15" i="5"/>
  <c r="U15" i="5"/>
  <c r="Q15" i="5"/>
  <c r="P10" i="6"/>
  <c r="U10" i="6" s="1"/>
  <c r="P15" i="2"/>
  <c r="T15" i="2"/>
  <c r="R15" i="2"/>
  <c r="Q15" i="2"/>
  <c r="N16" i="2"/>
  <c r="F32" i="1"/>
  <c r="U15" i="2" l="1"/>
  <c r="N17" i="1"/>
  <c r="U16" i="1"/>
  <c r="P16" i="1"/>
  <c r="V16" i="1"/>
  <c r="S16" i="1"/>
  <c r="R16" i="1"/>
  <c r="W16" i="1"/>
  <c r="Q16" i="1"/>
  <c r="U14" i="4"/>
  <c r="X14" i="3"/>
  <c r="R16" i="6"/>
  <c r="N17" i="6"/>
  <c r="Q16" i="6"/>
  <c r="P16" i="6"/>
  <c r="T16" i="6"/>
  <c r="F33" i="1"/>
  <c r="P11" i="1" s="1"/>
  <c r="X11" i="1" s="1"/>
  <c r="X15" i="5"/>
  <c r="W15" i="3"/>
  <c r="R15" i="3"/>
  <c r="V15" i="3"/>
  <c r="Q15" i="3"/>
  <c r="U15" i="3"/>
  <c r="N16" i="3"/>
  <c r="P15" i="3"/>
  <c r="S15" i="3"/>
  <c r="W16" i="5"/>
  <c r="R16" i="5"/>
  <c r="V16" i="5"/>
  <c r="Q16" i="5"/>
  <c r="U16" i="5"/>
  <c r="P16" i="5"/>
  <c r="N17" i="5"/>
  <c r="S16" i="5"/>
  <c r="X15" i="1"/>
  <c r="R15" i="4"/>
  <c r="N16" i="4"/>
  <c r="Q15" i="4"/>
  <c r="P15" i="4"/>
  <c r="T15" i="4"/>
  <c r="U15" i="6"/>
  <c r="R16" i="2"/>
  <c r="N17" i="2"/>
  <c r="Q16" i="2"/>
  <c r="T16" i="2"/>
  <c r="P16" i="2"/>
  <c r="P13" i="1" l="1"/>
  <c r="X13" i="1" s="1"/>
  <c r="U16" i="2"/>
  <c r="P12" i="1"/>
  <c r="X12" i="1" s="1"/>
  <c r="P10" i="1"/>
  <c r="X10" i="1" s="1"/>
  <c r="P9" i="1"/>
  <c r="X9" i="1" s="1"/>
  <c r="P17" i="2"/>
  <c r="T17" i="2"/>
  <c r="N18" i="2"/>
  <c r="Q17" i="2"/>
  <c r="R17" i="2"/>
  <c r="P16" i="4"/>
  <c r="T16" i="4"/>
  <c r="R16" i="4"/>
  <c r="Q16" i="4"/>
  <c r="N17" i="4"/>
  <c r="V17" i="5"/>
  <c r="Q17" i="5"/>
  <c r="N18" i="5"/>
  <c r="U17" i="5"/>
  <c r="P17" i="5"/>
  <c r="W17" i="5"/>
  <c r="S17" i="5"/>
  <c r="R17" i="5"/>
  <c r="V16" i="3"/>
  <c r="Q16" i="3"/>
  <c r="N17" i="3"/>
  <c r="U16" i="3"/>
  <c r="P16" i="3"/>
  <c r="W16" i="3"/>
  <c r="S16" i="3"/>
  <c r="R16" i="3"/>
  <c r="X16" i="1"/>
  <c r="X16" i="5"/>
  <c r="U16" i="6"/>
  <c r="U15" i="4"/>
  <c r="S17" i="1"/>
  <c r="Q17" i="1"/>
  <c r="U17" i="1"/>
  <c r="W17" i="1"/>
  <c r="R17" i="1"/>
  <c r="V17" i="1"/>
  <c r="N18" i="1"/>
  <c r="P17" i="1"/>
  <c r="X15" i="3"/>
  <c r="P17" i="6"/>
  <c r="T17" i="6"/>
  <c r="Q17" i="6"/>
  <c r="N18" i="6"/>
  <c r="R17" i="6"/>
  <c r="U17" i="6" l="1"/>
  <c r="X17" i="5"/>
  <c r="R18" i="2"/>
  <c r="N19" i="2"/>
  <c r="Q18" i="2"/>
  <c r="P18" i="2"/>
  <c r="T18" i="2"/>
  <c r="U16" i="4"/>
  <c r="X17" i="1"/>
  <c r="N18" i="3"/>
  <c r="U17" i="3"/>
  <c r="P17" i="3"/>
  <c r="S17" i="3"/>
  <c r="V17" i="3"/>
  <c r="R17" i="3"/>
  <c r="W17" i="3"/>
  <c r="Q17" i="3"/>
  <c r="N19" i="5"/>
  <c r="U18" i="5"/>
  <c r="P18" i="5"/>
  <c r="S18" i="5"/>
  <c r="V18" i="5"/>
  <c r="R18" i="5"/>
  <c r="W18" i="5"/>
  <c r="Q18" i="5"/>
  <c r="U17" i="2"/>
  <c r="X16" i="3"/>
  <c r="R18" i="6"/>
  <c r="N19" i="6"/>
  <c r="Q18" i="6"/>
  <c r="T18" i="6"/>
  <c r="P18" i="6"/>
  <c r="R17" i="4"/>
  <c r="N18" i="4"/>
  <c r="Q17" i="4"/>
  <c r="T17" i="4"/>
  <c r="P17" i="4"/>
  <c r="W18" i="1"/>
  <c r="R18" i="1"/>
  <c r="N19" i="1"/>
  <c r="P18" i="1"/>
  <c r="S18" i="1"/>
  <c r="V18" i="1"/>
  <c r="Q18" i="1"/>
  <c r="U18" i="1"/>
  <c r="U18" i="2" l="1"/>
  <c r="U17" i="4"/>
  <c r="X18" i="1"/>
  <c r="N20" i="6"/>
  <c r="P19" i="6"/>
  <c r="T19" i="6"/>
  <c r="R19" i="6"/>
  <c r="Q19" i="6"/>
  <c r="X18" i="5"/>
  <c r="U18" i="6"/>
  <c r="P19" i="2"/>
  <c r="T19" i="2"/>
  <c r="R19" i="2"/>
  <c r="Q19" i="2"/>
  <c r="N20" i="2"/>
  <c r="V19" i="1"/>
  <c r="Q19" i="1"/>
  <c r="R19" i="1"/>
  <c r="N20" i="1"/>
  <c r="U19" i="1"/>
  <c r="P19" i="1"/>
  <c r="S19" i="1"/>
  <c r="W19" i="1"/>
  <c r="X17" i="3"/>
  <c r="P18" i="4"/>
  <c r="T18" i="4"/>
  <c r="N19" i="4"/>
  <c r="R18" i="4"/>
  <c r="Q18" i="4"/>
  <c r="S19" i="5"/>
  <c r="W19" i="5"/>
  <c r="R19" i="5"/>
  <c r="U19" i="5"/>
  <c r="Q19" i="5"/>
  <c r="V19" i="5"/>
  <c r="P19" i="5"/>
  <c r="N20" i="5"/>
  <c r="S18" i="3"/>
  <c r="W18" i="3"/>
  <c r="R18" i="3"/>
  <c r="U18" i="3"/>
  <c r="Q18" i="3"/>
  <c r="P18" i="3"/>
  <c r="V18" i="3"/>
  <c r="N19" i="3"/>
  <c r="W19" i="3" l="1"/>
  <c r="R19" i="3"/>
  <c r="V19" i="3"/>
  <c r="Q19" i="3"/>
  <c r="S19" i="3"/>
  <c r="N20" i="3"/>
  <c r="P19" i="3"/>
  <c r="U19" i="3"/>
  <c r="W20" i="5"/>
  <c r="R20" i="5"/>
  <c r="V20" i="5"/>
  <c r="Q20" i="5"/>
  <c r="S20" i="5"/>
  <c r="N21" i="5"/>
  <c r="P20" i="5"/>
  <c r="U20" i="5"/>
  <c r="U19" i="6"/>
  <c r="X19" i="5"/>
  <c r="R20" i="2"/>
  <c r="N21" i="2"/>
  <c r="Q20" i="2"/>
  <c r="T20" i="2"/>
  <c r="P20" i="2"/>
  <c r="U19" i="2"/>
  <c r="X18" i="3"/>
  <c r="U18" i="4"/>
  <c r="R19" i="4"/>
  <c r="N20" i="4"/>
  <c r="Q19" i="4"/>
  <c r="P19" i="4"/>
  <c r="T19" i="4"/>
  <c r="N21" i="1"/>
  <c r="U20" i="1"/>
  <c r="P20" i="1"/>
  <c r="R20" i="1"/>
  <c r="V20" i="1"/>
  <c r="S20" i="1"/>
  <c r="W20" i="1"/>
  <c r="Q20" i="1"/>
  <c r="T20" i="6"/>
  <c r="R20" i="6"/>
  <c r="N21" i="6"/>
  <c r="Q20" i="6"/>
  <c r="P20" i="6"/>
  <c r="X19" i="1"/>
  <c r="X20" i="5" l="1"/>
  <c r="X19" i="3"/>
  <c r="U20" i="6"/>
  <c r="P20" i="4"/>
  <c r="T20" i="4"/>
  <c r="R20" i="4"/>
  <c r="Q20" i="4"/>
  <c r="N21" i="4"/>
  <c r="V21" i="5"/>
  <c r="Q21" i="5"/>
  <c r="N22" i="5"/>
  <c r="U21" i="5"/>
  <c r="P21" i="5"/>
  <c r="R21" i="5"/>
  <c r="S21" i="5"/>
  <c r="W21" i="5"/>
  <c r="V20" i="3"/>
  <c r="Q20" i="3"/>
  <c r="N21" i="3"/>
  <c r="U20" i="3"/>
  <c r="P20" i="3"/>
  <c r="R20" i="3"/>
  <c r="W20" i="3"/>
  <c r="S20" i="3"/>
  <c r="U20" i="2"/>
  <c r="S21" i="1"/>
  <c r="Q21" i="1"/>
  <c r="N22" i="1"/>
  <c r="W21" i="1"/>
  <c r="R21" i="1"/>
  <c r="P21" i="1"/>
  <c r="V21" i="1"/>
  <c r="U21" i="1"/>
  <c r="P21" i="2"/>
  <c r="T21" i="2"/>
  <c r="N22" i="2"/>
  <c r="R21" i="2"/>
  <c r="Q21" i="2"/>
  <c r="N22" i="6"/>
  <c r="Q21" i="6"/>
  <c r="P21" i="6"/>
  <c r="T21" i="6"/>
  <c r="R21" i="6"/>
  <c r="X20" i="1"/>
  <c r="U19" i="4"/>
  <c r="X21" i="5" l="1"/>
  <c r="X20" i="3"/>
  <c r="U21" i="2"/>
  <c r="U21" i="6"/>
  <c r="R22" i="2"/>
  <c r="N23" i="2"/>
  <c r="Q22" i="2"/>
  <c r="P22" i="2"/>
  <c r="T22" i="2"/>
  <c r="W22" i="1"/>
  <c r="R22" i="1"/>
  <c r="N23" i="1"/>
  <c r="U22" i="1"/>
  <c r="V22" i="1"/>
  <c r="Q22" i="1"/>
  <c r="P22" i="1"/>
  <c r="S22" i="1"/>
  <c r="R21" i="4"/>
  <c r="N22" i="4"/>
  <c r="Q21" i="4"/>
  <c r="T21" i="4"/>
  <c r="P21" i="4"/>
  <c r="U20" i="4"/>
  <c r="T22" i="6"/>
  <c r="R22" i="6"/>
  <c r="N23" i="6"/>
  <c r="Q22" i="6"/>
  <c r="P22" i="6"/>
  <c r="X21" i="1"/>
  <c r="N22" i="3"/>
  <c r="U21" i="3"/>
  <c r="P21" i="3"/>
  <c r="S21" i="3"/>
  <c r="Q21" i="3"/>
  <c r="W21" i="3"/>
  <c r="V21" i="3"/>
  <c r="R21" i="3"/>
  <c r="N23" i="5"/>
  <c r="U22" i="5"/>
  <c r="P22" i="5"/>
  <c r="S22" i="5"/>
  <c r="Q22" i="5"/>
  <c r="W22" i="5"/>
  <c r="V22" i="5"/>
  <c r="R22" i="5"/>
  <c r="U21" i="4" l="1"/>
  <c r="S22" i="3"/>
  <c r="W22" i="3"/>
  <c r="R22" i="3"/>
  <c r="N23" i="3"/>
  <c r="P22" i="3"/>
  <c r="V22" i="3"/>
  <c r="Q22" i="3"/>
  <c r="U22" i="3"/>
  <c r="Q23" i="6"/>
  <c r="P23" i="6"/>
  <c r="N24" i="6"/>
  <c r="T23" i="6"/>
  <c r="R23" i="6"/>
  <c r="X22" i="5"/>
  <c r="X21" i="3"/>
  <c r="X22" i="1"/>
  <c r="V23" i="1"/>
  <c r="Q23" i="1"/>
  <c r="R23" i="1"/>
  <c r="U23" i="1"/>
  <c r="P23" i="1"/>
  <c r="S23" i="1"/>
  <c r="N24" i="1"/>
  <c r="W23" i="1"/>
  <c r="U22" i="2"/>
  <c r="S23" i="5"/>
  <c r="N24" i="5"/>
  <c r="W23" i="5"/>
  <c r="R23" i="5"/>
  <c r="P23" i="5"/>
  <c r="V23" i="5"/>
  <c r="Q23" i="5"/>
  <c r="U23" i="5"/>
  <c r="P23" i="2"/>
  <c r="N24" i="2"/>
  <c r="T23" i="2"/>
  <c r="R23" i="2"/>
  <c r="Q23" i="2"/>
  <c r="U22" i="6"/>
  <c r="P22" i="4"/>
  <c r="T22" i="4"/>
  <c r="N23" i="4"/>
  <c r="R22" i="4"/>
  <c r="Q22" i="4"/>
  <c r="U22" i="4" l="1"/>
  <c r="N25" i="1"/>
  <c r="W24" i="1"/>
  <c r="R24" i="1"/>
  <c r="P24" i="1"/>
  <c r="S24" i="1"/>
  <c r="V24" i="1"/>
  <c r="Q24" i="1"/>
  <c r="U24" i="1"/>
  <c r="Q24" i="6"/>
  <c r="P24" i="6"/>
  <c r="N25" i="6"/>
  <c r="T24" i="6"/>
  <c r="R24" i="6"/>
  <c r="U23" i="2"/>
  <c r="X23" i="5"/>
  <c r="U23" i="6"/>
  <c r="N24" i="3"/>
  <c r="W23" i="3"/>
  <c r="R23" i="3"/>
  <c r="V23" i="3"/>
  <c r="Q23" i="3"/>
  <c r="U23" i="3"/>
  <c r="S23" i="3"/>
  <c r="P23" i="3"/>
  <c r="P24" i="2"/>
  <c r="N25" i="2"/>
  <c r="T24" i="2"/>
  <c r="R24" i="2"/>
  <c r="Q24" i="2"/>
  <c r="U24" i="5"/>
  <c r="P24" i="5"/>
  <c r="S24" i="5"/>
  <c r="V24" i="5"/>
  <c r="R24" i="5"/>
  <c r="N25" i="5"/>
  <c r="W24" i="5"/>
  <c r="Q24" i="5"/>
  <c r="R23" i="4"/>
  <c r="Q23" i="4"/>
  <c r="P23" i="4"/>
  <c r="N24" i="4"/>
  <c r="T23" i="4"/>
  <c r="X23" i="1"/>
  <c r="X22" i="3"/>
  <c r="U23" i="4" l="1"/>
  <c r="X23" i="3"/>
  <c r="X24" i="5"/>
  <c r="P25" i="2"/>
  <c r="N26" i="2"/>
  <c r="T25" i="2"/>
  <c r="R25" i="2"/>
  <c r="Q25" i="2"/>
  <c r="U24" i="6"/>
  <c r="X24" i="1"/>
  <c r="V25" i="5"/>
  <c r="Q25" i="5"/>
  <c r="U25" i="5"/>
  <c r="P25" i="5"/>
  <c r="W25" i="5"/>
  <c r="S25" i="5"/>
  <c r="R25" i="5"/>
  <c r="N26" i="5"/>
  <c r="Q25" i="6"/>
  <c r="P25" i="6"/>
  <c r="N26" i="6"/>
  <c r="T25" i="6"/>
  <c r="R25" i="6"/>
  <c r="R24" i="4"/>
  <c r="Q24" i="4"/>
  <c r="N25" i="4"/>
  <c r="P24" i="4"/>
  <c r="T24" i="4"/>
  <c r="U24" i="2"/>
  <c r="S24" i="3"/>
  <c r="N25" i="3"/>
  <c r="W24" i="3"/>
  <c r="R24" i="3"/>
  <c r="U24" i="3"/>
  <c r="Q24" i="3"/>
  <c r="V24" i="3"/>
  <c r="P24" i="3"/>
  <c r="S25" i="1"/>
  <c r="N26" i="1"/>
  <c r="W25" i="1"/>
  <c r="R25" i="1"/>
  <c r="Q25" i="1"/>
  <c r="P25" i="1"/>
  <c r="V25" i="1"/>
  <c r="U25" i="1"/>
  <c r="X25" i="5" l="1"/>
  <c r="R25" i="4"/>
  <c r="Q25" i="4"/>
  <c r="T25" i="4"/>
  <c r="N26" i="4"/>
  <c r="P25" i="4"/>
  <c r="N27" i="5"/>
  <c r="W26" i="5"/>
  <c r="R26" i="5"/>
  <c r="V26" i="5"/>
  <c r="Q26" i="5"/>
  <c r="U26" i="5"/>
  <c r="S26" i="5"/>
  <c r="P26" i="5"/>
  <c r="X24" i="3"/>
  <c r="P26" i="2"/>
  <c r="N27" i="2"/>
  <c r="T26" i="2"/>
  <c r="R26" i="2"/>
  <c r="Q26" i="2"/>
  <c r="U25" i="6"/>
  <c r="U25" i="2"/>
  <c r="Q26" i="6"/>
  <c r="P26" i="6"/>
  <c r="N27" i="6"/>
  <c r="T26" i="6"/>
  <c r="R26" i="6"/>
  <c r="X25" i="1"/>
  <c r="U26" i="1"/>
  <c r="P26" i="1"/>
  <c r="Q26" i="1"/>
  <c r="S26" i="1"/>
  <c r="N27" i="1"/>
  <c r="W26" i="1"/>
  <c r="R26" i="1"/>
  <c r="V26" i="1"/>
  <c r="U25" i="3"/>
  <c r="P25" i="3"/>
  <c r="S25" i="3"/>
  <c r="R25" i="3"/>
  <c r="Q25" i="3"/>
  <c r="N26" i="3"/>
  <c r="V25" i="3"/>
  <c r="W25" i="3"/>
  <c r="U24" i="4"/>
  <c r="U26" i="6" l="1"/>
  <c r="V27" i="1"/>
  <c r="Q27" i="1"/>
  <c r="N28" i="1"/>
  <c r="R27" i="1"/>
  <c r="U27" i="1"/>
  <c r="P27" i="1"/>
  <c r="W27" i="1"/>
  <c r="S27" i="1"/>
  <c r="Q27" i="6"/>
  <c r="P27" i="6"/>
  <c r="N28" i="6"/>
  <c r="T27" i="6"/>
  <c r="R27" i="6"/>
  <c r="P27" i="2"/>
  <c r="N28" i="2"/>
  <c r="T27" i="2"/>
  <c r="R27" i="2"/>
  <c r="Q27" i="2"/>
  <c r="S27" i="5"/>
  <c r="N28" i="5"/>
  <c r="W27" i="5"/>
  <c r="R27" i="5"/>
  <c r="Q27" i="5"/>
  <c r="P27" i="5"/>
  <c r="V27" i="5"/>
  <c r="U27" i="5"/>
  <c r="R26" i="4"/>
  <c r="Q26" i="4"/>
  <c r="T26" i="4"/>
  <c r="N27" i="4"/>
  <c r="P26" i="4"/>
  <c r="U26" i="2"/>
  <c r="V26" i="3"/>
  <c r="Q26" i="3"/>
  <c r="U26" i="3"/>
  <c r="P26" i="3"/>
  <c r="S26" i="3"/>
  <c r="R26" i="3"/>
  <c r="W26" i="3"/>
  <c r="N27" i="3"/>
  <c r="X25" i="3"/>
  <c r="X26" i="1"/>
  <c r="X26" i="5"/>
  <c r="U25" i="4"/>
  <c r="X27" i="5" l="1"/>
  <c r="X26" i="3"/>
  <c r="Q28" i="6"/>
  <c r="P28" i="6"/>
  <c r="N29" i="6"/>
  <c r="T28" i="6"/>
  <c r="R28" i="6"/>
  <c r="R27" i="4"/>
  <c r="Q27" i="4"/>
  <c r="T27" i="4"/>
  <c r="N28" i="4"/>
  <c r="P27" i="4"/>
  <c r="U27" i="2"/>
  <c r="U27" i="6"/>
  <c r="X27" i="1"/>
  <c r="N28" i="3"/>
  <c r="W27" i="3"/>
  <c r="R27" i="3"/>
  <c r="V27" i="3"/>
  <c r="Q27" i="3"/>
  <c r="S27" i="3"/>
  <c r="P27" i="3"/>
  <c r="U27" i="3"/>
  <c r="U28" i="5"/>
  <c r="P28" i="5"/>
  <c r="S28" i="5"/>
  <c r="W28" i="5"/>
  <c r="N29" i="5"/>
  <c r="V28" i="5"/>
  <c r="R28" i="5"/>
  <c r="Q28" i="5"/>
  <c r="U26" i="4"/>
  <c r="P28" i="2"/>
  <c r="N29" i="2"/>
  <c r="T28" i="2"/>
  <c r="R28" i="2"/>
  <c r="Q28" i="2"/>
  <c r="N29" i="1"/>
  <c r="W28" i="1"/>
  <c r="R28" i="1"/>
  <c r="S28" i="1"/>
  <c r="V28" i="1"/>
  <c r="Q28" i="1"/>
  <c r="U28" i="1"/>
  <c r="P28" i="1"/>
  <c r="X27" i="3" l="1"/>
  <c r="P29" i="2"/>
  <c r="T29" i="2"/>
  <c r="R29" i="2"/>
  <c r="Q29" i="2"/>
  <c r="N30" i="2"/>
  <c r="X28" i="1"/>
  <c r="U28" i="2"/>
  <c r="N30" i="6"/>
  <c r="Q29" i="6"/>
  <c r="P29" i="6"/>
  <c r="T29" i="6"/>
  <c r="R29" i="6"/>
  <c r="V29" i="5"/>
  <c r="Q29" i="5"/>
  <c r="N30" i="5"/>
  <c r="U29" i="5"/>
  <c r="P29" i="5"/>
  <c r="R29" i="5"/>
  <c r="W29" i="5"/>
  <c r="S29" i="5"/>
  <c r="S28" i="3"/>
  <c r="N29" i="3"/>
  <c r="W28" i="3"/>
  <c r="R28" i="3"/>
  <c r="P28" i="3"/>
  <c r="V28" i="3"/>
  <c r="U28" i="3"/>
  <c r="Q28" i="3"/>
  <c r="U27" i="4"/>
  <c r="U28" i="6"/>
  <c r="S29" i="1"/>
  <c r="Q29" i="1"/>
  <c r="U29" i="1"/>
  <c r="P29" i="1"/>
  <c r="W29" i="1"/>
  <c r="R29" i="1"/>
  <c r="V29" i="1"/>
  <c r="N30" i="1"/>
  <c r="X28" i="5"/>
  <c r="R28" i="4"/>
  <c r="Q28" i="4"/>
  <c r="N29" i="4"/>
  <c r="P28" i="4"/>
  <c r="T28" i="4"/>
  <c r="T30" i="6" l="1"/>
  <c r="N31" i="6"/>
  <c r="R30" i="6"/>
  <c r="Q30" i="6"/>
  <c r="P30" i="6"/>
  <c r="U28" i="4"/>
  <c r="R29" i="4"/>
  <c r="N30" i="4"/>
  <c r="Q29" i="4"/>
  <c r="T29" i="4"/>
  <c r="P29" i="4"/>
  <c r="W30" i="1"/>
  <c r="R30" i="1"/>
  <c r="S30" i="1"/>
  <c r="N31" i="1"/>
  <c r="V30" i="1"/>
  <c r="Q30" i="1"/>
  <c r="U30" i="1"/>
  <c r="P30" i="1"/>
  <c r="X29" i="1"/>
  <c r="N30" i="3"/>
  <c r="U29" i="3"/>
  <c r="P29" i="3"/>
  <c r="S29" i="3"/>
  <c r="V29" i="3"/>
  <c r="R29" i="3"/>
  <c r="Q29" i="3"/>
  <c r="W29" i="3"/>
  <c r="U29" i="6"/>
  <c r="U30" i="5"/>
  <c r="P30" i="5"/>
  <c r="S30" i="5"/>
  <c r="N31" i="5"/>
  <c r="Q30" i="5"/>
  <c r="W30" i="5"/>
  <c r="V30" i="5"/>
  <c r="R30" i="5"/>
  <c r="X28" i="3"/>
  <c r="X29" i="5"/>
  <c r="N31" i="2"/>
  <c r="R30" i="2"/>
  <c r="Q30" i="2"/>
  <c r="T30" i="2"/>
  <c r="P30" i="2"/>
  <c r="U29" i="2"/>
  <c r="U29" i="4" l="1"/>
  <c r="U30" i="2"/>
  <c r="T31" i="2"/>
  <c r="N32" i="2"/>
  <c r="R31" i="2"/>
  <c r="Q31" i="2"/>
  <c r="P31" i="2"/>
  <c r="N31" i="4"/>
  <c r="P30" i="4"/>
  <c r="T30" i="4"/>
  <c r="Q30" i="4"/>
  <c r="R30" i="4"/>
  <c r="X30" i="5"/>
  <c r="X30" i="1"/>
  <c r="P31" i="6"/>
  <c r="T31" i="6"/>
  <c r="N32" i="6"/>
  <c r="R31" i="6"/>
  <c r="Q31" i="6"/>
  <c r="X29" i="3"/>
  <c r="U31" i="1"/>
  <c r="P31" i="1"/>
  <c r="S31" i="1"/>
  <c r="N32" i="1"/>
  <c r="Q31" i="1"/>
  <c r="W31" i="1"/>
  <c r="R31" i="1"/>
  <c r="V31" i="1"/>
  <c r="W31" i="5"/>
  <c r="R31" i="5"/>
  <c r="N32" i="5"/>
  <c r="V31" i="5"/>
  <c r="Q31" i="5"/>
  <c r="U31" i="5"/>
  <c r="S31" i="5"/>
  <c r="P31" i="5"/>
  <c r="S30" i="3"/>
  <c r="W30" i="3"/>
  <c r="R30" i="3"/>
  <c r="U30" i="3"/>
  <c r="Q30" i="3"/>
  <c r="N31" i="3"/>
  <c r="V30" i="3"/>
  <c r="P30" i="3"/>
  <c r="U30" i="6"/>
  <c r="N32" i="3" l="1"/>
  <c r="V31" i="3"/>
  <c r="Q31" i="3"/>
  <c r="U31" i="3"/>
  <c r="P31" i="3"/>
  <c r="S31" i="3"/>
  <c r="R31" i="3"/>
  <c r="W31" i="3"/>
  <c r="X31" i="1"/>
  <c r="Q32" i="6"/>
  <c r="P32" i="6"/>
  <c r="T32" i="6"/>
  <c r="N33" i="6"/>
  <c r="R32" i="6"/>
  <c r="U30" i="4"/>
  <c r="X30" i="3"/>
  <c r="X31" i="5"/>
  <c r="W32" i="1"/>
  <c r="R32" i="1"/>
  <c r="S32" i="1"/>
  <c r="V32" i="1"/>
  <c r="Q32" i="1"/>
  <c r="N33" i="1"/>
  <c r="U32" i="1"/>
  <c r="P32" i="1"/>
  <c r="T31" i="4"/>
  <c r="N32" i="4"/>
  <c r="R31" i="4"/>
  <c r="Q31" i="4"/>
  <c r="P31" i="4"/>
  <c r="P32" i="2"/>
  <c r="T32" i="2"/>
  <c r="R32" i="2"/>
  <c r="Q32" i="2"/>
  <c r="N33" i="2"/>
  <c r="N33" i="5"/>
  <c r="U32" i="5"/>
  <c r="P32" i="5"/>
  <c r="S32" i="5"/>
  <c r="W32" i="5"/>
  <c r="V32" i="5"/>
  <c r="R32" i="5"/>
  <c r="Q32" i="5"/>
  <c r="U31" i="6"/>
  <c r="U31" i="2"/>
  <c r="U32" i="2" l="1"/>
  <c r="U32" i="6"/>
  <c r="U31" i="4"/>
  <c r="Q33" i="2"/>
  <c r="N34" i="2"/>
  <c r="P33" i="2"/>
  <c r="T33" i="2"/>
  <c r="R33" i="2"/>
  <c r="P32" i="4"/>
  <c r="T32" i="4"/>
  <c r="R32" i="4"/>
  <c r="Q32" i="4"/>
  <c r="N33" i="4"/>
  <c r="V33" i="1"/>
  <c r="Q33" i="1"/>
  <c r="R33" i="1"/>
  <c r="U33" i="1"/>
  <c r="P33" i="1"/>
  <c r="N34" i="1"/>
  <c r="S33" i="1"/>
  <c r="W33" i="1"/>
  <c r="X32" i="5"/>
  <c r="X32" i="1"/>
  <c r="R33" i="6"/>
  <c r="Q33" i="6"/>
  <c r="N34" i="6"/>
  <c r="P33" i="6"/>
  <c r="T33" i="6"/>
  <c r="X31" i="3"/>
  <c r="S32" i="3"/>
  <c r="W32" i="3"/>
  <c r="R32" i="3"/>
  <c r="V32" i="3"/>
  <c r="U32" i="3"/>
  <c r="P32" i="3"/>
  <c r="N33" i="3"/>
  <c r="Q32" i="3"/>
  <c r="N34" i="5"/>
  <c r="S33" i="5"/>
  <c r="W33" i="5"/>
  <c r="R33" i="5"/>
  <c r="V33" i="5"/>
  <c r="U33" i="5"/>
  <c r="Q33" i="5"/>
  <c r="P33" i="5"/>
  <c r="X32" i="3" l="1"/>
  <c r="U33" i="6"/>
  <c r="N35" i="5"/>
  <c r="S34" i="5"/>
  <c r="W34" i="5"/>
  <c r="R34" i="5"/>
  <c r="Q34" i="5"/>
  <c r="P34" i="5"/>
  <c r="V34" i="5"/>
  <c r="U34" i="5"/>
  <c r="Q34" i="6"/>
  <c r="N35" i="6"/>
  <c r="P34" i="6"/>
  <c r="T34" i="6"/>
  <c r="R34" i="6"/>
  <c r="X33" i="5"/>
  <c r="Q33" i="4"/>
  <c r="N34" i="4"/>
  <c r="P33" i="4"/>
  <c r="T33" i="4"/>
  <c r="R33" i="4"/>
  <c r="U32" i="4"/>
  <c r="N35" i="2"/>
  <c r="P34" i="2"/>
  <c r="T34" i="2"/>
  <c r="R34" i="2"/>
  <c r="Q34" i="2"/>
  <c r="V34" i="1"/>
  <c r="Q34" i="1"/>
  <c r="U34" i="1"/>
  <c r="P34" i="1"/>
  <c r="W34" i="1"/>
  <c r="R34" i="1"/>
  <c r="N35" i="1"/>
  <c r="S34" i="1"/>
  <c r="X33" i="1"/>
  <c r="U33" i="2"/>
  <c r="W33" i="3"/>
  <c r="R33" i="3"/>
  <c r="V33" i="3"/>
  <c r="Q33" i="3"/>
  <c r="S33" i="3"/>
  <c r="P33" i="3"/>
  <c r="U33" i="3"/>
  <c r="N34" i="3"/>
  <c r="N36" i="1" l="1"/>
  <c r="V35" i="1"/>
  <c r="Q35" i="1"/>
  <c r="R35" i="1"/>
  <c r="U35" i="1"/>
  <c r="P35" i="1"/>
  <c r="S35" i="1"/>
  <c r="W35" i="1"/>
  <c r="W34" i="3"/>
  <c r="R34" i="3"/>
  <c r="V34" i="3"/>
  <c r="Q34" i="3"/>
  <c r="N35" i="3"/>
  <c r="U34" i="3"/>
  <c r="S34" i="3"/>
  <c r="P34" i="3"/>
  <c r="U34" i="6"/>
  <c r="U34" i="2"/>
  <c r="P35" i="6"/>
  <c r="N36" i="6"/>
  <c r="T35" i="6"/>
  <c r="R35" i="6"/>
  <c r="Q35" i="6"/>
  <c r="X34" i="5"/>
  <c r="N35" i="4"/>
  <c r="P34" i="4"/>
  <c r="T34" i="4"/>
  <c r="R34" i="4"/>
  <c r="Q34" i="4"/>
  <c r="X33" i="3"/>
  <c r="X34" i="1"/>
  <c r="N36" i="2"/>
  <c r="T35" i="2"/>
  <c r="R35" i="2"/>
  <c r="P35" i="2"/>
  <c r="Q35" i="2"/>
  <c r="U33" i="4"/>
  <c r="S35" i="5"/>
  <c r="W35" i="5"/>
  <c r="Q35" i="5"/>
  <c r="V35" i="5"/>
  <c r="P35" i="5"/>
  <c r="R35" i="5"/>
  <c r="N36" i="5"/>
  <c r="U35" i="5"/>
  <c r="U35" i="6" l="1"/>
  <c r="X34" i="3"/>
  <c r="T36" i="2"/>
  <c r="N37" i="2"/>
  <c r="R36" i="2"/>
  <c r="P36" i="2"/>
  <c r="Q36" i="2"/>
  <c r="P36" i="6"/>
  <c r="T36" i="6"/>
  <c r="N37" i="6"/>
  <c r="R36" i="6"/>
  <c r="Q36" i="6"/>
  <c r="X35" i="5"/>
  <c r="U34" i="4"/>
  <c r="X35" i="1"/>
  <c r="V36" i="5"/>
  <c r="Q36" i="5"/>
  <c r="R36" i="5"/>
  <c r="W36" i="5"/>
  <c r="P36" i="5"/>
  <c r="S36" i="5"/>
  <c r="N37" i="5"/>
  <c r="U36" i="5"/>
  <c r="U35" i="2"/>
  <c r="N36" i="4"/>
  <c r="T35" i="4"/>
  <c r="R35" i="4"/>
  <c r="P35" i="4"/>
  <c r="Q35" i="4"/>
  <c r="W35" i="3"/>
  <c r="R35" i="3"/>
  <c r="N36" i="3"/>
  <c r="V35" i="3"/>
  <c r="Q35" i="3"/>
  <c r="U35" i="3"/>
  <c r="S35" i="3"/>
  <c r="P35" i="3"/>
  <c r="S36" i="1"/>
  <c r="P36" i="1"/>
  <c r="N37" i="1"/>
  <c r="W36" i="1"/>
  <c r="R36" i="1"/>
  <c r="V36" i="1"/>
  <c r="Q36" i="1"/>
  <c r="U36" i="1"/>
  <c r="U36" i="2" l="1"/>
  <c r="X35" i="3"/>
  <c r="T36" i="4"/>
  <c r="N37" i="4"/>
  <c r="R36" i="4"/>
  <c r="Q36" i="4"/>
  <c r="P36" i="4"/>
  <c r="U37" i="1"/>
  <c r="P37" i="1"/>
  <c r="Q37" i="1"/>
  <c r="S37" i="1"/>
  <c r="V37" i="1"/>
  <c r="W37" i="1"/>
  <c r="R37" i="1"/>
  <c r="N38" i="1"/>
  <c r="U36" i="3"/>
  <c r="P36" i="3"/>
  <c r="S36" i="3"/>
  <c r="N37" i="3"/>
  <c r="V36" i="3"/>
  <c r="R36" i="3"/>
  <c r="Q36" i="3"/>
  <c r="W36" i="3"/>
  <c r="U35" i="4"/>
  <c r="X36" i="5"/>
  <c r="U36" i="6"/>
  <c r="P37" i="2"/>
  <c r="T37" i="2"/>
  <c r="N38" i="2"/>
  <c r="R37" i="2"/>
  <c r="Q37" i="2"/>
  <c r="N38" i="5"/>
  <c r="W37" i="5"/>
  <c r="R37" i="5"/>
  <c r="Q37" i="5"/>
  <c r="V37" i="5"/>
  <c r="P37" i="5"/>
  <c r="S37" i="5"/>
  <c r="U37" i="5"/>
  <c r="Q37" i="6"/>
  <c r="P37" i="6"/>
  <c r="T37" i="6"/>
  <c r="R37" i="6"/>
  <c r="N38" i="6"/>
  <c r="X36" i="1"/>
  <c r="X37" i="1" l="1"/>
  <c r="U37" i="6"/>
  <c r="X37" i="5"/>
  <c r="Q38" i="2"/>
  <c r="N39" i="2"/>
  <c r="P38" i="2"/>
  <c r="R38" i="2"/>
  <c r="T38" i="2"/>
  <c r="X36" i="3"/>
  <c r="U37" i="2"/>
  <c r="V37" i="3"/>
  <c r="Q37" i="3"/>
  <c r="U37" i="3"/>
  <c r="P37" i="3"/>
  <c r="W37" i="3"/>
  <c r="N38" i="3"/>
  <c r="S37" i="3"/>
  <c r="R37" i="3"/>
  <c r="W38" i="1"/>
  <c r="R38" i="1"/>
  <c r="V38" i="1"/>
  <c r="Q38" i="1"/>
  <c r="N39" i="1"/>
  <c r="S38" i="1"/>
  <c r="U38" i="1"/>
  <c r="P38" i="1"/>
  <c r="U36" i="4"/>
  <c r="R38" i="6"/>
  <c r="Q38" i="6"/>
  <c r="P38" i="6"/>
  <c r="N39" i="6"/>
  <c r="T38" i="6"/>
  <c r="N39" i="5"/>
  <c r="S38" i="5"/>
  <c r="W38" i="5"/>
  <c r="Q38" i="5"/>
  <c r="V38" i="5"/>
  <c r="P38" i="5"/>
  <c r="R38" i="5"/>
  <c r="U38" i="5"/>
  <c r="P37" i="4"/>
  <c r="T37" i="4"/>
  <c r="R37" i="4"/>
  <c r="N38" i="4"/>
  <c r="Q37" i="4"/>
  <c r="U38" i="6" l="1"/>
  <c r="W39" i="1"/>
  <c r="R39" i="1"/>
  <c r="S39" i="1"/>
  <c r="V39" i="1"/>
  <c r="Q39" i="1"/>
  <c r="N40" i="1"/>
  <c r="U39" i="1"/>
  <c r="P39" i="1"/>
  <c r="X38" i="1"/>
  <c r="X37" i="3"/>
  <c r="U37" i="4"/>
  <c r="N40" i="5"/>
  <c r="S39" i="5"/>
  <c r="V39" i="5"/>
  <c r="P39" i="5"/>
  <c r="U39" i="5"/>
  <c r="W39" i="5"/>
  <c r="Q39" i="5"/>
  <c r="R39" i="5"/>
  <c r="P39" i="2"/>
  <c r="N40" i="2"/>
  <c r="T39" i="2"/>
  <c r="R39" i="2"/>
  <c r="Q39" i="2"/>
  <c r="R39" i="6"/>
  <c r="Q39" i="6"/>
  <c r="P39" i="6"/>
  <c r="N40" i="6"/>
  <c r="T39" i="6"/>
  <c r="X38" i="5"/>
  <c r="U38" i="2"/>
  <c r="Q38" i="4"/>
  <c r="P38" i="4"/>
  <c r="T38" i="4"/>
  <c r="R38" i="4"/>
  <c r="N39" i="4"/>
  <c r="W38" i="3"/>
  <c r="R38" i="3"/>
  <c r="V38" i="3"/>
  <c r="Q38" i="3"/>
  <c r="S38" i="3"/>
  <c r="P38" i="3"/>
  <c r="U38" i="3"/>
  <c r="N39" i="3"/>
  <c r="X39" i="1" l="1"/>
  <c r="U39" i="6"/>
  <c r="W39" i="3"/>
  <c r="R39" i="3"/>
  <c r="V39" i="3"/>
  <c r="Q39" i="3"/>
  <c r="U39" i="3"/>
  <c r="N40" i="3"/>
  <c r="S39" i="3"/>
  <c r="P39" i="3"/>
  <c r="R40" i="6"/>
  <c r="Q40" i="6"/>
  <c r="N41" i="6"/>
  <c r="P40" i="6"/>
  <c r="T40" i="6"/>
  <c r="U39" i="2"/>
  <c r="N41" i="5"/>
  <c r="S40" i="5"/>
  <c r="V40" i="5"/>
  <c r="P40" i="5"/>
  <c r="U40" i="5"/>
  <c r="Q40" i="5"/>
  <c r="W40" i="5"/>
  <c r="R40" i="5"/>
  <c r="X39" i="5"/>
  <c r="X38" i="3"/>
  <c r="V40" i="1"/>
  <c r="Q40" i="1"/>
  <c r="U40" i="1"/>
  <c r="P40" i="1"/>
  <c r="R40" i="1"/>
  <c r="N41" i="1"/>
  <c r="S40" i="1"/>
  <c r="W40" i="1"/>
  <c r="Q39" i="4"/>
  <c r="P39" i="4"/>
  <c r="N40" i="4"/>
  <c r="T39" i="4"/>
  <c r="R39" i="4"/>
  <c r="U38" i="4"/>
  <c r="N41" i="2"/>
  <c r="P40" i="2"/>
  <c r="T40" i="2"/>
  <c r="Q40" i="2"/>
  <c r="R40" i="2"/>
  <c r="X39" i="3" l="1"/>
  <c r="U40" i="2"/>
  <c r="U40" i="6"/>
  <c r="X40" i="1"/>
  <c r="Q40" i="4"/>
  <c r="N41" i="4"/>
  <c r="P40" i="4"/>
  <c r="R40" i="4"/>
  <c r="T40" i="4"/>
  <c r="N42" i="5"/>
  <c r="S41" i="5"/>
  <c r="V41" i="5"/>
  <c r="P41" i="5"/>
  <c r="U41" i="5"/>
  <c r="R41" i="5"/>
  <c r="Q41" i="5"/>
  <c r="W41" i="5"/>
  <c r="V41" i="1"/>
  <c r="Q41" i="1"/>
  <c r="U41" i="1"/>
  <c r="P41" i="1"/>
  <c r="W41" i="1"/>
  <c r="N42" i="1"/>
  <c r="S41" i="1"/>
  <c r="R41" i="1"/>
  <c r="X40" i="5"/>
  <c r="W40" i="3"/>
  <c r="R40" i="3"/>
  <c r="V40" i="3"/>
  <c r="Q40" i="3"/>
  <c r="P40" i="3"/>
  <c r="U40" i="3"/>
  <c r="N41" i="3"/>
  <c r="S40" i="3"/>
  <c r="N42" i="2"/>
  <c r="T41" i="2"/>
  <c r="R41" i="2"/>
  <c r="Q41" i="2"/>
  <c r="P41" i="2"/>
  <c r="Q41" i="6"/>
  <c r="P41" i="6"/>
  <c r="N42" i="6"/>
  <c r="T41" i="6"/>
  <c r="R41" i="6"/>
  <c r="U39" i="4"/>
  <c r="U41" i="2" l="1"/>
  <c r="X40" i="3"/>
  <c r="U40" i="4"/>
  <c r="Q42" i="6"/>
  <c r="N43" i="6"/>
  <c r="P42" i="6"/>
  <c r="T42" i="6"/>
  <c r="R42" i="6"/>
  <c r="P41" i="4"/>
  <c r="N42" i="4"/>
  <c r="T41" i="4"/>
  <c r="R41" i="4"/>
  <c r="Q41" i="4"/>
  <c r="W41" i="3"/>
  <c r="R41" i="3"/>
  <c r="V41" i="3"/>
  <c r="Q41" i="3"/>
  <c r="N42" i="3"/>
  <c r="U41" i="3"/>
  <c r="S41" i="3"/>
  <c r="P41" i="3"/>
  <c r="X41" i="1"/>
  <c r="X41" i="5"/>
  <c r="T42" i="2"/>
  <c r="R42" i="2"/>
  <c r="N43" i="2"/>
  <c r="P42" i="2"/>
  <c r="Q42" i="2"/>
  <c r="V42" i="1"/>
  <c r="Q42" i="1"/>
  <c r="R42" i="1"/>
  <c r="U42" i="1"/>
  <c r="P42" i="1"/>
  <c r="W42" i="1"/>
  <c r="N43" i="1"/>
  <c r="S42" i="1"/>
  <c r="S42" i="5"/>
  <c r="V42" i="5"/>
  <c r="P42" i="5"/>
  <c r="N43" i="5"/>
  <c r="U42" i="5"/>
  <c r="R42" i="5"/>
  <c r="Q42" i="5"/>
  <c r="W42" i="5"/>
  <c r="U41" i="6"/>
  <c r="U42" i="2" l="1"/>
  <c r="V43" i="1"/>
  <c r="Q43" i="1"/>
  <c r="U43" i="1"/>
  <c r="P43" i="1"/>
  <c r="W43" i="1"/>
  <c r="R43" i="1"/>
  <c r="N44" i="1"/>
  <c r="S43" i="1"/>
  <c r="U42" i="6"/>
  <c r="X42" i="1"/>
  <c r="X41" i="3"/>
  <c r="U41" i="4"/>
  <c r="N44" i="6"/>
  <c r="P43" i="6"/>
  <c r="T43" i="6"/>
  <c r="R43" i="6"/>
  <c r="Q43" i="6"/>
  <c r="X42" i="5"/>
  <c r="R43" i="2"/>
  <c r="Q43" i="2"/>
  <c r="T43" i="2"/>
  <c r="N44" i="2"/>
  <c r="P43" i="2"/>
  <c r="N43" i="3"/>
  <c r="W42" i="3"/>
  <c r="R42" i="3"/>
  <c r="V42" i="3"/>
  <c r="Q42" i="3"/>
  <c r="U42" i="3"/>
  <c r="S42" i="3"/>
  <c r="P42" i="3"/>
  <c r="N43" i="4"/>
  <c r="P42" i="4"/>
  <c r="T42" i="4"/>
  <c r="Q42" i="4"/>
  <c r="R42" i="4"/>
  <c r="U43" i="5"/>
  <c r="P43" i="5"/>
  <c r="W43" i="5"/>
  <c r="Q43" i="5"/>
  <c r="N44" i="5"/>
  <c r="V43" i="5"/>
  <c r="S43" i="5"/>
  <c r="R43" i="5"/>
  <c r="X43" i="1" l="1"/>
  <c r="S43" i="3"/>
  <c r="N44" i="3"/>
  <c r="W43" i="3"/>
  <c r="R43" i="3"/>
  <c r="U43" i="3"/>
  <c r="Q43" i="3"/>
  <c r="P43" i="3"/>
  <c r="V43" i="3"/>
  <c r="X42" i="3"/>
  <c r="X43" i="5"/>
  <c r="Q44" i="2"/>
  <c r="P44" i="2"/>
  <c r="R44" i="2"/>
  <c r="N45" i="2"/>
  <c r="T44" i="2"/>
  <c r="U43" i="6"/>
  <c r="T43" i="4"/>
  <c r="R43" i="4"/>
  <c r="Q43" i="4"/>
  <c r="P43" i="4"/>
  <c r="N44" i="4"/>
  <c r="U43" i="2"/>
  <c r="N45" i="1"/>
  <c r="V44" i="1"/>
  <c r="Q44" i="1"/>
  <c r="U44" i="1"/>
  <c r="P44" i="1"/>
  <c r="W44" i="1"/>
  <c r="R44" i="1"/>
  <c r="S44" i="1"/>
  <c r="N45" i="5"/>
  <c r="V44" i="5"/>
  <c r="Q44" i="5"/>
  <c r="W44" i="5"/>
  <c r="P44" i="5"/>
  <c r="U44" i="5"/>
  <c r="S44" i="5"/>
  <c r="R44" i="5"/>
  <c r="U42" i="4"/>
  <c r="T44" i="6"/>
  <c r="N45" i="6"/>
  <c r="R44" i="6"/>
  <c r="Q44" i="6"/>
  <c r="P44" i="6"/>
  <c r="U44" i="6" l="1"/>
  <c r="U43" i="4"/>
  <c r="U44" i="2"/>
  <c r="N46" i="5"/>
  <c r="S45" i="5"/>
  <c r="W45" i="5"/>
  <c r="Q45" i="5"/>
  <c r="V45" i="5"/>
  <c r="P45" i="5"/>
  <c r="U45" i="5"/>
  <c r="R45" i="5"/>
  <c r="N46" i="1"/>
  <c r="S45" i="1"/>
  <c r="W45" i="1"/>
  <c r="R45" i="1"/>
  <c r="U45" i="1"/>
  <c r="V45" i="1"/>
  <c r="Q45" i="1"/>
  <c r="P45" i="1"/>
  <c r="R45" i="2"/>
  <c r="Q45" i="2"/>
  <c r="T45" i="2"/>
  <c r="P45" i="2"/>
  <c r="N46" i="2"/>
  <c r="U44" i="3"/>
  <c r="P44" i="3"/>
  <c r="S44" i="3"/>
  <c r="Q44" i="3"/>
  <c r="W44" i="3"/>
  <c r="V44" i="3"/>
  <c r="N45" i="3"/>
  <c r="R44" i="3"/>
  <c r="X44" i="5"/>
  <c r="X44" i="1"/>
  <c r="X43" i="3"/>
  <c r="N46" i="6"/>
  <c r="P45" i="6"/>
  <c r="T45" i="6"/>
  <c r="R45" i="6"/>
  <c r="Q45" i="6"/>
  <c r="N45" i="4"/>
  <c r="R44" i="4"/>
  <c r="Q44" i="4"/>
  <c r="T44" i="4"/>
  <c r="P44" i="4"/>
  <c r="U45" i="2" l="1"/>
  <c r="X45" i="1"/>
  <c r="W45" i="3"/>
  <c r="R45" i="3"/>
  <c r="V45" i="3"/>
  <c r="Q45" i="3"/>
  <c r="N46" i="3"/>
  <c r="U45" i="3"/>
  <c r="S45" i="3"/>
  <c r="P45" i="3"/>
  <c r="X44" i="3"/>
  <c r="T45" i="4"/>
  <c r="R45" i="4"/>
  <c r="Q45" i="4"/>
  <c r="P45" i="4"/>
  <c r="N46" i="4"/>
  <c r="U45" i="6"/>
  <c r="X45" i="5"/>
  <c r="U44" i="4"/>
  <c r="T46" i="6"/>
  <c r="R46" i="6"/>
  <c r="Q46" i="6"/>
  <c r="P46" i="6"/>
  <c r="N47" i="6"/>
  <c r="Q46" i="2"/>
  <c r="N47" i="2"/>
  <c r="P46" i="2"/>
  <c r="T46" i="2"/>
  <c r="R46" i="2"/>
  <c r="N47" i="1"/>
  <c r="S46" i="1"/>
  <c r="W46" i="1"/>
  <c r="V46" i="1"/>
  <c r="P46" i="1"/>
  <c r="U46" i="1"/>
  <c r="Q46" i="1"/>
  <c r="R46" i="1"/>
  <c r="N47" i="5"/>
  <c r="S46" i="5"/>
  <c r="V46" i="5"/>
  <c r="P46" i="5"/>
  <c r="U46" i="5"/>
  <c r="R46" i="5"/>
  <c r="Q46" i="5"/>
  <c r="W46" i="5"/>
  <c r="X45" i="3" l="1"/>
  <c r="X46" i="1"/>
  <c r="N48" i="1"/>
  <c r="S47" i="1"/>
  <c r="W47" i="1"/>
  <c r="R47" i="1"/>
  <c r="U47" i="1"/>
  <c r="V47" i="1"/>
  <c r="Q47" i="1"/>
  <c r="P47" i="1"/>
  <c r="R47" i="6"/>
  <c r="Q47" i="6"/>
  <c r="P47" i="6"/>
  <c r="T47" i="6"/>
  <c r="N48" i="6"/>
  <c r="R46" i="4"/>
  <c r="Q46" i="4"/>
  <c r="T46" i="4"/>
  <c r="N47" i="4"/>
  <c r="P46" i="4"/>
  <c r="N48" i="5"/>
  <c r="S47" i="5"/>
  <c r="V47" i="5"/>
  <c r="P47" i="5"/>
  <c r="U47" i="5"/>
  <c r="W47" i="5"/>
  <c r="R47" i="5"/>
  <c r="Q47" i="5"/>
  <c r="P47" i="2"/>
  <c r="N48" i="2"/>
  <c r="T47" i="2"/>
  <c r="R47" i="2"/>
  <c r="Q47" i="2"/>
  <c r="X46" i="5"/>
  <c r="U46" i="2"/>
  <c r="U46" i="6"/>
  <c r="U45" i="4"/>
  <c r="W46" i="3"/>
  <c r="R46" i="3"/>
  <c r="V46" i="3"/>
  <c r="Q46" i="3"/>
  <c r="U46" i="3"/>
  <c r="N47" i="3"/>
  <c r="S46" i="3"/>
  <c r="P46" i="3"/>
  <c r="X47" i="1" l="1"/>
  <c r="U47" i="6"/>
  <c r="X47" i="5"/>
  <c r="U46" i="4"/>
  <c r="P48" i="2"/>
  <c r="T48" i="2"/>
  <c r="T49" i="2" s="1"/>
  <c r="P58" i="2" s="1"/>
  <c r="R58" i="2" s="1"/>
  <c r="Q48" i="2"/>
  <c r="Q49" i="2" s="1"/>
  <c r="P56" i="2" s="1"/>
  <c r="R56" i="2" s="1"/>
  <c r="R48" i="2"/>
  <c r="R49" i="2" s="1"/>
  <c r="X46" i="3"/>
  <c r="U47" i="2"/>
  <c r="S48" i="5"/>
  <c r="S49" i="5" s="1"/>
  <c r="P57" i="5" s="1"/>
  <c r="R57" i="5" s="1"/>
  <c r="V48" i="5"/>
  <c r="V49" i="5" s="1"/>
  <c r="P48" i="5"/>
  <c r="U48" i="5"/>
  <c r="U49" i="5" s="1"/>
  <c r="W48" i="5"/>
  <c r="W49" i="5" s="1"/>
  <c r="P59" i="5" s="1"/>
  <c r="R59" i="5" s="1"/>
  <c r="R48" i="5"/>
  <c r="R49" i="5" s="1"/>
  <c r="Q48" i="5"/>
  <c r="Q49" i="5" s="1"/>
  <c r="W47" i="3"/>
  <c r="R47" i="3"/>
  <c r="V47" i="3"/>
  <c r="Q47" i="3"/>
  <c r="N48" i="3"/>
  <c r="S47" i="3"/>
  <c r="P47" i="3"/>
  <c r="U47" i="3"/>
  <c r="Q47" i="4"/>
  <c r="P47" i="4"/>
  <c r="N48" i="4"/>
  <c r="T47" i="4"/>
  <c r="R47" i="4"/>
  <c r="R48" i="6"/>
  <c r="R49" i="6" s="1"/>
  <c r="Q48" i="6"/>
  <c r="Q49" i="6" s="1"/>
  <c r="P56" i="6" s="1"/>
  <c r="R56" i="6" s="1"/>
  <c r="P48" i="6"/>
  <c r="T48" i="6"/>
  <c r="T49" i="6" s="1"/>
  <c r="P58" i="6" s="1"/>
  <c r="R58" i="6" s="1"/>
  <c r="S48" i="1"/>
  <c r="S49" i="1" s="1"/>
  <c r="P57" i="1" s="1"/>
  <c r="R57" i="1" s="1"/>
  <c r="W48" i="1"/>
  <c r="W49" i="1" s="1"/>
  <c r="P59" i="1" s="1"/>
  <c r="R59" i="1" s="1"/>
  <c r="R48" i="1"/>
  <c r="R49" i="1" s="1"/>
  <c r="Q48" i="1"/>
  <c r="Q49" i="1" s="1"/>
  <c r="P48" i="1"/>
  <c r="V48" i="1"/>
  <c r="V49" i="1" s="1"/>
  <c r="U48" i="1"/>
  <c r="U49" i="1" s="1"/>
  <c r="P58" i="1" l="1"/>
  <c r="R58" i="1" s="1"/>
  <c r="P56" i="5"/>
  <c r="R56" i="5" s="1"/>
  <c r="U48" i="6"/>
  <c r="U49" i="6" s="1"/>
  <c r="AB53" i="6" s="1"/>
  <c r="P49" i="6"/>
  <c r="P55" i="6" s="1"/>
  <c r="X48" i="5"/>
  <c r="X49" i="5" s="1"/>
  <c r="P49" i="5"/>
  <c r="P55" i="5" s="1"/>
  <c r="X47" i="3"/>
  <c r="P57" i="6"/>
  <c r="R57" i="6" s="1"/>
  <c r="R50" i="6"/>
  <c r="U47" i="4"/>
  <c r="U48" i="2"/>
  <c r="U49" i="2" s="1"/>
  <c r="AB53" i="2" s="1"/>
  <c r="P49" i="2"/>
  <c r="P55" i="2" s="1"/>
  <c r="Q48" i="4"/>
  <c r="Q49" i="4" s="1"/>
  <c r="P56" i="4" s="1"/>
  <c r="R56" i="4" s="1"/>
  <c r="P48" i="4"/>
  <c r="R48" i="4"/>
  <c r="R49" i="4" s="1"/>
  <c r="T48" i="4"/>
  <c r="T49" i="4" s="1"/>
  <c r="P58" i="4" s="1"/>
  <c r="R58" i="4" s="1"/>
  <c r="R50" i="2"/>
  <c r="P57" i="2"/>
  <c r="R57" i="2" s="1"/>
  <c r="X48" i="1"/>
  <c r="X49" i="1" s="1"/>
  <c r="P49" i="1"/>
  <c r="P55" i="1" s="1"/>
  <c r="P56" i="1"/>
  <c r="R56" i="1" s="1"/>
  <c r="W48" i="3"/>
  <c r="W49" i="3" s="1"/>
  <c r="P59" i="3" s="1"/>
  <c r="R59" i="3" s="1"/>
  <c r="R48" i="3"/>
  <c r="R49" i="3" s="1"/>
  <c r="V48" i="3"/>
  <c r="V49" i="3" s="1"/>
  <c r="Q48" i="3"/>
  <c r="Q49" i="3" s="1"/>
  <c r="U48" i="3"/>
  <c r="U49" i="3" s="1"/>
  <c r="S48" i="3"/>
  <c r="S49" i="3" s="1"/>
  <c r="P57" i="3" s="1"/>
  <c r="R57" i="3" s="1"/>
  <c r="P48" i="3"/>
  <c r="P58" i="5"/>
  <c r="R58" i="5" s="1"/>
  <c r="AI53" i="5" l="1"/>
  <c r="AD68" i="5"/>
  <c r="AI53" i="1"/>
  <c r="AD68" i="1"/>
  <c r="P58" i="3"/>
  <c r="R58" i="3" s="1"/>
  <c r="P56" i="3"/>
  <c r="R56" i="3" s="1"/>
  <c r="U48" i="4"/>
  <c r="U49" i="4" s="1"/>
  <c r="AB53" i="4" s="1"/>
  <c r="P49" i="4"/>
  <c r="P55" i="4" s="1"/>
  <c r="AD23" i="5"/>
  <c r="AD53" i="5"/>
  <c r="AI38" i="5"/>
  <c r="AD38" i="5"/>
  <c r="AI23" i="5"/>
  <c r="B2" i="5"/>
  <c r="B3" i="5" s="1"/>
  <c r="X48" i="3"/>
  <c r="X49" i="3" s="1"/>
  <c r="P49" i="3"/>
  <c r="P55" i="3" s="1"/>
  <c r="R55" i="1"/>
  <c r="R60" i="1" s="1"/>
  <c r="P60" i="1"/>
  <c r="R55" i="2"/>
  <c r="R60" i="2" s="1"/>
  <c r="P60" i="2"/>
  <c r="R55" i="6"/>
  <c r="R60" i="6" s="1"/>
  <c r="P60" i="6"/>
  <c r="R55" i="5"/>
  <c r="R60" i="5" s="1"/>
  <c r="P60" i="5"/>
  <c r="R50" i="3"/>
  <c r="AD53" i="1"/>
  <c r="AI23" i="1"/>
  <c r="B2" i="1"/>
  <c r="B3" i="1" s="1"/>
  <c r="AI38" i="1"/>
  <c r="AD23" i="1"/>
  <c r="AD38" i="1"/>
  <c r="P57" i="4"/>
  <c r="R57" i="4" s="1"/>
  <c r="R50" i="4"/>
  <c r="B2" i="2"/>
  <c r="B3" i="2" s="1"/>
  <c r="AB38" i="2"/>
  <c r="AG38" i="2"/>
  <c r="AG23" i="2"/>
  <c r="AB23" i="2"/>
  <c r="AG38" i="6"/>
  <c r="AB23" i="6"/>
  <c r="AB38" i="6"/>
  <c r="B2" i="6"/>
  <c r="B3" i="6" s="1"/>
  <c r="AG23" i="6"/>
  <c r="AI53" i="3" l="1"/>
  <c r="AD68" i="3"/>
  <c r="R55" i="3"/>
  <c r="R60" i="3" s="1"/>
  <c r="P60" i="3"/>
  <c r="P60" i="4"/>
  <c r="R55" i="4"/>
  <c r="R60" i="4" s="1"/>
  <c r="AD53" i="3"/>
  <c r="AI38" i="3"/>
  <c r="AI23" i="3"/>
  <c r="B2" i="3"/>
  <c r="B3" i="3" s="1"/>
  <c r="AD38" i="3"/>
  <c r="AD23" i="3"/>
  <c r="AB38" i="4"/>
  <c r="AG38" i="4"/>
  <c r="AG23" i="4"/>
  <c r="AB23" i="4"/>
  <c r="B2" i="4"/>
  <c r="B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======
ID#AAABKQ_Mok8
tc={D4CEFC3C-7325-4E34-A64D-30E52256CE03}    (2024-04-15 08:00:28)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ID#AAABKQ_MolA
tc={928E7189-DF96-4AF8-901E-1C3117C12B69}    (2024-04-15 08:00:28)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======
ID#AAABKQ_Moj4
tc={928E7189-DF96-4AF9-901E-1C3117C12B69}    (2024-04-15 08:00:28)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======
ID#AAABKQ_MokI
tc={BEE3DC45-D192-48E4-B051-DA830092375D}    (2024-04-15 08:00:28)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======
ID#AAABKQ_Mokw
tc={F2DB11B4-C1EA-4124-BA56-5F48EB7330B3}    (2024-04-15 08:00:28)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F12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ID#AAABKQ_MolM
tc={E41ACF69-01B3-4294-ABBC-3CDD6864AE75}    (2024-04-15 08:00:28)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J12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======
ID#AAABKQ_Mokk
tc={1441CF6E-179D-48AC-8E2D-BEBA291509B8}    (2024-04-15 08:00:28)
[Threaded comment]
Your version of Excel allows you to read this threaded comment; however, any edits to it will get removed if the file is opened in a newer version of Excel. Learn more: https://go.microsoft.com/fwlink/?linkid=870924
Comment:
    Konfirmasi km/cycle berapa? Lihat gambar dibawah</t>
        </r>
      </text>
    </comment>
    <comment ref="B1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ID#AAABKQ_Mols
tc={385EEFF5-A841-4ED6-BE90-80A2C1B646C9}    (2024-04-15 08:00:28)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B17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======
ID#AAABKQ_MokQ
tc={7E87CB02-46C9-41D9-9F0A-5E06594AAB21}    (2024-04-15 08:00:28)
[Threaded comment]
Your version of Excel allows you to read this threaded comment; however, any edits to it will get removed if the file is opened in a newer version of Excel. Learn more: https://go.microsoft.com/fwlink/?linkid=870924
Comment:
    Coeff, bukan %</t>
        </r>
      </text>
    </comment>
    <comment ref="F24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======
ID#AAABKQ_MojI
tc={4864E3F9-0560-4288-92E6-9293BC3416B9}    (2024-04-15 08:00:28)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4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ID#AAABKQ_Molg
tc={004D7F3F-C5C1-4610-A019-7D9E4061B6F1}    (2024-04-15 08:00:28)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6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======
ID#AAABKQ_Moi0
tc={C56CAB35-0F73-4DA9-9E08-15FB1529777D}    (2024-04-15 08:00:28)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kkjGrF6djQe4RWoyN5cYhYR6Aj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======
ID#AAABKQ_MojQ
tc={BEE3DC45-D192-48E5-B051-DA830092375D}    (2024-04-15 08:00:28)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ID#AAABKQ_MokA
tc={E41ACF69-01B3-4294-ABBC-3CDD6864AE75}    (2024-04-15 08:00:28)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B1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ID#AAABKQ_Mokc
tc={385EEFF5-A841-4ED6-BE90-80A2C1B646C9}    (2024-04-15 08:00:28)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B17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======
ID#AAABKQ_Mojg
tc={7E87CB02-46C9-41DA-9F0A-5E06594AAB21}    (2024-04-15 08:00:28)
[Threaded comment]
Your version of Excel allows you to read this threaded comment; however, any edits to it will get removed if the file is opened in a newer version of Excel. Learn more: https://go.microsoft.com/fwlink/?linkid=870924
Comment:
    Coeff, bukan %</t>
        </r>
      </text>
    </comment>
    <comment ref="F1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ID#AAABKQ_MokM
tc={7833DF23-FE90-4F19-9FD0-611220B2E488}    (2024-04-15 08:00:28)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38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ID#AAABKQ_MokE
tc={004D7F3F-C5C1-4611-A019-7D9E4061B6F1}    (2024-04-15 08:00:28)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1orM9IG5h88SrCYephL9fAvi8k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======
ID#AAABKQ_Mok0
tc={D4CEFC3C-7325-4E34-A64D-30E52256CE03}    (2024-04-15 08:00:28)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======
ID#AAABKQ_MojU
tc={928E7189-DF96-4AF8-901E-1C3117C12B69}    (2024-04-15 08:00:28)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ID#AAABKQ_MolE
tc={928E7189-DF96-4AF9-901E-1C3117C12B69}    (2024-04-15 08:00:28)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ID#AAABKQ_Molc
tc={BEE3DC45-D192-48E4-B051-DA830092375D}    (2024-04-15 08:00:28)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1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======
ID#AAABKQ_MokU
tc={E992383A-DDF7-479A-807A-377CA4907051}    (2024-04-15 08:00:28)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J12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======
ID#AAABKQ_Mojw
tc={E992383A-DDF7-479A-807A-377CA4907051}    (2024-04-15 08:00:28)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B1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ID#AAABKQ_Molw
tc={385EEFF5-A841-4ED6-BE90-80A2C1B646C9}    (2024-04-15 08:00:28)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B17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======
ID#AAABKQ_MojY
tc={7E87CB02-46C9-41D9-9F0A-5E06594AAB21}    (2024-04-15 08:00:28)
[Threaded comment]
Your version of Excel allows you to read this threaded comment; however, any edits to it will get removed if the file is opened in a newer version of Excel. Learn more: https://go.microsoft.com/fwlink/?linkid=870924
Comment:
    Coeff, bukan %</t>
        </r>
      </text>
    </comment>
    <comment ref="F2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ID#AAABKQ_Mol0
tc={4864E3F9-0560-4288-92E6-9293BC3416B9}    (2024-04-15 08:00:28)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41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======
ID#AAABKQ_Mojo
tc={004D7F3F-C5C1-4610-A019-7D9E4061B6F1}    (2024-04-15 08:00:28)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8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======
ID#AAABKQ_Moks
tc={C56CAB35-0F73-4DA9-9E08-15FB1529777D}    (2024-04-15 08:00:28)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MXumQSpZ0HQiIY1CrSs1rncuPF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ID#AAABKQ_Moi4
tc={BEE3DC45-D192-48E5-B051-DA830092375D}    (2024-04-15 08:00:28)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B1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ID#AAABKQ_Mojs
tc={385EEFF5-A841-4ED6-BE90-80A2C1B646C9}    (2024-04-15 08:00:28)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B17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ID#AAABKQ_Moj8
tc={7E87CB02-46C9-41DA-9F0A-5E06594AAB21}    (2024-04-15 08:00:28)
[Threaded comment]
Your version of Excel allows you to read this threaded comment; however, any edits to it will get removed if the file is opened in a newer version of Excel. Learn more: https://go.microsoft.com/fwlink/?linkid=870924
Comment:
    Coeff, bukan %</t>
        </r>
      </text>
    </comment>
    <comment ref="F22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======
ID#AAABKQ_Moiw
tc={7833DF23-FE90-4F19-9FD0-611220B2E488}    (2024-04-15 08:00:28)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38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ID#AAABKQ_Mojk
tc={004D7F3F-C5C1-4611-A019-7D9E4061B6F1}    (2024-04-15 08:00:28)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G6ke7hEOSrVVGMPer1nHhG8im7A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ID#AAABKQ_Molk
tc={D4CEFC3C-7325-4E34-A64D-30E52256CE03}    (2024-04-15 08:00:28)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0" shapeId="0" xr:uid="{00000000-0006-0000-0400-00000C000000}">
      <text>
        <r>
          <rPr>
            <sz val="11"/>
            <color theme="1"/>
            <rFont val="Calibri"/>
            <family val="2"/>
            <scheme val="minor"/>
          </rPr>
          <t>======
ID#AAABKQ_Moi8
tc={928E7189-DF96-4AF8-901E-1C3117C12B69}    (2024-04-15 08:00:28)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0" shapeId="0" xr:uid="{00000000-0006-0000-0400-000006000000}">
      <text>
        <r>
          <rPr>
            <sz val="11"/>
            <color theme="1"/>
            <rFont val="Calibri"/>
            <family val="2"/>
            <scheme val="minor"/>
          </rPr>
          <t>======
ID#AAABKQ_Mok4
tc={928E7189-DF96-4AF9-901E-1C3117C12B69}    (2024-04-15 08:00:28)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400-00000D000000}">
      <text>
        <r>
          <rPr>
            <sz val="11"/>
            <color theme="1"/>
            <rFont val="Calibri"/>
            <family val="2"/>
            <scheme val="minor"/>
          </rPr>
          <t>======
ID#AAABKQ_Mois
tc={BEE3DC45-D192-48E4-B051-DA830092375D}    (2024-04-15 08:00:28)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0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ID#AAABKQ_Mol4
tc={67D947ED-88BE-48E6-B313-9A497FAA28F5}    (2024-04-15 08:00:28)
[Threaded comment]
Your version of Excel allows you to read this threaded comment; however, any edits to it will get removed if the file is opened in a newer version of Excel. Learn more: https://go.microsoft.com/fwlink/?linkid=870924
Comment:
    Brosur DFSK, lihat gambar di bawah</t>
        </r>
      </text>
    </comment>
    <comment ref="J11" authorId="0" shapeId="0" xr:uid="{00000000-0006-0000-0400-000009000000}">
      <text>
        <r>
          <rPr>
            <sz val="11"/>
            <color theme="1"/>
            <rFont val="Calibri"/>
            <family val="2"/>
            <scheme val="minor"/>
          </rPr>
          <t>======
ID#AAABKQ_MokY
tc={F2DB11B4-C1EA-4124-BA56-5F48EB7330B3}    (2024-04-15 08:00:28)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J12" authorId="0" shapeId="0" xr:uid="{00000000-0006-0000-0400-00000B000000}">
      <text>
        <r>
          <rPr>
            <sz val="11"/>
            <color theme="1"/>
            <rFont val="Calibri"/>
            <family val="2"/>
            <scheme val="minor"/>
          </rPr>
          <t>======
ID#AAABKQ_MojA
tc={1441CF6E-179D-48AC-8E2D-BEBA291509B8}    (2024-04-15 08:00:28)
[Threaded comment]
Your version of Excel allows you to read this threaded comment; however, any edits to it will get removed if the file is opened in a newer version of Excel. Learn more: https://go.microsoft.com/fwlink/?linkid=870924
Comment:
    Konfirmasi km/cycle berapa? Lihat gambar dibawah</t>
        </r>
      </text>
    </comment>
    <comment ref="B14" authorId="0" shapeId="0" xr:uid="{00000000-0006-0000-0400-00000A000000}">
      <text>
        <r>
          <rPr>
            <sz val="11"/>
            <color theme="1"/>
            <rFont val="Calibri"/>
            <family val="2"/>
            <scheme val="minor"/>
          </rPr>
          <t>======
ID#AAABKQ_Mojc
tc={385EEFF5-A841-4ED6-BE90-80A2C1B646C9}    (2024-04-15 08:00:28)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B17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======
ID#AAABKQ_MolQ
tc={7E87CB02-46C9-41D9-9F0A-5E06594AAB21}    (2024-04-15 08:00:28)
[Threaded comment]
Your version of Excel allows you to read this threaded comment; however, any edits to it will get removed if the file is opened in a newer version of Excel. Learn more: https://go.microsoft.com/fwlink/?linkid=870924
Comment:
    Coeff, bukan %</t>
        </r>
      </text>
    </comment>
    <comment ref="J17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ID#AAABKQ_Mol8
tc={82F62B6C-237A-4712-86A9-B09BC722851E}    (2024-04-15 08:00:28)
[Threaded comment]
Your version of Excel allows you to read this threaded comment; however, any edits to it will get removed if the file is opened in a newer version of Excel. Learn more: https://go.microsoft.com/fwlink/?linkid=870924
Comment:
    Brosur DFSK, lihat gambar di bawah</t>
        </r>
      </text>
    </comment>
    <comment ref="F24" authorId="0" shapeId="0" xr:uid="{00000000-0006-0000-0400-000008000000}">
      <text>
        <r>
          <rPr>
            <sz val="11"/>
            <color theme="1"/>
            <rFont val="Calibri"/>
            <family val="2"/>
            <scheme val="minor"/>
          </rPr>
          <t>======
ID#AAABKQ_Mokg
tc={4864E3F9-0560-4288-92E6-9293BC3416B9}    (2024-04-15 08:00:28)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41" authorId="0" shapeId="0" xr:uid="{00000000-0006-0000-0400-000007000000}">
      <text>
        <r>
          <rPr>
            <sz val="11"/>
            <color theme="1"/>
            <rFont val="Calibri"/>
            <family val="2"/>
            <scheme val="minor"/>
          </rPr>
          <t>======
ID#AAABKQ_Moko
tc={004D7F3F-C5C1-4610-A019-7D9E4061B6F1}    (2024-04-15 08:00:28)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8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ID#AAABKQ_Molo
tc={C56CAB35-0F73-4DA9-9E08-15FB1529777D}    (2024-04-15 08:00:28)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gIVVYZBzERip0jLajev1I079iY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======
ID#AAABKQ_MojM
tc={BEE3DC45-D192-48E5-B051-DA830092375D}    (2024-04-15 08:00:28)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0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======
ID#AAABKQ_MojE
tc={3B0670CF-17C8-4B34-9A71-0D42C30D4D07}    (2024-04-15 08:00:28)
[Threaded comment]
Your version of Excel allows you to read this threaded comment; however, any edits to it will get removed if the file is opened in a newer version of Excel. Learn more: https://go.microsoft.com/fwlink/?linkid=870924
Comment:
    https://www.autofun.co.id/mobil/dfsk/gelora/konsumsi-bahan-bakar</t>
        </r>
      </text>
    </comment>
    <comment ref="B1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ID#AAABKQ_MolY
tc={385EEFF5-A841-4ED6-BE90-80A2C1B646C9}    (2024-04-15 08:00:28)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B17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ID#AAABKQ_MolU
tc={7E87CB02-46C9-41DA-9F0A-5E06594AAB21}    (2024-04-15 08:00:28)
[Threaded comment]
Your version of Excel allows you to read this threaded comment; however, any edits to it will get removed if the file is opened in a newer version of Excel. Learn more: https://go.microsoft.com/fwlink/?linkid=870924
Comment:
    Coeff, bukan %</t>
        </r>
      </text>
    </comment>
    <comment ref="F22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ID#AAABKQ_Moj0
tc={7833DF23-FE90-4F19-9FD0-611220B2E488}    (2024-04-15 08:00:28)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38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ID#AAABKQ_MolI
tc={004D7F3F-C5C1-4611-A019-7D9E4061B6F1}    (2024-04-15 08:00:28)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Tzidj/OwBcDDSkHmWJxpL9ujqTA=="/>
    </ext>
  </extLst>
</comments>
</file>

<file path=xl/sharedStrings.xml><?xml version="1.0" encoding="utf-8"?>
<sst xmlns="http://schemas.openxmlformats.org/spreadsheetml/2006/main" count="1326" uniqueCount="196">
  <si>
    <t>Country name</t>
  </si>
  <si>
    <t>Cambodia</t>
  </si>
  <si>
    <t>TCO</t>
  </si>
  <si>
    <t>US$</t>
  </si>
  <si>
    <t>US$/km</t>
  </si>
  <si>
    <t>ASSUMPTIONS</t>
  </si>
  <si>
    <t>TCO Estimation</t>
  </si>
  <si>
    <t>Sensitivity Analysis</t>
  </si>
  <si>
    <t>Analysis period</t>
  </si>
  <si>
    <t>Years</t>
  </si>
  <si>
    <t>Discounted TCO</t>
  </si>
  <si>
    <t>Country specific costs</t>
  </si>
  <si>
    <t>Vehicle-related Costs</t>
  </si>
  <si>
    <t>Year</t>
  </si>
  <si>
    <t>Equity (US$)</t>
  </si>
  <si>
    <t>Installment (US$)</t>
  </si>
  <si>
    <t>Electricity cost (US$)</t>
  </si>
  <si>
    <t>Charging surcharge cost (US$)</t>
  </si>
  <si>
    <t>O&amp;M Costs  (US$)</t>
  </si>
  <si>
    <t>Battery replacement costs (US$)</t>
  </si>
  <si>
    <t>Battery leasing costs (US$)</t>
  </si>
  <si>
    <t>Resale Value (US$)</t>
  </si>
  <si>
    <t>TCO (US$)</t>
  </si>
  <si>
    <t>Please copy paste following values (values only) to the formula value if there is update/ differences with reference values in tables</t>
  </si>
  <si>
    <t>Exchange rate</t>
  </si>
  <si>
    <t>KHR/US$</t>
  </si>
  <si>
    <t>Vehicle price</t>
  </si>
  <si>
    <t>KHR</t>
  </si>
  <si>
    <t>Electricity tariff</t>
  </si>
  <si>
    <t>US$/kWh</t>
  </si>
  <si>
    <t>Battery cost unit</t>
  </si>
  <si>
    <t>Battery cost</t>
  </si>
  <si>
    <t>One-time Costs</t>
  </si>
  <si>
    <t>Related to Yearly Costs</t>
  </si>
  <si>
    <t>Battery capacity</t>
  </si>
  <si>
    <t>kWh</t>
  </si>
  <si>
    <t>%</t>
  </si>
  <si>
    <t>Discount rate</t>
  </si>
  <si>
    <t>Battery lifecycle</t>
  </si>
  <si>
    <t>cycles</t>
  </si>
  <si>
    <t>Annual kilometres travelled (AKT)</t>
  </si>
  <si>
    <t>km/year</t>
  </si>
  <si>
    <t>Retail discount</t>
  </si>
  <si>
    <t>Annual kilometres traveled (AKT)</t>
  </si>
  <si>
    <t>Battery range</t>
  </si>
  <si>
    <t>km/cycle</t>
  </si>
  <si>
    <t>Other O&amp;M costs</t>
  </si>
  <si>
    <t>US$/year</t>
  </si>
  <si>
    <t>VAT</t>
  </si>
  <si>
    <t>KHR/kWh</t>
  </si>
  <si>
    <t>Vehicle lifespan</t>
  </si>
  <si>
    <t>years</t>
  </si>
  <si>
    <t>Electricity tariff growth</t>
  </si>
  <si>
    <t>%/year</t>
  </si>
  <si>
    <t>SOC</t>
  </si>
  <si>
    <t>Spesial tax</t>
  </si>
  <si>
    <t>Battery leasing cost</t>
  </si>
  <si>
    <t>KHR/year</t>
  </si>
  <si>
    <t>Vehicle Depreciation</t>
  </si>
  <si>
    <t>%/ year</t>
  </si>
  <si>
    <t>Battery Depreciation</t>
  </si>
  <si>
    <t>Electricity consumption</t>
  </si>
  <si>
    <t>kWh/km</t>
  </si>
  <si>
    <t>Road insurance</t>
  </si>
  <si>
    <t>Initial/Surcharge Charging Cost</t>
  </si>
  <si>
    <t>KHR/times</t>
  </si>
  <si>
    <t>Financing costs</t>
  </si>
  <si>
    <t>Relative change (%)</t>
  </si>
  <si>
    <t>Electricity tariff (US$/kWh)</t>
  </si>
  <si>
    <t>TCO changes (%)</t>
  </si>
  <si>
    <t>Vehicle price (US$)</t>
  </si>
  <si>
    <t>Interest rate (flat)</t>
  </si>
  <si>
    <t>Loan length</t>
  </si>
  <si>
    <t>Reference value</t>
  </si>
  <si>
    <t>Formula value</t>
  </si>
  <si>
    <t>Downpayment</t>
  </si>
  <si>
    <t>% of capital cost</t>
  </si>
  <si>
    <t>TCO ESTIMATION</t>
  </si>
  <si>
    <t>Country specific cost</t>
  </si>
  <si>
    <t>Financing cost</t>
  </si>
  <si>
    <t>Battery</t>
  </si>
  <si>
    <t>Equity</t>
  </si>
  <si>
    <t>Battery lifespan</t>
  </si>
  <si>
    <t>Debt</t>
  </si>
  <si>
    <t>Debt interest</t>
  </si>
  <si>
    <t>Total kilometres travelled during lifecycle</t>
  </si>
  <si>
    <t>km</t>
  </si>
  <si>
    <t>Energy costs</t>
  </si>
  <si>
    <t>Annual kilometres travelled</t>
  </si>
  <si>
    <t>Charging cost</t>
  </si>
  <si>
    <t>Yearly Operational Cost</t>
  </si>
  <si>
    <t>Battery cost (US$)</t>
  </si>
  <si>
    <t>AKT (km/year)</t>
  </si>
  <si>
    <t>Electricity cost per km</t>
  </si>
  <si>
    <t>Yearly charging surcharge cost</t>
  </si>
  <si>
    <t>Yearly charging cost</t>
  </si>
  <si>
    <t>Capital cost</t>
  </si>
  <si>
    <t>Battery price</t>
  </si>
  <si>
    <t>Vehicle price + import levy</t>
  </si>
  <si>
    <t>Battery Price + import levy</t>
  </si>
  <si>
    <t xml:space="preserve">   CIF (Cost, Insurance, Freight)</t>
  </si>
  <si>
    <t>Vehicle Price+taxes</t>
  </si>
  <si>
    <t>Total</t>
  </si>
  <si>
    <t>Charging Station</t>
  </si>
  <si>
    <t>Total Investment</t>
  </si>
  <si>
    <t>Other O&amp;M costs (US$/L)</t>
  </si>
  <si>
    <t>Cost component</t>
  </si>
  <si>
    <t>Capital costs</t>
  </si>
  <si>
    <t>Yearly Cost + Taxes</t>
  </si>
  <si>
    <t>Battery costs</t>
  </si>
  <si>
    <t>Resale value</t>
  </si>
  <si>
    <t>Fuel cost (US$)</t>
  </si>
  <si>
    <t>O&amp;M Cost  (US$)</t>
  </si>
  <si>
    <t>Fuel price</t>
  </si>
  <si>
    <t>US$/L</t>
  </si>
  <si>
    <t>Specific fuel consumption</t>
  </si>
  <si>
    <t>L/km</t>
  </si>
  <si>
    <t>KHR/liter</t>
  </si>
  <si>
    <t>Fuel price growth</t>
  </si>
  <si>
    <t>Emission test costs</t>
  </si>
  <si>
    <t xml:space="preserve">  Administration Cost</t>
  </si>
  <si>
    <t>Fuel price (US$/L)</t>
  </si>
  <si>
    <t>Yearly fuel cost</t>
  </si>
  <si>
    <t>Vehicle price + taxes/costs</t>
  </si>
  <si>
    <t>Other O&amp;M costs (US$)</t>
  </si>
  <si>
    <t>cycle</t>
  </si>
  <si>
    <t>Variables</t>
  </si>
  <si>
    <t>Country</t>
  </si>
  <si>
    <t>Descriptions</t>
  </si>
  <si>
    <t>All</t>
  </si>
  <si>
    <t>Income tax</t>
  </si>
  <si>
    <t>Import tariff</t>
  </si>
  <si>
    <t>Basis of Taxation</t>
  </si>
  <si>
    <t>ID</t>
  </si>
  <si>
    <t>Dasar Pengenaan Pajak</t>
  </si>
  <si>
    <t>Registration Fee</t>
  </si>
  <si>
    <t>Prefential Additional Registration Fee  (PARF) Benefits</t>
  </si>
  <si>
    <t>Certified Entiltment</t>
  </si>
  <si>
    <t>SG</t>
  </si>
  <si>
    <t>One time tax</t>
  </si>
  <si>
    <t>Government Premium</t>
  </si>
  <si>
    <t>Resale Value</t>
  </si>
  <si>
    <t>KHR/km</t>
  </si>
  <si>
    <t>Battery Leasing?</t>
  </si>
  <si>
    <t>Yes</t>
  </si>
  <si>
    <t>No</t>
  </si>
  <si>
    <t>Battery leasing model</t>
  </si>
  <si>
    <t>Battery leasing?</t>
  </si>
  <si>
    <t>Profit ratio</t>
  </si>
  <si>
    <t>(minimum: 1)</t>
  </si>
  <si>
    <t>Minimimum Kilometre Travelled</t>
  </si>
  <si>
    <t>km/day</t>
  </si>
  <si>
    <t>Battery Leasing Model</t>
  </si>
  <si>
    <t>Battery price (plus taxes)</t>
  </si>
  <si>
    <t>Battery price (plus interests)</t>
  </si>
  <si>
    <t>Battery rental cost unit</t>
  </si>
  <si>
    <t>Minimum AKT</t>
  </si>
  <si>
    <t>Minimum battery rental cost</t>
  </si>
  <si>
    <t>Additional battery rental cost</t>
  </si>
  <si>
    <t>Mininum travelled (km)</t>
  </si>
  <si>
    <t>Mininum Kilometres traveled</t>
  </si>
  <si>
    <t>Basic vehicle price</t>
  </si>
  <si>
    <t>Net  vehicle price</t>
  </si>
  <si>
    <t>Battery price + import levy</t>
  </si>
  <si>
    <t>Net Vehicle Price</t>
  </si>
  <si>
    <t>Net vehicle price</t>
  </si>
  <si>
    <t>Yearly O&amp;M Cost</t>
  </si>
  <si>
    <t>Incentive</t>
  </si>
  <si>
    <t>Incentive &amp; discount</t>
  </si>
  <si>
    <t>Incentive/Incentive</t>
  </si>
  <si>
    <t>Incentive/Inscentive &amp; discount</t>
  </si>
  <si>
    <t>Diesel price per L</t>
  </si>
  <si>
    <t>Diesel cost per km</t>
  </si>
  <si>
    <t>Gasoline price per L</t>
  </si>
  <si>
    <t>Gasoline cost per km</t>
  </si>
  <si>
    <t>Road tax</t>
  </si>
  <si>
    <t>Net Vehicle price</t>
  </si>
  <si>
    <t>Diesel price</t>
  </si>
  <si>
    <t>Gasoline price</t>
  </si>
  <si>
    <t>Yearly operational Cost</t>
  </si>
  <si>
    <t>E-bus</t>
  </si>
  <si>
    <t>ICE-bus</t>
  </si>
  <si>
    <t>Parameter change (%)</t>
  </si>
  <si>
    <t>TCO Change (%)</t>
  </si>
  <si>
    <t>Vehicle Price</t>
  </si>
  <si>
    <t>Electricity tarrif</t>
  </si>
  <si>
    <t>AKT</t>
  </si>
  <si>
    <t>O&amp;M costs</t>
  </si>
  <si>
    <t>E-truck</t>
  </si>
  <si>
    <t>ICE-truck</t>
  </si>
  <si>
    <t>E-cargo</t>
  </si>
  <si>
    <t>ICE-cargo</t>
  </si>
  <si>
    <t>Fuel Price</t>
  </si>
  <si>
    <t>CAMBODIA</t>
  </si>
  <si>
    <t>Energy Efficiency</t>
  </si>
  <si>
    <t>Manufacturer’s Recommended Retail Price (MRRP)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</si>
</sst>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_-;\-* #,##0_-;_-* &quot;-&quot;??_-;_-@"/>
    <numFmt numFmtId="165" formatCode="_-* #,##0.00_-;\-* #,##0.00_-;_-* &quot;-&quot;??_-;_-@"/>
    <numFmt numFmtId="166" formatCode="_(* #,##0_);_(* \(#,##0\);_(* &quot;-&quot;??_);_(@_)"/>
    <numFmt numFmtId="167" formatCode="_-* #,##0_-;\-* #,##0_-;_-* &quot;-&quot;_-;_-@"/>
    <numFmt numFmtId="168" formatCode="_-* #,##0.0000_-;\-* #,##0.0000_-;_-* &quot;-&quot;_-;_-@"/>
    <numFmt numFmtId="169" formatCode="_-* #,##0.00_-;\-* #,##0.00_-;_-* &quot;-&quot;_-;_-@"/>
    <numFmt numFmtId="170" formatCode="0.000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4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rgb="FFFEF2CB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6" fillId="0" borderId="1"/>
  </cellStyleXfs>
  <cellXfs count="128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164" fontId="3" fillId="2" borderId="1" xfId="0" applyNumberFormat="1" applyFont="1" applyFill="1" applyBorder="1"/>
    <xf numFmtId="2" fontId="3" fillId="2" borderId="1" xfId="0" applyNumberFormat="1" applyFont="1" applyFill="1" applyBorder="1"/>
    <xf numFmtId="165" fontId="4" fillId="2" borderId="1" xfId="0" applyNumberFormat="1" applyFont="1" applyFill="1" applyBorder="1"/>
    <xf numFmtId="166" fontId="4" fillId="2" borderId="1" xfId="0" applyNumberFormat="1" applyFont="1" applyFill="1" applyBorder="1"/>
    <xf numFmtId="167" fontId="4" fillId="2" borderId="1" xfId="0" applyNumberFormat="1" applyFont="1" applyFill="1" applyBorder="1"/>
    <xf numFmtId="0" fontId="3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3" fillId="2" borderId="3" xfId="0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1" xfId="0" applyFont="1" applyFill="1" applyBorder="1" applyAlignment="1">
      <alignment horizontal="left"/>
    </xf>
    <xf numFmtId="164" fontId="4" fillId="3" borderId="1" xfId="0" applyNumberFormat="1" applyFont="1" applyFill="1" applyBorder="1"/>
    <xf numFmtId="164" fontId="3" fillId="3" borderId="1" xfId="0" applyNumberFormat="1" applyFont="1" applyFill="1" applyBorder="1"/>
    <xf numFmtId="168" fontId="4" fillId="2" borderId="1" xfId="0" applyNumberFormat="1" applyFont="1" applyFill="1" applyBorder="1"/>
    <xf numFmtId="167" fontId="4" fillId="3" borderId="1" xfId="0" applyNumberFormat="1" applyFont="1" applyFill="1" applyBorder="1"/>
    <xf numFmtId="169" fontId="4" fillId="3" borderId="1" xfId="0" applyNumberFormat="1" applyFont="1" applyFill="1" applyBorder="1"/>
    <xf numFmtId="0" fontId="3" fillId="2" borderId="5" xfId="0" applyFont="1" applyFill="1" applyBorder="1"/>
    <xf numFmtId="164" fontId="4" fillId="2" borderId="1" xfId="0" applyNumberFormat="1" applyFont="1" applyFill="1" applyBorder="1"/>
    <xf numFmtId="0" fontId="4" fillId="2" borderId="5" xfId="0" applyFont="1" applyFill="1" applyBorder="1" applyAlignment="1">
      <alignment horizontal="left"/>
    </xf>
    <xf numFmtId="0" fontId="4" fillId="0" borderId="0" xfId="0" applyFont="1"/>
    <xf numFmtId="169" fontId="4" fillId="2" borderId="1" xfId="0" applyNumberFormat="1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165" fontId="4" fillId="4" borderId="1" xfId="0" applyNumberFormat="1" applyFont="1" applyFill="1" applyBorder="1"/>
    <xf numFmtId="167" fontId="4" fillId="4" borderId="1" xfId="0" applyNumberFormat="1" applyFont="1" applyFill="1" applyBorder="1"/>
    <xf numFmtId="164" fontId="4" fillId="4" borderId="1" xfId="0" applyNumberFormat="1" applyFont="1" applyFill="1" applyBorder="1"/>
    <xf numFmtId="43" fontId="4" fillId="2" borderId="1" xfId="0" applyNumberFormat="1" applyFont="1" applyFill="1" applyBorder="1"/>
    <xf numFmtId="1" fontId="4" fillId="4" borderId="1" xfId="0" applyNumberFormat="1" applyFont="1" applyFill="1" applyBorder="1"/>
    <xf numFmtId="1" fontId="4" fillId="2" borderId="1" xfId="0" applyNumberFormat="1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5" borderId="1" xfId="0" applyFont="1" applyFill="1" applyBorder="1"/>
    <xf numFmtId="167" fontId="4" fillId="5" borderId="1" xfId="0" applyNumberFormat="1" applyFont="1" applyFill="1" applyBorder="1"/>
    <xf numFmtId="167" fontId="4" fillId="2" borderId="3" xfId="0" applyNumberFormat="1" applyFont="1" applyFill="1" applyBorder="1"/>
    <xf numFmtId="170" fontId="4" fillId="2" borderId="1" xfId="0" applyNumberFormat="1" applyFont="1" applyFill="1" applyBorder="1"/>
    <xf numFmtId="169" fontId="3" fillId="2" borderId="1" xfId="0" applyNumberFormat="1" applyFont="1" applyFill="1" applyBorder="1"/>
    <xf numFmtId="165" fontId="3" fillId="2" borderId="1" xfId="0" applyNumberFormat="1" applyFont="1" applyFill="1" applyBorder="1"/>
    <xf numFmtId="164" fontId="4" fillId="5" borderId="1" xfId="0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66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/>
    <xf numFmtId="10" fontId="4" fillId="2" borderId="1" xfId="0" applyNumberFormat="1" applyFont="1" applyFill="1" applyBorder="1"/>
    <xf numFmtId="165" fontId="4" fillId="5" borderId="1" xfId="0" applyNumberFormat="1" applyFont="1" applyFill="1" applyBorder="1"/>
    <xf numFmtId="1" fontId="4" fillId="5" borderId="1" xfId="0" applyNumberFormat="1" applyFont="1" applyFill="1" applyBorder="1"/>
    <xf numFmtId="0" fontId="5" fillId="2" borderId="1" xfId="0" applyFont="1" applyFill="1" applyBorder="1" applyAlignment="1">
      <alignment horizontal="left"/>
    </xf>
    <xf numFmtId="0" fontId="6" fillId="0" borderId="0" xfId="0" applyFont="1"/>
    <xf numFmtId="0" fontId="8" fillId="2" borderId="2" xfId="0" applyFont="1" applyFill="1" applyBorder="1"/>
    <xf numFmtId="0" fontId="9" fillId="2" borderId="3" xfId="0" applyFont="1" applyFill="1" applyBorder="1"/>
    <xf numFmtId="0" fontId="9" fillId="2" borderId="4" xfId="0" applyFont="1" applyFill="1" applyBorder="1"/>
    <xf numFmtId="0" fontId="8" fillId="2" borderId="3" xfId="0" applyFont="1" applyFill="1" applyBorder="1"/>
    <xf numFmtId="0" fontId="9" fillId="2" borderId="5" xfId="0" applyFont="1" applyFill="1" applyBorder="1"/>
    <xf numFmtId="167" fontId="9" fillId="2" borderId="1" xfId="0" applyNumberFormat="1" applyFont="1" applyFill="1" applyBorder="1"/>
    <xf numFmtId="0" fontId="9" fillId="2" borderId="1" xfId="0" applyFont="1" applyFill="1" applyBorder="1"/>
    <xf numFmtId="0" fontId="9" fillId="2" borderId="6" xfId="0" applyFont="1" applyFill="1" applyBorder="1"/>
    <xf numFmtId="0" fontId="9" fillId="2" borderId="1" xfId="0" applyFont="1" applyFill="1" applyBorder="1" applyAlignment="1">
      <alignment horizontal="left"/>
    </xf>
    <xf numFmtId="165" fontId="9" fillId="2" borderId="1" xfId="0" applyNumberFormat="1" applyFont="1" applyFill="1" applyBorder="1"/>
    <xf numFmtId="0" fontId="8" fillId="2" borderId="5" xfId="0" applyFont="1" applyFill="1" applyBorder="1"/>
    <xf numFmtId="0" fontId="8" fillId="2" borderId="1" xfId="0" applyFont="1" applyFill="1" applyBorder="1"/>
    <xf numFmtId="169" fontId="9" fillId="2" borderId="1" xfId="0" applyNumberFormat="1" applyFont="1" applyFill="1" applyBorder="1"/>
    <xf numFmtId="0" fontId="9" fillId="2" borderId="5" xfId="0" applyFont="1" applyFill="1" applyBorder="1" applyAlignment="1">
      <alignment horizontal="left"/>
    </xf>
    <xf numFmtId="166" fontId="9" fillId="2" borderId="1" xfId="0" applyNumberFormat="1" applyFont="1" applyFill="1" applyBorder="1"/>
    <xf numFmtId="0" fontId="7" fillId="2" borderId="1" xfId="0" applyFont="1" applyFill="1" applyBorder="1"/>
    <xf numFmtId="0" fontId="4" fillId="6" borderId="1" xfId="0" applyFont="1" applyFill="1" applyBorder="1"/>
    <xf numFmtId="165" fontId="4" fillId="7" borderId="1" xfId="0" applyNumberFormat="1" applyFont="1" applyFill="1" applyBorder="1"/>
    <xf numFmtId="167" fontId="4" fillId="6" borderId="1" xfId="0" applyNumberFormat="1" applyFont="1" applyFill="1" applyBorder="1"/>
    <xf numFmtId="1" fontId="4" fillId="7" borderId="1" xfId="0" applyNumberFormat="1" applyFont="1" applyFill="1" applyBorder="1"/>
    <xf numFmtId="164" fontId="4" fillId="7" borderId="1" xfId="0" applyNumberFormat="1" applyFont="1" applyFill="1" applyBorder="1"/>
    <xf numFmtId="164" fontId="4" fillId="6" borderId="1" xfId="0" applyNumberFormat="1" applyFont="1" applyFill="1" applyBorder="1"/>
    <xf numFmtId="0" fontId="2" fillId="0" borderId="0" xfId="0" applyFont="1"/>
    <xf numFmtId="0" fontId="7" fillId="2" borderId="1" xfId="0" applyFont="1" applyFill="1" applyBorder="1" applyAlignment="1">
      <alignment horizontal="left"/>
    </xf>
    <xf numFmtId="0" fontId="10" fillId="8" borderId="0" xfId="0" applyFont="1" applyFill="1"/>
    <xf numFmtId="0" fontId="0" fillId="8" borderId="0" xfId="0" applyFill="1"/>
    <xf numFmtId="0" fontId="7" fillId="9" borderId="6" xfId="0" applyFont="1" applyFill="1" applyBorder="1"/>
    <xf numFmtId="0" fontId="0" fillId="10" borderId="0" xfId="0" applyFill="1"/>
    <xf numFmtId="0" fontId="7" fillId="9" borderId="1" xfId="0" applyFont="1" applyFill="1" applyBorder="1"/>
    <xf numFmtId="0" fontId="7" fillId="2" borderId="8" xfId="0" applyFont="1" applyFill="1" applyBorder="1"/>
    <xf numFmtId="167" fontId="7" fillId="2" borderId="8" xfId="0" applyNumberFormat="1" applyFont="1" applyFill="1" applyBorder="1"/>
    <xf numFmtId="0" fontId="7" fillId="2" borderId="9" xfId="0" applyFont="1" applyFill="1" applyBorder="1"/>
    <xf numFmtId="0" fontId="0" fillId="11" borderId="0" xfId="0" applyFill="1"/>
    <xf numFmtId="0" fontId="11" fillId="2" borderId="1" xfId="0" applyFont="1" applyFill="1" applyBorder="1"/>
    <xf numFmtId="166" fontId="7" fillId="2" borderId="1" xfId="1" applyNumberFormat="1" applyFont="1" applyFill="1" applyBorder="1"/>
    <xf numFmtId="43" fontId="7" fillId="2" borderId="1" xfId="1" applyFont="1" applyFill="1" applyBorder="1"/>
    <xf numFmtId="167" fontId="7" fillId="2" borderId="1" xfId="0" applyNumberFormat="1" applyFont="1" applyFill="1" applyBorder="1"/>
    <xf numFmtId="166" fontId="7" fillId="2" borderId="1" xfId="0" applyNumberFormat="1" applyFont="1" applyFill="1" applyBorder="1"/>
    <xf numFmtId="0" fontId="2" fillId="11" borderId="0" xfId="0" applyFont="1" applyFill="1"/>
    <xf numFmtId="167" fontId="7" fillId="2" borderId="0" xfId="0" applyNumberFormat="1" applyFont="1" applyFill="1"/>
    <xf numFmtId="169" fontId="7" fillId="2" borderId="1" xfId="0" applyNumberFormat="1" applyFont="1" applyFill="1" applyBorder="1"/>
    <xf numFmtId="0" fontId="11" fillId="4" borderId="1" xfId="0" applyFont="1" applyFill="1" applyBorder="1"/>
    <xf numFmtId="0" fontId="7" fillId="4" borderId="1" xfId="0" applyFont="1" applyFill="1" applyBorder="1"/>
    <xf numFmtId="164" fontId="7" fillId="4" borderId="1" xfId="0" applyNumberFormat="1" applyFont="1" applyFill="1" applyBorder="1"/>
    <xf numFmtId="167" fontId="7" fillId="4" borderId="1" xfId="0" applyNumberFormat="1" applyFont="1" applyFill="1" applyBorder="1"/>
    <xf numFmtId="1" fontId="7" fillId="4" borderId="1" xfId="0" applyNumberFormat="1" applyFont="1" applyFill="1" applyBorder="1"/>
    <xf numFmtId="0" fontId="7" fillId="5" borderId="1" xfId="0" applyFont="1" applyFill="1" applyBorder="1"/>
    <xf numFmtId="164" fontId="7" fillId="7" borderId="1" xfId="0" applyNumberFormat="1" applyFont="1" applyFill="1" applyBorder="1"/>
    <xf numFmtId="167" fontId="7" fillId="5" borderId="1" xfId="0" applyNumberFormat="1" applyFont="1" applyFill="1" applyBorder="1"/>
    <xf numFmtId="1" fontId="7" fillId="7" borderId="1" xfId="0" applyNumberFormat="1" applyFont="1" applyFill="1" applyBorder="1"/>
    <xf numFmtId="0" fontId="12" fillId="0" borderId="1" xfId="2" applyFont="1"/>
    <xf numFmtId="0" fontId="6" fillId="0" borderId="1" xfId="2"/>
    <xf numFmtId="0" fontId="6" fillId="0" borderId="1" xfId="2" applyAlignment="1">
      <alignment wrapText="1"/>
    </xf>
    <xf numFmtId="0" fontId="1" fillId="0" borderId="1" xfId="2" applyFont="1"/>
    <xf numFmtId="0" fontId="10" fillId="12" borderId="1" xfId="2" applyFont="1" applyFill="1" applyAlignment="1">
      <alignment horizontal="center" vertical="center"/>
    </xf>
    <xf numFmtId="0" fontId="10" fillId="12" borderId="1" xfId="2" applyFont="1" applyFill="1" applyAlignment="1">
      <alignment horizontal="center" vertical="center" wrapText="1"/>
    </xf>
    <xf numFmtId="0" fontId="10" fillId="0" borderId="1" xfId="2" applyFont="1" applyAlignment="1">
      <alignment wrapText="1"/>
    </xf>
    <xf numFmtId="0" fontId="10" fillId="12" borderId="1" xfId="2" applyFont="1" applyFill="1"/>
    <xf numFmtId="1" fontId="6" fillId="11" borderId="1" xfId="2" applyNumberFormat="1" applyFill="1" applyAlignment="1">
      <alignment wrapText="1"/>
    </xf>
    <xf numFmtId="1" fontId="6" fillId="11" borderId="1" xfId="2" applyNumberFormat="1" applyFill="1"/>
    <xf numFmtId="0" fontId="6" fillId="12" borderId="1" xfId="2" applyFill="1"/>
    <xf numFmtId="0" fontId="8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10" fillId="12" borderId="1" xfId="2" applyFont="1" applyFill="1" applyAlignment="1">
      <alignment horizontal="center" wrapText="1"/>
    </xf>
    <xf numFmtId="165" fontId="7" fillId="4" borderId="1" xfId="0" applyNumberFormat="1" applyFont="1" applyFill="1" applyBorder="1"/>
    <xf numFmtId="165" fontId="7" fillId="7" borderId="1" xfId="0" applyNumberFormat="1" applyFont="1" applyFill="1" applyBorder="1"/>
    <xf numFmtId="0" fontId="11" fillId="13" borderId="1" xfId="0" applyFont="1" applyFill="1" applyBorder="1"/>
    <xf numFmtId="1" fontId="7" fillId="2" borderId="1" xfId="0" applyNumberFormat="1" applyFont="1" applyFill="1" applyBorder="1"/>
    <xf numFmtId="0" fontId="10" fillId="12" borderId="1" xfId="2" applyFont="1" applyFill="1" applyAlignment="1">
      <alignment horizontal="center" vertical="center"/>
    </xf>
    <xf numFmtId="0" fontId="10" fillId="12" borderId="1" xfId="2" applyFont="1" applyFill="1" applyAlignment="1">
      <alignment horizontal="center" wrapText="1"/>
    </xf>
    <xf numFmtId="0" fontId="10" fillId="12" borderId="1" xfId="2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0C085487-D7AB-4894-AE25-C3EF1F416E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KH'!$P$55</c:f>
              <c:numCache>
                <c:formatCode>_-* #,##0_-;\-* #,##0_-;_-* "-"??_-;_-@</c:formatCode>
                <c:ptCount val="1"/>
                <c:pt idx="0">
                  <c:v>487415.09082277899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9D0-4321-ABA2-D33FB10495ED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KH'!$P$56</c:f>
              <c:numCache>
                <c:formatCode>_-* #,##0_-;\-* #,##0_-;_-* "-"??_-;_-@</c:formatCode>
                <c:ptCount val="1"/>
                <c:pt idx="0">
                  <c:v>68957.99652908626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9D0-4321-ABA2-D33FB10495ED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KH'!$P$57</c:f>
              <c:numCache>
                <c:formatCode>_-* #,##0_-;\-* #,##0_-;_-* "-"??_-;_-@</c:formatCode>
                <c:ptCount val="1"/>
                <c:pt idx="0">
                  <c:v>130418.36299933758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B9D0-4321-ABA2-D33FB10495ED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KH'!$P$58</c:f>
              <c:numCache>
                <c:formatCode>_-* #,##0_-;\-* #,##0_-;_-* "-"??_-;_-@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B9D0-4321-ABA2-D33FB10495ED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KH'!$P$59</c:f>
              <c:numCache>
                <c:formatCode>_-* #,##0_-;\-* #,##0_-;_-* "-"??_-;_-@</c:formatCode>
                <c:ptCount val="1"/>
                <c:pt idx="0">
                  <c:v>-81533.933848791523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B9D0-4321-ABA2-D33FB1049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1465520"/>
        <c:axId val="2061315911"/>
      </c:barChart>
      <c:catAx>
        <c:axId val="153146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061315911"/>
        <c:crosses val="autoZero"/>
        <c:auto val="1"/>
        <c:lblAlgn val="ctr"/>
        <c:lblOffset val="100"/>
        <c:noMultiLvlLbl val="1"/>
      </c:catAx>
      <c:valAx>
        <c:axId val="20613159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53146552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KH'!$R$55</c:f>
              <c:numCache>
                <c:formatCode>0.00</c:formatCode>
                <c:ptCount val="1"/>
                <c:pt idx="0">
                  <c:v>1.0135055535697808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857-4C5A-A77A-65CD0509B6A1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KH'!$R$56</c:f>
              <c:numCache>
                <c:formatCode>0.00</c:formatCode>
                <c:ptCount val="1"/>
                <c:pt idx="0">
                  <c:v>0.14338766640831377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857-4C5A-A77A-65CD0509B6A1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KH'!$R$57</c:f>
              <c:numCache>
                <c:formatCode>0.00</c:formatCode>
                <c:ptCount val="1"/>
                <c:pt idx="0">
                  <c:v>0.27118515137515092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1857-4C5A-A77A-65CD0509B6A1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KH'!$R$58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1857-4C5A-A77A-65CD0509B6A1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KH'!$R$59</c:f>
              <c:numCache>
                <c:formatCode>0.00</c:formatCode>
                <c:ptCount val="1"/>
                <c:pt idx="0">
                  <c:v>-0.16953741547199436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1857-4C5A-A77A-65CD0509B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8290288"/>
        <c:axId val="273436596"/>
      </c:barChart>
      <c:catAx>
        <c:axId val="102829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73436596"/>
        <c:crosses val="autoZero"/>
        <c:auto val="1"/>
        <c:lblAlgn val="ctr"/>
        <c:lblOffset val="100"/>
        <c:noMultiLvlLbl val="1"/>
      </c:catAx>
      <c:valAx>
        <c:axId val="2734365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02829028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KH'!$P$55</c:f>
              <c:numCache>
                <c:formatCode>_-* #,##0_-;\-* #,##0_-;_-* "-"??_-;_-@</c:formatCode>
                <c:ptCount val="1"/>
                <c:pt idx="0">
                  <c:v>196756.52066718295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26A-4D41-B52D-54AAA1F4DBDF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KH'!$P$56</c:f>
              <c:numCache>
                <c:formatCode>_-* #,##0_-;\-* #,##0_-;_-* "-"??_-;_-@</c:formatCode>
                <c:ptCount val="1"/>
                <c:pt idx="0">
                  <c:v>194633.40073710546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26A-4D41-B52D-54AAA1F4DBDF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226A-4D41-B52D-54AAA1F4DBDF}"/>
              </c:ext>
            </c:extLst>
          </c:dPt>
          <c:val>
            <c:numRef>
              <c:f>'ICE-Bus KH'!$P$57</c:f>
              <c:numCache>
                <c:formatCode>_-* #,##0_-;\-* #,##0_-;_-* "-"??_-;_-@</c:formatCode>
                <c:ptCount val="1"/>
                <c:pt idx="0">
                  <c:v>77537.599506413302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226A-4D41-B52D-54AAA1F4DBDF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KH'!$P$58</c:f>
              <c:numCache>
                <c:formatCode>_-* #,##0_-;\-* #,##0_-;_-* "-"??_-;_-@</c:formatCode>
                <c:ptCount val="1"/>
                <c:pt idx="0">
                  <c:v>-34532.041146440723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226A-4D41-B52D-54AAA1F4D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394782"/>
        <c:axId val="1681998123"/>
      </c:barChart>
      <c:catAx>
        <c:axId val="6953947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681998123"/>
        <c:crosses val="autoZero"/>
        <c:auto val="1"/>
        <c:lblAlgn val="ctr"/>
        <c:lblOffset val="100"/>
        <c:noMultiLvlLbl val="1"/>
      </c:catAx>
      <c:valAx>
        <c:axId val="16819981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69539478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KH'!$R$55</c:f>
              <c:numCache>
                <c:formatCode>0.00</c:formatCode>
                <c:ptCount val="1"/>
                <c:pt idx="0">
                  <c:v>0.40912526130579502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847-4A66-92A3-D306E9903440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KH'!$R$56</c:f>
              <c:numCache>
                <c:formatCode>0.00</c:formatCode>
                <c:ptCount val="1"/>
                <c:pt idx="0">
                  <c:v>0.40471055630272285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847-4A66-92A3-D306E9903440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KH'!$R$57</c:f>
              <c:numCache>
                <c:formatCode>0.00</c:formatCode>
                <c:ptCount val="1"/>
                <c:pt idx="0">
                  <c:v>0.16122764598355924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847-4A66-92A3-D306E9903440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KH'!$R$58</c:f>
              <c:numCache>
                <c:formatCode>0.00</c:formatCode>
                <c:ptCount val="1"/>
                <c:pt idx="0">
                  <c:v>-7.1804127810115456E-2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8847-4A66-92A3-D306E990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4829283"/>
        <c:axId val="430653563"/>
      </c:barChart>
      <c:catAx>
        <c:axId val="9748292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430653563"/>
        <c:crosses val="autoZero"/>
        <c:auto val="1"/>
        <c:lblAlgn val="ctr"/>
        <c:lblOffset val="100"/>
        <c:noMultiLvlLbl val="1"/>
      </c:catAx>
      <c:valAx>
        <c:axId val="4306535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97482928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KH'!$P$55</c:f>
              <c:numCache>
                <c:formatCode>_-* #,##0_-;\-* #,##0_-;_-* "-"??_-;_-@</c:formatCode>
                <c:ptCount val="1"/>
                <c:pt idx="0">
                  <c:v>72086.379626281501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B01-4291-B30D-F7E99973C7E2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KH'!$P$56</c:f>
              <c:numCache>
                <c:formatCode>_-* #,##0_-;\-* #,##0_-;_-* "-"??_-;_-@</c:formatCode>
                <c:ptCount val="1"/>
                <c:pt idx="0">
                  <c:v>11007.538027304896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B01-4291-B30D-F7E99973C7E2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KH'!$P$57</c:f>
              <c:numCache>
                <c:formatCode>_-* #,##0_-;\-* #,##0_-;_-* "-"??_-;_-@</c:formatCode>
                <c:ptCount val="1"/>
                <c:pt idx="0">
                  <c:v>18828.198683870814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FB01-4291-B30D-F7E99973C7E2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KH'!$P$58</c:f>
              <c:numCache>
                <c:formatCode>_-* #,##0_-;\-* #,##0_-;_-* "-"??_-;_-@</c:formatCode>
                <c:ptCount val="1"/>
                <c:pt idx="0">
                  <c:v>11885.2222671784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FB01-4291-B30D-F7E99973C7E2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KH'!$P$59</c:f>
              <c:numCache>
                <c:formatCode>_-* #,##0_-;\-* #,##0_-;_-* "-"??_-;_-@</c:formatCode>
                <c:ptCount val="1"/>
                <c:pt idx="0">
                  <c:v>-15163.382228930663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FB01-4291-B30D-F7E99973C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0189322"/>
        <c:axId val="129147326"/>
      </c:barChart>
      <c:catAx>
        <c:axId val="16301893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29147326"/>
        <c:crosses val="autoZero"/>
        <c:auto val="1"/>
        <c:lblAlgn val="ctr"/>
        <c:lblOffset val="100"/>
        <c:noMultiLvlLbl val="1"/>
      </c:catAx>
      <c:valAx>
        <c:axId val="1291473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63018932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KH'!$R$55</c:f>
              <c:numCache>
                <c:formatCode>0.00</c:formatCode>
                <c:ptCount val="1"/>
                <c:pt idx="0">
                  <c:v>0.18021594906570376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268-4249-A7AD-265CD80A1A66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KH'!$R$56</c:f>
              <c:numCache>
                <c:formatCode>0.00</c:formatCode>
                <c:ptCount val="1"/>
                <c:pt idx="0">
                  <c:v>2.751884506826224E-2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268-4249-A7AD-265CD80A1A66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KH'!$R$57</c:f>
              <c:numCache>
                <c:formatCode>0.00</c:formatCode>
                <c:ptCount val="1"/>
                <c:pt idx="0">
                  <c:v>4.7070496709677036E-2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268-4249-A7AD-265CD80A1A66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KH'!$R$58</c:f>
              <c:numCache>
                <c:formatCode>0.00</c:formatCode>
                <c:ptCount val="1"/>
                <c:pt idx="0">
                  <c:v>2.9713055667945999E-2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268-4249-A7AD-265CD80A1A66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KH'!$R$59</c:f>
              <c:numCache>
                <c:formatCode>0.00</c:formatCode>
                <c:ptCount val="1"/>
                <c:pt idx="0">
                  <c:v>-3.7908455572326659E-2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268-4249-A7AD-265CD80A1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6873154"/>
        <c:axId val="1280852493"/>
      </c:barChart>
      <c:catAx>
        <c:axId val="216873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280852493"/>
        <c:crosses val="autoZero"/>
        <c:auto val="1"/>
        <c:lblAlgn val="ctr"/>
        <c:lblOffset val="100"/>
        <c:noMultiLvlLbl val="1"/>
      </c:catAx>
      <c:valAx>
        <c:axId val="12808524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1687315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KH'!$P$55</c:f>
              <c:numCache>
                <c:formatCode>_-* #,##0_-;\-* #,##0_-;_-* "-"??_-;_-@</c:formatCode>
                <c:ptCount val="1"/>
                <c:pt idx="0">
                  <c:v>13655.697666401116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F89-4B7C-BBE7-225910C8FD52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KH'!$P$56</c:f>
              <c:numCache>
                <c:formatCode>_-* #,##0_-;\-* #,##0_-;_-* "-"??_-;_-@</c:formatCode>
                <c:ptCount val="1"/>
                <c:pt idx="0">
                  <c:v>52860.154292600513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F89-4B7C-BBE7-225910C8FD52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AF89-4B7C-BBE7-225910C8FD52}"/>
              </c:ext>
            </c:extLst>
          </c:dPt>
          <c:val>
            <c:numRef>
              <c:f>'ICE-Truck KH'!$P$57</c:f>
              <c:numCache>
                <c:formatCode>_-* #,##0_-;\-* #,##0_-;_-* "-"??_-;_-@</c:formatCode>
                <c:ptCount val="1"/>
                <c:pt idx="0">
                  <c:v>31182.974570566515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F89-4B7C-BBE7-225910C8FD52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KH'!$P$58</c:f>
              <c:numCache>
                <c:formatCode>_-* #,##0_-;\-* #,##0_-;_-* "-"??_-;_-@</c:formatCode>
                <c:ptCount val="1"/>
                <c:pt idx="0">
                  <c:v>-3050.2986263091566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AF89-4B7C-BBE7-225910C8F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0156689"/>
        <c:axId val="1139847180"/>
      </c:barChart>
      <c:catAx>
        <c:axId val="13201566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139847180"/>
        <c:crosses val="autoZero"/>
        <c:auto val="1"/>
        <c:lblAlgn val="ctr"/>
        <c:lblOffset val="100"/>
        <c:noMultiLvlLbl val="1"/>
      </c:catAx>
      <c:valAx>
        <c:axId val="1139847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2015668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KH'!$R$55</c:f>
              <c:numCache>
                <c:formatCode>0.00</c:formatCode>
                <c:ptCount val="1"/>
                <c:pt idx="0">
                  <c:v>3.4139244166002794E-2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D26-476A-BEEB-545D04DFB3CA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KH'!$R$56</c:f>
              <c:numCache>
                <c:formatCode>0.00</c:formatCode>
                <c:ptCount val="1"/>
                <c:pt idx="0">
                  <c:v>0.13215038573150129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D26-476A-BEEB-545D04DFB3CA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KH'!$R$57</c:f>
              <c:numCache>
                <c:formatCode>0.00</c:formatCode>
                <c:ptCount val="1"/>
                <c:pt idx="0">
                  <c:v>7.7957436426416282E-2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3D26-476A-BEEB-545D04DFB3CA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KH'!$R$58</c:f>
              <c:numCache>
                <c:formatCode>0.00</c:formatCode>
                <c:ptCount val="1"/>
                <c:pt idx="0">
                  <c:v>-7.6257465657728913E-3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3D26-476A-BEEB-545D04DFB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6773665"/>
        <c:axId val="1493506552"/>
      </c:barChart>
      <c:catAx>
        <c:axId val="7767736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493506552"/>
        <c:crosses val="autoZero"/>
        <c:auto val="1"/>
        <c:lblAlgn val="ctr"/>
        <c:lblOffset val="100"/>
        <c:noMultiLvlLbl val="1"/>
      </c:catAx>
      <c:valAx>
        <c:axId val="1493506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77677366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KH'!$P$55</c:f>
              <c:numCache>
                <c:formatCode>_-* #,##0_-;\-* #,##0_-;_-* "-"??_-;_-@</c:formatCode>
                <c:ptCount val="1"/>
                <c:pt idx="0">
                  <c:v>31176.56881748898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DF8-460E-A5FC-99A29EEE12CC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KH'!$P$56</c:f>
              <c:numCache>
                <c:formatCode>_-* #,##0_-;\-* #,##0_-;_-* "-"??_-;_-@</c:formatCode>
                <c:ptCount val="1"/>
                <c:pt idx="0">
                  <c:v>3131.0768115436758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DF8-460E-A5FC-99A29EEE12CC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KH'!$P$57</c:f>
              <c:numCache>
                <c:formatCode>_-* #,##0_-;\-* #,##0_-;_-* "-"??_-;_-@</c:formatCode>
                <c:ptCount val="1"/>
                <c:pt idx="0">
                  <c:v>3223.171598618816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DF8-460E-A5FC-99A29EEE12CC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KH'!$P$58</c:f>
              <c:numCache>
                <c:formatCode>_-* #,##0_-;\-* #,##0_-;_-* "-"??_-;_-@</c:formatCode>
                <c:ptCount val="1"/>
                <c:pt idx="0">
                  <c:v>2707.3574481147484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8DF8-460E-A5FC-99A29EEE12CC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KH'!$P$59</c:f>
              <c:numCache>
                <c:formatCode>_-* #,##0_-;\-* #,##0_-;_-* "-"??_-;_-@</c:formatCode>
                <c:ptCount val="1"/>
                <c:pt idx="0">
                  <c:v>-4948.5721580344116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8DF8-460E-A5FC-99A29EEE1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3741299"/>
        <c:axId val="485114893"/>
      </c:barChart>
      <c:catAx>
        <c:axId val="12837412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485114893"/>
        <c:crosses val="autoZero"/>
        <c:auto val="1"/>
        <c:lblAlgn val="ctr"/>
        <c:lblOffset val="100"/>
        <c:noMultiLvlLbl val="1"/>
      </c:catAx>
      <c:valAx>
        <c:axId val="4851148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28374129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KH'!$R$55</c:f>
              <c:numCache>
                <c:formatCode>0.00</c:formatCode>
                <c:ptCount val="1"/>
                <c:pt idx="0">
                  <c:v>0.20478565959990133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3C2-42BC-994A-F8324BED761D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KH'!$R$56</c:f>
              <c:numCache>
                <c:formatCode>0.00</c:formatCode>
                <c:ptCount val="1"/>
                <c:pt idx="0">
                  <c:v>2.0566715787859142E-2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3C2-42BC-994A-F8324BED761D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KH'!$R$57</c:f>
              <c:numCache>
                <c:formatCode>0.00</c:formatCode>
                <c:ptCount val="1"/>
                <c:pt idx="0">
                  <c:v>2.1171647389771519E-2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B3C2-42BC-994A-F8324BED761D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KH'!$R$58</c:f>
              <c:numCache>
                <c:formatCode>0.00</c:formatCode>
                <c:ptCount val="1"/>
                <c:pt idx="0">
                  <c:v>1.7783482975004917E-2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B3C2-42BC-994A-F8324BED761D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KH'!$R$59</c:f>
              <c:numCache>
                <c:formatCode>0.00</c:formatCode>
                <c:ptCount val="1"/>
                <c:pt idx="0">
                  <c:v>-3.2505071978681105E-2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B3C2-42BC-994A-F8324BED7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3831723"/>
        <c:axId val="185042097"/>
      </c:barChart>
      <c:catAx>
        <c:axId val="10538317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85042097"/>
        <c:crosses val="autoZero"/>
        <c:auto val="1"/>
        <c:lblAlgn val="ctr"/>
        <c:lblOffset val="100"/>
        <c:noMultiLvlLbl val="1"/>
      </c:catAx>
      <c:valAx>
        <c:axId val="1850420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05383172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KH'!$P$55</c:f>
              <c:numCache>
                <c:formatCode>_-* #,##0_-;\-* #,##0_-;_-* "-"??_-;_-@</c:formatCode>
                <c:ptCount val="1"/>
                <c:pt idx="0">
                  <c:v>8966.1199291374505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791-4864-9ACE-F033BF7C560A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KH'!$P$56</c:f>
              <c:numCache>
                <c:formatCode>_-* #,##0_-;\-* #,##0_-;_-* "-"??_-;_-@</c:formatCode>
                <c:ptCount val="1"/>
                <c:pt idx="0">
                  <c:v>10653.906381390711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791-4864-9ACE-F033BF7C560A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9791-4864-9ACE-F033BF7C560A}"/>
              </c:ext>
            </c:extLst>
          </c:dPt>
          <c:val>
            <c:numRef>
              <c:f>'ICE-Cargo KH'!$P$57</c:f>
              <c:numCache>
                <c:formatCode>_-* #,##0_-;\-* #,##0_-;_-* "-"??_-;_-@</c:formatCode>
                <c:ptCount val="1"/>
                <c:pt idx="0">
                  <c:v>4010.7947387836107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9791-4864-9ACE-F033BF7C560A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KH'!$P$58</c:f>
              <c:numCache>
                <c:formatCode>_-* #,##0_-;\-* #,##0_-;_-* "-"??_-;_-@</c:formatCode>
                <c:ptCount val="1"/>
                <c:pt idx="0">
                  <c:v>-1573.6120016099569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9791-4864-9ACE-F033BF7C5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8224705"/>
        <c:axId val="1788495802"/>
      </c:barChart>
      <c:catAx>
        <c:axId val="13682247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788495802"/>
        <c:crosses val="autoZero"/>
        <c:auto val="1"/>
        <c:lblAlgn val="ctr"/>
        <c:lblOffset val="100"/>
        <c:noMultiLvlLbl val="1"/>
      </c:catAx>
      <c:valAx>
        <c:axId val="17884958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36822470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KH'!$R$55</c:f>
              <c:numCache>
                <c:formatCode>0.00</c:formatCode>
                <c:ptCount val="1"/>
                <c:pt idx="0">
                  <c:v>5.8894639576572851E-2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700-438B-9082-33700CC4826D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KH'!$R$56</c:f>
              <c:numCache>
                <c:formatCode>0.00</c:formatCode>
                <c:ptCount val="1"/>
                <c:pt idx="0">
                  <c:v>6.9980993046444492E-2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700-438B-9082-33700CC4826D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KH'!$R$57</c:f>
              <c:numCache>
                <c:formatCode>0.00</c:formatCode>
                <c:ptCount val="1"/>
                <c:pt idx="0">
                  <c:v>2.6345209792325346E-2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1700-438B-9082-33700CC4826D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KH'!$R$58</c:f>
              <c:numCache>
                <c:formatCode>0.00</c:formatCode>
                <c:ptCount val="1"/>
                <c:pt idx="0">
                  <c:v>-1.0336389921242492E-2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1700-438B-9082-33700CC48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2225854"/>
        <c:axId val="676852838"/>
      </c:barChart>
      <c:catAx>
        <c:axId val="3122258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676852838"/>
        <c:crosses val="autoZero"/>
        <c:auto val="1"/>
        <c:lblAlgn val="ctr"/>
        <c:lblOffset val="100"/>
        <c:noMultiLvlLbl val="1"/>
      </c:catAx>
      <c:valAx>
        <c:axId val="6768528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31222585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Sensitivity!$C$5:$C$15</c:f>
              <c:numCache>
                <c:formatCode>0</c:formatCode>
                <c:ptCount val="11"/>
                <c:pt idx="0">
                  <c:v>-40.26510018738751</c:v>
                </c:pt>
                <c:pt idx="1">
                  <c:v>-32.212080149910008</c:v>
                </c:pt>
                <c:pt idx="2">
                  <c:v>-24.159060112432524</c:v>
                </c:pt>
                <c:pt idx="3">
                  <c:v>-16.106040074955001</c:v>
                </c:pt>
                <c:pt idx="4">
                  <c:v>-8.0530200374774843</c:v>
                </c:pt>
                <c:pt idx="5">
                  <c:v>0</c:v>
                </c:pt>
                <c:pt idx="6">
                  <c:v>8.0530200374775429</c:v>
                </c:pt>
                <c:pt idx="7">
                  <c:v>16.106040074955029</c:v>
                </c:pt>
                <c:pt idx="8">
                  <c:v>24.159060112432531</c:v>
                </c:pt>
                <c:pt idx="9">
                  <c:v>32.212080149910058</c:v>
                </c:pt>
                <c:pt idx="10">
                  <c:v>40.265100187387546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AD-41AF-BD25-8BA5EFA881A7}"/>
            </c:ext>
          </c:extLst>
        </c:ser>
        <c:ser>
          <c:idx val="2"/>
          <c:order val="1"/>
          <c:tx>
            <c:strRef>
              <c:f>Sensitivity!$D$4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Sensitivity!$D$5:$D$15</c:f>
              <c:numCache>
                <c:formatCode>0</c:formatCode>
                <c:ptCount val="11"/>
                <c:pt idx="0">
                  <c:v>-5.6965832434078756</c:v>
                </c:pt>
                <c:pt idx="1">
                  <c:v>-4.557266594726304</c:v>
                </c:pt>
                <c:pt idx="2">
                  <c:v>-3.4179499460447329</c:v>
                </c:pt>
                <c:pt idx="3">
                  <c:v>-2.2786332973631231</c:v>
                </c:pt>
                <c:pt idx="4">
                  <c:v>-1.139316648681552</c:v>
                </c:pt>
                <c:pt idx="5">
                  <c:v>0</c:v>
                </c:pt>
                <c:pt idx="6">
                  <c:v>1.1393166486815904</c:v>
                </c:pt>
                <c:pt idx="7">
                  <c:v>2.2786332973631618</c:v>
                </c:pt>
                <c:pt idx="8">
                  <c:v>3.4179499460447329</c:v>
                </c:pt>
                <c:pt idx="9">
                  <c:v>4.5572665947263422</c:v>
                </c:pt>
                <c:pt idx="10">
                  <c:v>5.6965832434079138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AD-41AF-BD25-8BA5EFA881A7}"/>
            </c:ext>
          </c:extLst>
        </c:ser>
        <c:ser>
          <c:idx val="3"/>
          <c:order val="2"/>
          <c:tx>
            <c:strRef>
              <c:f>Sensitivity!$E$4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Sensitivity!$E$5:$E$15</c:f>
              <c:numCache>
                <c:formatCode>0</c:formatCode>
                <c:ptCount val="11"/>
                <c:pt idx="0">
                  <c:v>-4.7762514695404841</c:v>
                </c:pt>
                <c:pt idx="1">
                  <c:v>-3.8210011756323756</c:v>
                </c:pt>
                <c:pt idx="2">
                  <c:v>-2.8657508817242867</c:v>
                </c:pt>
                <c:pt idx="3">
                  <c:v>-1.9105005878161976</c:v>
                </c:pt>
                <c:pt idx="4">
                  <c:v>-0.95525029390808902</c:v>
                </c:pt>
                <c:pt idx="5">
                  <c:v>0</c:v>
                </c:pt>
                <c:pt idx="6">
                  <c:v>0.95525029390810834</c:v>
                </c:pt>
                <c:pt idx="7">
                  <c:v>1.9105005878161976</c:v>
                </c:pt>
                <c:pt idx="8">
                  <c:v>2.8657508817243058</c:v>
                </c:pt>
                <c:pt idx="9">
                  <c:v>3.8210011756323952</c:v>
                </c:pt>
                <c:pt idx="10">
                  <c:v>4.7762514695404645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AD-41AF-BD25-8BA5EFA881A7}"/>
            </c:ext>
          </c:extLst>
        </c:ser>
        <c:ser>
          <c:idx val="4"/>
          <c:order val="3"/>
          <c:tx>
            <c:strRef>
              <c:f>Sensitivity!$F$4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Sensitivity!$F$5:$F$15</c:f>
              <c:numCache>
                <c:formatCode>0</c:formatCode>
                <c:ptCount val="11"/>
                <c:pt idx="0">
                  <c:v>-16.445919236577023</c:v>
                </c:pt>
                <c:pt idx="1">
                  <c:v>-13.156735389261559</c:v>
                </c:pt>
                <c:pt idx="2">
                  <c:v>-9.8675515419461757</c:v>
                </c:pt>
                <c:pt idx="3">
                  <c:v>-6.5783676946308089</c:v>
                </c:pt>
                <c:pt idx="4">
                  <c:v>-3.2891838473154045</c:v>
                </c:pt>
                <c:pt idx="5">
                  <c:v>0</c:v>
                </c:pt>
                <c:pt idx="6">
                  <c:v>3.2891838473154236</c:v>
                </c:pt>
                <c:pt idx="7">
                  <c:v>6.5783676946308285</c:v>
                </c:pt>
                <c:pt idx="8">
                  <c:v>9.8675515419461934</c:v>
                </c:pt>
                <c:pt idx="9">
                  <c:v>13.156735389261618</c:v>
                </c:pt>
                <c:pt idx="10">
                  <c:v>16.445919236577001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AD-41AF-BD25-8BA5EFA881A7}"/>
            </c:ext>
          </c:extLst>
        </c:ser>
        <c:ser>
          <c:idx val="5"/>
          <c:order val="4"/>
          <c:tx>
            <c:strRef>
              <c:f>Sensitivity!$G$4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Sensitivity!$G$5:$G$15</c:f>
              <c:numCache>
                <c:formatCode>0</c:formatCode>
                <c:ptCount val="11"/>
                <c:pt idx="0">
                  <c:v>-10.749335993169089</c:v>
                </c:pt>
                <c:pt idx="1">
                  <c:v>-8.5994687945352943</c:v>
                </c:pt>
                <c:pt idx="2">
                  <c:v>-6.4496015959014805</c:v>
                </c:pt>
                <c:pt idx="3">
                  <c:v>-4.299734397267609</c:v>
                </c:pt>
                <c:pt idx="4">
                  <c:v>-2.1498671986337947</c:v>
                </c:pt>
                <c:pt idx="5">
                  <c:v>0</c:v>
                </c:pt>
                <c:pt idx="6">
                  <c:v>2.1498671986338329</c:v>
                </c:pt>
                <c:pt idx="7">
                  <c:v>4.2997343972676472</c:v>
                </c:pt>
                <c:pt idx="8">
                  <c:v>6.4496015959014805</c:v>
                </c:pt>
                <c:pt idx="9">
                  <c:v>8.5994687945352748</c:v>
                </c:pt>
                <c:pt idx="10">
                  <c:v>10.749335993169108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AD-41AF-BD25-8BA5EFA881A7}"/>
            </c:ext>
          </c:extLst>
        </c:ser>
        <c:ser>
          <c:idx val="0"/>
          <c:order val="5"/>
          <c:tx>
            <c:strRef>
              <c:f>Sensitivity!$H$4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Sensitivity!$H$5:$H$15</c:f>
              <c:numCache>
                <c:formatCode>0</c:formatCode>
                <c:ptCount val="11"/>
                <c:pt idx="0">
                  <c:v>5.6965832434078951</c:v>
                </c:pt>
                <c:pt idx="1">
                  <c:v>4.5572665947263422</c:v>
                </c:pt>
                <c:pt idx="2">
                  <c:v>3.4179499460447329</c:v>
                </c:pt>
                <c:pt idx="3">
                  <c:v>2.2786332973631618</c:v>
                </c:pt>
                <c:pt idx="4">
                  <c:v>1.1393166486815904</c:v>
                </c:pt>
                <c:pt idx="5">
                  <c:v>0</c:v>
                </c:pt>
                <c:pt idx="6">
                  <c:v>-1.139316648681552</c:v>
                </c:pt>
                <c:pt idx="7">
                  <c:v>-2.2786332973631231</c:v>
                </c:pt>
                <c:pt idx="8">
                  <c:v>-3.4179499460447329</c:v>
                </c:pt>
                <c:pt idx="9">
                  <c:v>-4.557266594726304</c:v>
                </c:pt>
                <c:pt idx="10">
                  <c:v>-5.6965832434078756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AD-41AF-BD25-8BA5EFA88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89275070103599"/>
              <c:y val="0.48419455380295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798793642239705"/>
              <c:y val="9.69131922496989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Sensitivity!$C$20:$C$30</c:f>
              <c:numCache>
                <c:formatCode>0</c:formatCode>
                <c:ptCount val="11"/>
                <c:pt idx="0">
                  <c:v>-36.538670119701159</c:v>
                </c:pt>
                <c:pt idx="1">
                  <c:v>-29.230936095760928</c:v>
                </c:pt>
                <c:pt idx="2">
                  <c:v>-21.923202071820675</c:v>
                </c:pt>
                <c:pt idx="3">
                  <c:v>-14.615468047880443</c:v>
                </c:pt>
                <c:pt idx="4">
                  <c:v>-7.3077340239402364</c:v>
                </c:pt>
                <c:pt idx="5">
                  <c:v>0</c:v>
                </c:pt>
                <c:pt idx="6">
                  <c:v>7.3077340239402364</c:v>
                </c:pt>
                <c:pt idx="7">
                  <c:v>14.615468047880457</c:v>
                </c:pt>
                <c:pt idx="8">
                  <c:v>21.923202071820707</c:v>
                </c:pt>
                <c:pt idx="9">
                  <c:v>29.230936095760914</c:v>
                </c:pt>
                <c:pt idx="10">
                  <c:v>36.538670119701159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4-4D4B-B807-D9640871AF1A}"/>
            </c:ext>
          </c:extLst>
        </c:ser>
        <c:ser>
          <c:idx val="2"/>
          <c:order val="1"/>
          <c:tx>
            <c:strRef>
              <c:f>Sensitivity!$D$19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Sensitivity!$D$20:$D$30</c:f>
              <c:numCache>
                <c:formatCode>0</c:formatCode>
                <c:ptCount val="11"/>
                <c:pt idx="0">
                  <c:v>-5.5794284980726756</c:v>
                </c:pt>
                <c:pt idx="1">
                  <c:v>-4.4635427984581488</c:v>
                </c:pt>
                <c:pt idx="2">
                  <c:v>-3.3476570988436087</c:v>
                </c:pt>
                <c:pt idx="3">
                  <c:v>-2.2317713992290673</c:v>
                </c:pt>
                <c:pt idx="4">
                  <c:v>-1.115885699614541</c:v>
                </c:pt>
                <c:pt idx="5">
                  <c:v>0</c:v>
                </c:pt>
                <c:pt idx="6">
                  <c:v>1.1158856996145263</c:v>
                </c:pt>
                <c:pt idx="7">
                  <c:v>2.2317713992290527</c:v>
                </c:pt>
                <c:pt idx="8">
                  <c:v>3.347657098843579</c:v>
                </c:pt>
                <c:pt idx="9">
                  <c:v>4.4635427984581053</c:v>
                </c:pt>
                <c:pt idx="10">
                  <c:v>5.5794284980726614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4-4D4B-B807-D9640871AF1A}"/>
            </c:ext>
          </c:extLst>
        </c:ser>
        <c:ser>
          <c:idx val="3"/>
          <c:order val="2"/>
          <c:tx>
            <c:strRef>
              <c:f>Sensitivity!$E$19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Sensitivity!$E$20:$E$30</c:f>
              <c:numCache>
                <c:formatCode>0</c:formatCode>
                <c:ptCount val="11"/>
                <c:pt idx="0">
                  <c:v>-5.2001369358462588</c:v>
                </c:pt>
                <c:pt idx="1">
                  <c:v>-4.1601095486770152</c:v>
                </c:pt>
                <c:pt idx="2">
                  <c:v>-3.1200821615077583</c:v>
                </c:pt>
                <c:pt idx="3">
                  <c:v>-2.0800547743385005</c:v>
                </c:pt>
                <c:pt idx="4">
                  <c:v>-1.0400273871692725</c:v>
                </c:pt>
                <c:pt idx="5">
                  <c:v>0</c:v>
                </c:pt>
                <c:pt idx="6">
                  <c:v>1.040027387169228</c:v>
                </c:pt>
                <c:pt idx="7">
                  <c:v>2.0800547743385005</c:v>
                </c:pt>
                <c:pt idx="8">
                  <c:v>3.1200821615077583</c:v>
                </c:pt>
                <c:pt idx="9">
                  <c:v>4.1601095486770152</c:v>
                </c:pt>
                <c:pt idx="10">
                  <c:v>5.2001369358462588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84-4D4B-B807-D9640871AF1A}"/>
            </c:ext>
          </c:extLst>
        </c:ser>
        <c:ser>
          <c:idx val="4"/>
          <c:order val="3"/>
          <c:tx>
            <c:strRef>
              <c:f>Sensitivity!$F$19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Sensitivity!$F$20:$F$30</c:f>
              <c:numCache>
                <c:formatCode>0</c:formatCode>
                <c:ptCount val="11"/>
                <c:pt idx="0">
                  <c:v>-21.46373193181746</c:v>
                </c:pt>
                <c:pt idx="1">
                  <c:v>-18.191265735245178</c:v>
                </c:pt>
                <c:pt idx="2">
                  <c:v>-14.904905127312402</c:v>
                </c:pt>
                <c:pt idx="3">
                  <c:v>-11.603955387451188</c:v>
                </c:pt>
                <c:pt idx="4">
                  <c:v>-2.9945779693629304</c:v>
                </c:pt>
                <c:pt idx="5">
                  <c:v>0</c:v>
                </c:pt>
                <c:pt idx="6">
                  <c:v>2.9945779693629158</c:v>
                </c:pt>
                <c:pt idx="7">
                  <c:v>6.8694744973947248</c:v>
                </c:pt>
                <c:pt idx="8">
                  <c:v>9.8640524667576397</c:v>
                </c:pt>
                <c:pt idx="9">
                  <c:v>12.858630436120572</c:v>
                </c:pt>
                <c:pt idx="10">
                  <c:v>22.36379097956188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84-4D4B-B807-D9640871AF1A}"/>
            </c:ext>
          </c:extLst>
        </c:ser>
        <c:ser>
          <c:idx val="5"/>
          <c:order val="4"/>
          <c:tx>
            <c:strRef>
              <c:f>Sensitivity!$G$19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Sensitivity!$G$20:$G$30</c:f>
              <c:numCache>
                <c:formatCode>0</c:formatCode>
                <c:ptCount val="11"/>
                <c:pt idx="0">
                  <c:v>-9.3934613487420044</c:v>
                </c:pt>
                <c:pt idx="1">
                  <c:v>-7.5147690789936163</c:v>
                </c:pt>
                <c:pt idx="2">
                  <c:v>-5.6360768092452123</c:v>
                </c:pt>
                <c:pt idx="3">
                  <c:v>-3.7573845394968228</c:v>
                </c:pt>
                <c:pt idx="4">
                  <c:v>-1.878692269748419</c:v>
                </c:pt>
                <c:pt idx="5">
                  <c:v>0</c:v>
                </c:pt>
                <c:pt idx="6">
                  <c:v>1.8786922697483746</c:v>
                </c:pt>
                <c:pt idx="7">
                  <c:v>3.7573845394968082</c:v>
                </c:pt>
                <c:pt idx="8">
                  <c:v>5.6360768092452123</c:v>
                </c:pt>
                <c:pt idx="9">
                  <c:v>7.5147690789936012</c:v>
                </c:pt>
                <c:pt idx="10">
                  <c:v>9.393461348741976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84-4D4B-B807-D9640871AF1A}"/>
            </c:ext>
          </c:extLst>
        </c:ser>
        <c:ser>
          <c:idx val="0"/>
          <c:order val="5"/>
          <c:tx>
            <c:strRef>
              <c:f>Sensitivity!$H$19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Sensitivity!$H$20:$H$30</c:f>
              <c:numCache>
                <c:formatCode>0</c:formatCode>
                <c:ptCount val="11"/>
                <c:pt idx="0">
                  <c:v>5.5794284980726614</c:v>
                </c:pt>
                <c:pt idx="1">
                  <c:v>4.4635427984581053</c:v>
                </c:pt>
                <c:pt idx="2">
                  <c:v>3.347657098843579</c:v>
                </c:pt>
                <c:pt idx="3">
                  <c:v>2.2317713992290527</c:v>
                </c:pt>
                <c:pt idx="4">
                  <c:v>1.1158856996145263</c:v>
                </c:pt>
                <c:pt idx="5">
                  <c:v>0</c:v>
                </c:pt>
                <c:pt idx="6">
                  <c:v>-1.115885699614541</c:v>
                </c:pt>
                <c:pt idx="7">
                  <c:v>-2.2317713992290673</c:v>
                </c:pt>
                <c:pt idx="8">
                  <c:v>-3.3476570988436087</c:v>
                </c:pt>
                <c:pt idx="9">
                  <c:v>-4.4635427984581488</c:v>
                </c:pt>
                <c:pt idx="10">
                  <c:v>-5.5794284980726756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84-4D4B-B807-D9640871A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575371243996611"/>
              <c:y val="0.48534828107634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7078366796508"/>
              <c:y val="6.8255921134858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4045314648168978"/>
          <c:w val="0.93649009886074819"/>
          <c:h val="0.1298837645294338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</a:t>
            </a:r>
            <a:r>
              <a:rPr lang="en-US"/>
              <a:t>van</a:t>
            </a:r>
            <a:endParaRPr lang="id-ID"/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Sensitivity!$C$35:$C$45</c:f>
              <c:numCache>
                <c:formatCode>0</c:formatCode>
                <c:ptCount val="11"/>
                <c:pt idx="0">
                  <c:v>-44.172456748165175</c:v>
                </c:pt>
                <c:pt idx="1">
                  <c:v>-35.33796539853212</c:v>
                </c:pt>
                <c:pt idx="2">
                  <c:v>-26.503474048899118</c:v>
                </c:pt>
                <c:pt idx="3">
                  <c:v>-17.668982699266053</c:v>
                </c:pt>
                <c:pt idx="4">
                  <c:v>-8.8344913496330264</c:v>
                </c:pt>
                <c:pt idx="5">
                  <c:v>0</c:v>
                </c:pt>
                <c:pt idx="6">
                  <c:v>8.8344913496330459</c:v>
                </c:pt>
                <c:pt idx="7">
                  <c:v>17.668982699266092</c:v>
                </c:pt>
                <c:pt idx="8">
                  <c:v>26.503474048899118</c:v>
                </c:pt>
                <c:pt idx="9">
                  <c:v>35.337965398532106</c:v>
                </c:pt>
                <c:pt idx="10">
                  <c:v>44.172456748165175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DB-4AF4-BB79-0691F4DA9045}"/>
            </c:ext>
          </c:extLst>
        </c:ser>
        <c:ser>
          <c:idx val="2"/>
          <c:order val="1"/>
          <c:tx>
            <c:strRef>
              <c:f>Sensitivity!$D$34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Sensitivity!$D$35:$D$45</c:f>
              <c:numCache>
                <c:formatCode>0</c:formatCode>
                <c:ptCount val="11"/>
                <c:pt idx="0">
                  <c:v>-4.4362596744613274</c:v>
                </c:pt>
                <c:pt idx="1">
                  <c:v>-3.5490077395690953</c:v>
                </c:pt>
                <c:pt idx="2">
                  <c:v>-2.6617558046768215</c:v>
                </c:pt>
                <c:pt idx="3">
                  <c:v>-1.7745038697845268</c:v>
                </c:pt>
                <c:pt idx="4">
                  <c:v>-0.88725193489225318</c:v>
                </c:pt>
                <c:pt idx="5">
                  <c:v>0</c:v>
                </c:pt>
                <c:pt idx="6">
                  <c:v>0.88725193489227383</c:v>
                </c:pt>
                <c:pt idx="7">
                  <c:v>1.7745038697845477</c:v>
                </c:pt>
                <c:pt idx="8">
                  <c:v>2.6617558046768424</c:v>
                </c:pt>
                <c:pt idx="9">
                  <c:v>3.5490077395690953</c:v>
                </c:pt>
                <c:pt idx="10">
                  <c:v>4.4362596744613692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DB-4AF4-BB79-0691F4DA9045}"/>
            </c:ext>
          </c:extLst>
        </c:ser>
        <c:ser>
          <c:idx val="3"/>
          <c:order val="2"/>
          <c:tx>
            <c:strRef>
              <c:f>Sensitivity!$E$34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Sensitivity!$E$35:$E$45</c:f>
              <c:numCache>
                <c:formatCode>0</c:formatCode>
                <c:ptCount val="11"/>
                <c:pt idx="0">
                  <c:v>-10.684987730331121</c:v>
                </c:pt>
                <c:pt idx="1">
                  <c:v>-8.54799018426489</c:v>
                </c:pt>
                <c:pt idx="2">
                  <c:v>-6.41099263819864</c:v>
                </c:pt>
                <c:pt idx="3">
                  <c:v>-4.273995092132461</c:v>
                </c:pt>
                <c:pt idx="4">
                  <c:v>-2.1369975460661994</c:v>
                </c:pt>
                <c:pt idx="5">
                  <c:v>0</c:v>
                </c:pt>
                <c:pt idx="6">
                  <c:v>2.1369975460662198</c:v>
                </c:pt>
                <c:pt idx="7">
                  <c:v>4.2739950921324397</c:v>
                </c:pt>
                <c:pt idx="8">
                  <c:v>6.41099263819864</c:v>
                </c:pt>
                <c:pt idx="9">
                  <c:v>8.547990184264858</c:v>
                </c:pt>
                <c:pt idx="10">
                  <c:v>10.684987730331121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DB-4AF4-BB79-0691F4DA9045}"/>
            </c:ext>
          </c:extLst>
        </c:ser>
        <c:ser>
          <c:idx val="4"/>
          <c:order val="3"/>
          <c:tx>
            <c:strRef>
              <c:f>Sensitivity!$F$34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Sensitivity!$F$35:$F$45</c:f>
              <c:numCache>
                <c:formatCode>0</c:formatCode>
                <c:ptCount val="11"/>
                <c:pt idx="0">
                  <c:v>-16.255394838748831</c:v>
                </c:pt>
                <c:pt idx="1">
                  <c:v>-14.538681380927592</c:v>
                </c:pt>
                <c:pt idx="2">
                  <c:v>-12.821967923106396</c:v>
                </c:pt>
                <c:pt idx="3">
                  <c:v>-11.105254465285155</c:v>
                </c:pt>
                <c:pt idx="4">
                  <c:v>-9.3885410074639157</c:v>
                </c:pt>
                <c:pt idx="5">
                  <c:v>0</c:v>
                </c:pt>
                <c:pt idx="6">
                  <c:v>2.1003048353033784</c:v>
                </c:pt>
                <c:pt idx="7">
                  <c:v>4.2197892394808889</c:v>
                </c:pt>
                <c:pt idx="8">
                  <c:v>5.9365026973020667</c:v>
                </c:pt>
                <c:pt idx="9">
                  <c:v>8.076125648797353</c:v>
                </c:pt>
                <c:pt idx="10">
                  <c:v>9.7928391066186133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DB-4AF4-BB79-0691F4DA9045}"/>
            </c:ext>
          </c:extLst>
        </c:ser>
        <c:ser>
          <c:idx val="5"/>
          <c:order val="4"/>
          <c:tx>
            <c:strRef>
              <c:f>Sensitivity!$G$34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Sensitivity!$G$35:$G$45</c:f>
              <c:numCache>
                <c:formatCode>0</c:formatCode>
                <c:ptCount val="11"/>
                <c:pt idx="0">
                  <c:v>-4.147307614644788</c:v>
                </c:pt>
                <c:pt idx="1">
                  <c:v>-3.3178460917158015</c:v>
                </c:pt>
                <c:pt idx="2">
                  <c:v>-2.4883845687868766</c:v>
                </c:pt>
                <c:pt idx="3">
                  <c:v>-1.6589230458579109</c:v>
                </c:pt>
                <c:pt idx="4">
                  <c:v>-0.82946152292892461</c:v>
                </c:pt>
                <c:pt idx="5">
                  <c:v>0</c:v>
                </c:pt>
                <c:pt idx="6">
                  <c:v>0.82946152292900699</c:v>
                </c:pt>
                <c:pt idx="7">
                  <c:v>1.6589230458579316</c:v>
                </c:pt>
                <c:pt idx="8">
                  <c:v>2.4883845687868766</c:v>
                </c:pt>
                <c:pt idx="9">
                  <c:v>3.3178460917158632</c:v>
                </c:pt>
                <c:pt idx="10">
                  <c:v>4.1473076146448085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DB-4AF4-BB79-0691F4DA9045}"/>
            </c:ext>
          </c:extLst>
        </c:ser>
        <c:ser>
          <c:idx val="0"/>
          <c:order val="5"/>
          <c:tx>
            <c:strRef>
              <c:f>Sensitivity!$H$34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Sensitivity!$H$35:$H$45</c:f>
              <c:numCache>
                <c:formatCode>0</c:formatCode>
                <c:ptCount val="11"/>
                <c:pt idx="0">
                  <c:v>4.4362596744613692</c:v>
                </c:pt>
                <c:pt idx="1">
                  <c:v>3.5490077395690953</c:v>
                </c:pt>
                <c:pt idx="2">
                  <c:v>2.6617558046768424</c:v>
                </c:pt>
                <c:pt idx="3">
                  <c:v>1.7745038697845477</c:v>
                </c:pt>
                <c:pt idx="4">
                  <c:v>0.88725193489227383</c:v>
                </c:pt>
                <c:pt idx="5">
                  <c:v>0</c:v>
                </c:pt>
                <c:pt idx="6">
                  <c:v>-0.88725193489225318</c:v>
                </c:pt>
                <c:pt idx="7">
                  <c:v>-1.7745038697845268</c:v>
                </c:pt>
                <c:pt idx="8">
                  <c:v>-2.6617558046768215</c:v>
                </c:pt>
                <c:pt idx="9">
                  <c:v>-3.5490077395690953</c:v>
                </c:pt>
                <c:pt idx="10">
                  <c:v>-4.4362596744613274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DB-4AF4-BB79-0691F4DA9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688876220583397"/>
              <c:y val="0.50351757868330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1261858585176"/>
              <c:y val="6.63417659254690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Sensitivity!$P$5:$P$15</c:f>
              <c:numCache>
                <c:formatCode>0</c:formatCode>
                <c:ptCount val="11"/>
                <c:pt idx="0">
                  <c:v>-22.647164833984863</c:v>
                </c:pt>
                <c:pt idx="1">
                  <c:v>-18.117731867187889</c:v>
                </c:pt>
                <c:pt idx="2">
                  <c:v>-13.588298900390928</c:v>
                </c:pt>
                <c:pt idx="3">
                  <c:v>-9.0588659335939496</c:v>
                </c:pt>
                <c:pt idx="4">
                  <c:v>-4.5294329667969748</c:v>
                </c:pt>
                <c:pt idx="5">
                  <c:v>0</c:v>
                </c:pt>
                <c:pt idx="6">
                  <c:v>4.5294329667969615</c:v>
                </c:pt>
                <c:pt idx="7">
                  <c:v>9.0588659335939372</c:v>
                </c:pt>
                <c:pt idx="8">
                  <c:v>13.588298900390914</c:v>
                </c:pt>
                <c:pt idx="9">
                  <c:v>18.11773186718786</c:v>
                </c:pt>
                <c:pt idx="10">
                  <c:v>22.647164833984839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DB-4941-9450-F71218371910}"/>
            </c:ext>
          </c:extLst>
        </c:ser>
        <c:ser>
          <c:idx val="2"/>
          <c:order val="1"/>
          <c:tx>
            <c:strRef>
              <c:f>Sensitivity!$Q$4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Sensitivity!$Q$5:$Q$15</c:f>
              <c:numCache>
                <c:formatCode>0</c:formatCode>
                <c:ptCount val="11"/>
                <c:pt idx="0">
                  <c:v>-22.402788450138768</c:v>
                </c:pt>
                <c:pt idx="1">
                  <c:v>-17.922230760111031</c:v>
                </c:pt>
                <c:pt idx="2">
                  <c:v>-13.441673070083269</c:v>
                </c:pt>
                <c:pt idx="3">
                  <c:v>-8.961115380055503</c:v>
                </c:pt>
                <c:pt idx="4">
                  <c:v>-4.4805576900277515</c:v>
                </c:pt>
                <c:pt idx="5">
                  <c:v>0</c:v>
                </c:pt>
                <c:pt idx="6">
                  <c:v>4.4805576900277648</c:v>
                </c:pt>
                <c:pt idx="7">
                  <c:v>8.961115380055503</c:v>
                </c:pt>
                <c:pt idx="8">
                  <c:v>13.441673070083226</c:v>
                </c:pt>
                <c:pt idx="9">
                  <c:v>17.922230760111006</c:v>
                </c:pt>
                <c:pt idx="10">
                  <c:v>22.402788450138768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DB-4941-9450-F71218371910}"/>
            </c:ext>
          </c:extLst>
        </c:ser>
        <c:ser>
          <c:idx val="3"/>
          <c:order val="2"/>
          <c:tx>
            <c:strRef>
              <c:f>Sensitivity!$R$4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Sensitivity!$R$5:$R$15</c:f>
              <c:numCache>
                <c:formatCode>0</c:formatCode>
                <c:ptCount val="11"/>
                <c:pt idx="0">
                  <c:v>-8.8906961801840012</c:v>
                </c:pt>
                <c:pt idx="1">
                  <c:v>-7.1125569441471743</c:v>
                </c:pt>
                <c:pt idx="2">
                  <c:v>-5.3344177081104016</c:v>
                </c:pt>
                <c:pt idx="3">
                  <c:v>-3.5562784720735734</c:v>
                </c:pt>
                <c:pt idx="4">
                  <c:v>-1.7781392360368138</c:v>
                </c:pt>
                <c:pt idx="5">
                  <c:v>0</c:v>
                </c:pt>
                <c:pt idx="6">
                  <c:v>1.7781392360368002</c:v>
                </c:pt>
                <c:pt idx="7">
                  <c:v>3.5562784720735872</c:v>
                </c:pt>
                <c:pt idx="8">
                  <c:v>5.3344177081103741</c:v>
                </c:pt>
                <c:pt idx="9">
                  <c:v>7.1125569441471743</c:v>
                </c:pt>
                <c:pt idx="10">
                  <c:v>8.8906961801839746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DB-4941-9450-F71218371910}"/>
            </c:ext>
          </c:extLst>
        </c:ser>
        <c:ser>
          <c:idx val="4"/>
          <c:order val="3"/>
          <c:tx>
            <c:strRef>
              <c:f>Sensitivity!$S$4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Sensitivity!$S$5:$S$15</c:f>
              <c:numCache>
                <c:formatCode>0</c:formatCode>
                <c:ptCount val="11"/>
                <c:pt idx="0">
                  <c:v>-31.293484630322745</c:v>
                </c:pt>
                <c:pt idx="1">
                  <c:v>-25.034787704258193</c:v>
                </c:pt>
                <c:pt idx="2">
                  <c:v>-18.776090778193641</c:v>
                </c:pt>
                <c:pt idx="3">
                  <c:v>-12.517393852129091</c:v>
                </c:pt>
                <c:pt idx="4">
                  <c:v>-6.2586969260645793</c:v>
                </c:pt>
                <c:pt idx="5">
                  <c:v>0</c:v>
                </c:pt>
                <c:pt idx="6">
                  <c:v>6.2586969260645651</c:v>
                </c:pt>
                <c:pt idx="7">
                  <c:v>12.517393852129102</c:v>
                </c:pt>
                <c:pt idx="8">
                  <c:v>18.776090778193641</c:v>
                </c:pt>
                <c:pt idx="9">
                  <c:v>25.034787704258193</c:v>
                </c:pt>
                <c:pt idx="10">
                  <c:v>31.293484630322759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DB-4941-9450-F71218371910}"/>
            </c:ext>
          </c:extLst>
        </c:ser>
        <c:ser>
          <c:idx val="5"/>
          <c:order val="4"/>
          <c:tx>
            <c:strRef>
              <c:f>Sensitivity!$T$4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Sensitivity!$T$5:$T$15</c:f>
              <c:numCache>
                <c:formatCode>0</c:formatCode>
                <c:ptCount val="11"/>
                <c:pt idx="0">
                  <c:v>22.402788450138768</c:v>
                </c:pt>
                <c:pt idx="1">
                  <c:v>17.922230760111006</c:v>
                </c:pt>
                <c:pt idx="2">
                  <c:v>13.441673070083226</c:v>
                </c:pt>
                <c:pt idx="3">
                  <c:v>8.961115380055503</c:v>
                </c:pt>
                <c:pt idx="4">
                  <c:v>4.4805576900277648</c:v>
                </c:pt>
                <c:pt idx="5">
                  <c:v>0</c:v>
                </c:pt>
                <c:pt idx="6">
                  <c:v>-4.4805576900277515</c:v>
                </c:pt>
                <c:pt idx="7">
                  <c:v>-8.961115380055503</c:v>
                </c:pt>
                <c:pt idx="8">
                  <c:v>-13.441673070083269</c:v>
                </c:pt>
                <c:pt idx="9">
                  <c:v>-17.922230760111031</c:v>
                </c:pt>
                <c:pt idx="10">
                  <c:v>-22.402788450138768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DB-4941-9450-F7121837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017322242378667"/>
              <c:y val="0.44719021196936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Sensitivity!$P$20:$P$30</c:f>
              <c:numCache>
                <c:formatCode>0</c:formatCode>
                <c:ptCount val="11"/>
                <c:pt idx="0">
                  <c:v>-7.2138986040853972</c:v>
                </c:pt>
                <c:pt idx="1">
                  <c:v>-5.7711188832683238</c:v>
                </c:pt>
                <c:pt idx="2">
                  <c:v>-4.3283391624512353</c:v>
                </c:pt>
                <c:pt idx="3">
                  <c:v>-2.885559441634177</c:v>
                </c:pt>
                <c:pt idx="4">
                  <c:v>-1.442779720817104</c:v>
                </c:pt>
                <c:pt idx="5">
                  <c:v>0</c:v>
                </c:pt>
                <c:pt idx="6">
                  <c:v>1.4427797208170425</c:v>
                </c:pt>
                <c:pt idx="7">
                  <c:v>2.8855594416341468</c:v>
                </c:pt>
                <c:pt idx="8">
                  <c:v>4.3283391624512193</c:v>
                </c:pt>
                <c:pt idx="9">
                  <c:v>5.7711188832682625</c:v>
                </c:pt>
                <c:pt idx="10">
                  <c:v>7.213898604085367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1-4BF8-A19A-833C6B3CBF74}"/>
            </c:ext>
          </c:extLst>
        </c:ser>
        <c:ser>
          <c:idx val="2"/>
          <c:order val="1"/>
          <c:tx>
            <c:strRef>
              <c:f>Sensitivity!$Q$19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Sensitivity!$Q$20:$Q$30</c:f>
              <c:numCache>
                <c:formatCode>0</c:formatCode>
                <c:ptCount val="11"/>
                <c:pt idx="0">
                  <c:v>-27.924446086805133</c:v>
                </c:pt>
                <c:pt idx="1">
                  <c:v>-22.339556869444124</c:v>
                </c:pt>
                <c:pt idx="2">
                  <c:v>-16.754667652083093</c:v>
                </c:pt>
                <c:pt idx="3">
                  <c:v>-11.169778434722055</c:v>
                </c:pt>
                <c:pt idx="4">
                  <c:v>-5.5848892173610354</c:v>
                </c:pt>
                <c:pt idx="5">
                  <c:v>0</c:v>
                </c:pt>
                <c:pt idx="6">
                  <c:v>5.5848892173610203</c:v>
                </c:pt>
                <c:pt idx="7">
                  <c:v>11.169778434722041</c:v>
                </c:pt>
                <c:pt idx="8">
                  <c:v>16.754667652083043</c:v>
                </c:pt>
                <c:pt idx="9">
                  <c:v>22.339556869444063</c:v>
                </c:pt>
                <c:pt idx="10">
                  <c:v>27.924446086805116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41-4BF8-A19A-833C6B3CBF74}"/>
            </c:ext>
          </c:extLst>
        </c:ser>
        <c:ser>
          <c:idx val="3"/>
          <c:order val="2"/>
          <c:tx>
            <c:strRef>
              <c:f>Sensitivity!$R$19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Sensitivity!$R$20:$R$30</c:f>
              <c:numCache>
                <c:formatCode>0</c:formatCode>
                <c:ptCount val="11"/>
                <c:pt idx="0">
                  <c:v>-16.31665087718482</c:v>
                </c:pt>
                <c:pt idx="1">
                  <c:v>-13.053320701747881</c:v>
                </c:pt>
                <c:pt idx="2">
                  <c:v>-9.7899905263109162</c:v>
                </c:pt>
                <c:pt idx="3">
                  <c:v>-6.5266603508739491</c:v>
                </c:pt>
                <c:pt idx="4">
                  <c:v>-3.2633301754369666</c:v>
                </c:pt>
                <c:pt idx="5">
                  <c:v>0</c:v>
                </c:pt>
                <c:pt idx="6">
                  <c:v>3.2633301754369364</c:v>
                </c:pt>
                <c:pt idx="7">
                  <c:v>6.5266603508738879</c:v>
                </c:pt>
                <c:pt idx="8">
                  <c:v>9.789990526310854</c:v>
                </c:pt>
                <c:pt idx="9">
                  <c:v>13.05332070174782</c:v>
                </c:pt>
                <c:pt idx="10">
                  <c:v>16.316650877184802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41-4BF8-A19A-833C6B3CBF74}"/>
            </c:ext>
          </c:extLst>
        </c:ser>
        <c:ser>
          <c:idx val="4"/>
          <c:order val="3"/>
          <c:tx>
            <c:strRef>
              <c:f>Sensitivity!$S$19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Sensitivity!$S$20:$S$30</c:f>
              <c:numCache>
                <c:formatCode>0</c:formatCode>
                <c:ptCount val="11"/>
                <c:pt idx="0">
                  <c:v>-44.241096963989939</c:v>
                </c:pt>
                <c:pt idx="1">
                  <c:v>-35.392877571191974</c:v>
                </c:pt>
                <c:pt idx="2">
                  <c:v>-26.544658178393977</c:v>
                </c:pt>
                <c:pt idx="3">
                  <c:v>-17.696438785595987</c:v>
                </c:pt>
                <c:pt idx="4">
                  <c:v>-8.8482193927980326</c:v>
                </c:pt>
                <c:pt idx="5">
                  <c:v>0</c:v>
                </c:pt>
                <c:pt idx="6">
                  <c:v>8.8482193927979704</c:v>
                </c:pt>
                <c:pt idx="7">
                  <c:v>17.696438785595941</c:v>
                </c:pt>
                <c:pt idx="8">
                  <c:v>26.544658178393941</c:v>
                </c:pt>
                <c:pt idx="9">
                  <c:v>35.392877571191946</c:v>
                </c:pt>
                <c:pt idx="10">
                  <c:v>44.241096963989904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41-4BF8-A19A-833C6B3CBF74}"/>
            </c:ext>
          </c:extLst>
        </c:ser>
        <c:ser>
          <c:idx val="5"/>
          <c:order val="4"/>
          <c:tx>
            <c:strRef>
              <c:f>Sensitivity!$T$19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Sensitivity!$T$20:$T$30</c:f>
              <c:numCache>
                <c:formatCode>0</c:formatCode>
                <c:ptCount val="11"/>
                <c:pt idx="0">
                  <c:v>27.924446086805098</c:v>
                </c:pt>
                <c:pt idx="1">
                  <c:v>22.339556869444063</c:v>
                </c:pt>
                <c:pt idx="2">
                  <c:v>16.754667652083061</c:v>
                </c:pt>
                <c:pt idx="3">
                  <c:v>11.169778434722041</c:v>
                </c:pt>
                <c:pt idx="4">
                  <c:v>5.5848892173610043</c:v>
                </c:pt>
                <c:pt idx="5">
                  <c:v>0</c:v>
                </c:pt>
                <c:pt idx="6">
                  <c:v>-5.5848892173610354</c:v>
                </c:pt>
                <c:pt idx="7">
                  <c:v>-11.169778434722055</c:v>
                </c:pt>
                <c:pt idx="8">
                  <c:v>-16.754667652083093</c:v>
                </c:pt>
                <c:pt idx="9">
                  <c:v>-22.339556869444124</c:v>
                </c:pt>
                <c:pt idx="10">
                  <c:v>-27.924446086805133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41-4BF8-A19A-833C6B3CB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456332154786084"/>
              <c:y val="0.44251112929984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ICE-van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Sensitivity!$P$35:$P$45</c:f>
              <c:numCache>
                <c:formatCode>0</c:formatCode>
                <c:ptCount val="11"/>
                <c:pt idx="0">
                  <c:v>-20.324692733670343</c:v>
                </c:pt>
                <c:pt idx="1">
                  <c:v>-16.259754186936277</c:v>
                </c:pt>
                <c:pt idx="2">
                  <c:v>-12.194815640202206</c:v>
                </c:pt>
                <c:pt idx="3">
                  <c:v>-8.1298770934681386</c:v>
                </c:pt>
                <c:pt idx="4">
                  <c:v>-4.0649385467340693</c:v>
                </c:pt>
                <c:pt idx="5">
                  <c:v>0</c:v>
                </c:pt>
                <c:pt idx="6">
                  <c:v>4.0649385467340693</c:v>
                </c:pt>
                <c:pt idx="7">
                  <c:v>8.1298770934681386</c:v>
                </c:pt>
                <c:pt idx="8">
                  <c:v>12.194815640202206</c:v>
                </c:pt>
                <c:pt idx="9">
                  <c:v>16.259754186936277</c:v>
                </c:pt>
                <c:pt idx="10">
                  <c:v>20.324692733670329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56-4858-9E21-4F1E4270418C}"/>
            </c:ext>
          </c:extLst>
        </c:ser>
        <c:ser>
          <c:idx val="2"/>
          <c:order val="1"/>
          <c:tx>
            <c:strRef>
              <c:f>Sensitivity!$Q$34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Sensitivity!$Q$35:$Q$45</c:f>
              <c:numCache>
                <c:formatCode>0</c:formatCode>
                <c:ptCount val="11"/>
                <c:pt idx="0">
                  <c:v>-24.150622044589024</c:v>
                </c:pt>
                <c:pt idx="1">
                  <c:v>-19.320497635671213</c:v>
                </c:pt>
                <c:pt idx="2">
                  <c:v>-14.4903732267534</c:v>
                </c:pt>
                <c:pt idx="3">
                  <c:v>-9.6602488178356403</c:v>
                </c:pt>
                <c:pt idx="4">
                  <c:v>-4.8301244089177953</c:v>
                </c:pt>
                <c:pt idx="5">
                  <c:v>0</c:v>
                </c:pt>
                <c:pt idx="6">
                  <c:v>4.8301244089177953</c:v>
                </c:pt>
                <c:pt idx="7">
                  <c:v>9.6602488178355905</c:v>
                </c:pt>
                <c:pt idx="8">
                  <c:v>14.4903732267534</c:v>
                </c:pt>
                <c:pt idx="9">
                  <c:v>19.320497635671163</c:v>
                </c:pt>
                <c:pt idx="10">
                  <c:v>24.150622044588989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56-4858-9E21-4F1E4270418C}"/>
            </c:ext>
          </c:extLst>
        </c:ser>
        <c:ser>
          <c:idx val="3"/>
          <c:order val="2"/>
          <c:tx>
            <c:strRef>
              <c:f>Sensitivity!$R$34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Sensitivity!$R$35:$R$45</c:f>
              <c:numCache>
                <c:formatCode>0</c:formatCode>
                <c:ptCount val="11"/>
                <c:pt idx="0">
                  <c:v>-8.4207387183996243</c:v>
                </c:pt>
                <c:pt idx="1">
                  <c:v>-6.7365909747197055</c:v>
                </c:pt>
                <c:pt idx="2">
                  <c:v>-5.0524432310398044</c:v>
                </c:pt>
                <c:pt idx="3">
                  <c:v>-3.368295487359886</c:v>
                </c:pt>
                <c:pt idx="4">
                  <c:v>-1.684147743679951</c:v>
                </c:pt>
                <c:pt idx="5">
                  <c:v>0</c:v>
                </c:pt>
                <c:pt idx="6">
                  <c:v>1.6841477436799017</c:v>
                </c:pt>
                <c:pt idx="7">
                  <c:v>3.3682954873598363</c:v>
                </c:pt>
                <c:pt idx="8">
                  <c:v>5.0524432310397538</c:v>
                </c:pt>
                <c:pt idx="9">
                  <c:v>6.7365909747196886</c:v>
                </c:pt>
                <c:pt idx="10">
                  <c:v>8.4207387183996243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56-4858-9E21-4F1E4270418C}"/>
            </c:ext>
          </c:extLst>
        </c:ser>
        <c:ser>
          <c:idx val="4"/>
          <c:order val="3"/>
          <c:tx>
            <c:strRef>
              <c:f>Sensitivity!$S$34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Sensitivity!$S$35:$S$45</c:f>
              <c:numCache>
                <c:formatCode>0</c:formatCode>
                <c:ptCount val="11"/>
                <c:pt idx="0">
                  <c:v>-32.57136076298864</c:v>
                </c:pt>
                <c:pt idx="1">
                  <c:v>-26.05708861039091</c:v>
                </c:pt>
                <c:pt idx="2">
                  <c:v>-19.542816457793204</c:v>
                </c:pt>
                <c:pt idx="3">
                  <c:v>-13.028544305195458</c:v>
                </c:pt>
                <c:pt idx="4">
                  <c:v>-6.5142721525977292</c:v>
                </c:pt>
                <c:pt idx="5">
                  <c:v>0</c:v>
                </c:pt>
                <c:pt idx="6">
                  <c:v>6.5142721525976972</c:v>
                </c:pt>
                <c:pt idx="7">
                  <c:v>13.02854430519541</c:v>
                </c:pt>
                <c:pt idx="8">
                  <c:v>19.542816457793172</c:v>
                </c:pt>
                <c:pt idx="9">
                  <c:v>26.057088610390867</c:v>
                </c:pt>
                <c:pt idx="10">
                  <c:v>32.571360762988597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56-4858-9E21-4F1E4270418C}"/>
            </c:ext>
          </c:extLst>
        </c:ser>
        <c:ser>
          <c:idx val="5"/>
          <c:order val="4"/>
          <c:tx>
            <c:strRef>
              <c:f>Sensitivity!$T$34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Sensitivity!$T$35:$T$45</c:f>
              <c:numCache>
                <c:formatCode>0</c:formatCode>
                <c:ptCount val="11"/>
                <c:pt idx="0">
                  <c:v>24.150622044588989</c:v>
                </c:pt>
                <c:pt idx="1">
                  <c:v>19.320497635671163</c:v>
                </c:pt>
                <c:pt idx="2">
                  <c:v>14.490373226753416</c:v>
                </c:pt>
                <c:pt idx="3">
                  <c:v>9.6602488178355905</c:v>
                </c:pt>
                <c:pt idx="4">
                  <c:v>4.8301244089177953</c:v>
                </c:pt>
                <c:pt idx="5">
                  <c:v>0</c:v>
                </c:pt>
                <c:pt idx="6">
                  <c:v>-4.8301244089177953</c:v>
                </c:pt>
                <c:pt idx="7">
                  <c:v>-9.6602488178356403</c:v>
                </c:pt>
                <c:pt idx="8">
                  <c:v>-14.4903732267534</c:v>
                </c:pt>
                <c:pt idx="9">
                  <c:v>-19.320497635671213</c:v>
                </c:pt>
                <c:pt idx="10">
                  <c:v>-24.150622044589024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56-4858-9E21-4F1E42704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215807039974622"/>
              <c:y val="0.43965933631892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∆TCO (%)</a:t>
                </a:r>
              </a:p>
            </c:rich>
          </c:tx>
          <c:layout>
            <c:manualLayout>
              <c:xMode val="edge"/>
              <c:yMode val="edge"/>
              <c:x val="0.52920813154493507"/>
              <c:y val="6.383081575746381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182033803049384"/>
          <c:w val="0.94665685519593967"/>
          <c:h val="0.1352837259205838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1165956832" name="Chart 1">
          <a:extLst>
            <a:ext uri="{FF2B5EF4-FFF2-40B4-BE49-F238E27FC236}">
              <a16:creationId xmlns:a16="http://schemas.microsoft.com/office/drawing/2014/main" id="{00000000-0008-0000-0000-0000E0167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312433659" name="Chart 2">
          <a:extLst>
            <a:ext uri="{FF2B5EF4-FFF2-40B4-BE49-F238E27FC236}">
              <a16:creationId xmlns:a16="http://schemas.microsoft.com/office/drawing/2014/main" id="{00000000-0008-0000-0000-0000FB5B9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1298497710" name="Chart 4">
          <a:extLst>
            <a:ext uri="{FF2B5EF4-FFF2-40B4-BE49-F238E27FC236}">
              <a16:creationId xmlns:a16="http://schemas.microsoft.com/office/drawing/2014/main" id="{00000000-0008-0000-0100-0000AE806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425900743" name="Chart 5">
          <a:extLst>
            <a:ext uri="{FF2B5EF4-FFF2-40B4-BE49-F238E27FC236}">
              <a16:creationId xmlns:a16="http://schemas.microsoft.com/office/drawing/2014/main" id="{00000000-0008-0000-0100-0000C7BA6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408203412" name="Chart 7">
          <a:extLst>
            <a:ext uri="{FF2B5EF4-FFF2-40B4-BE49-F238E27FC236}">
              <a16:creationId xmlns:a16="http://schemas.microsoft.com/office/drawing/2014/main" id="{00000000-0008-0000-0200-000094B05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381740350" name="Chart 8">
          <a:extLst>
            <a:ext uri="{FF2B5EF4-FFF2-40B4-BE49-F238E27FC236}">
              <a16:creationId xmlns:a16="http://schemas.microsoft.com/office/drawing/2014/main" id="{00000000-0008-0000-0200-00003EE5C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334913107" name="Chart 10">
          <a:extLst>
            <a:ext uri="{FF2B5EF4-FFF2-40B4-BE49-F238E27FC236}">
              <a16:creationId xmlns:a16="http://schemas.microsoft.com/office/drawing/2014/main" id="{00000000-0008-0000-0300-0000535EF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1184896445" name="Chart 11">
          <a:extLst>
            <a:ext uri="{FF2B5EF4-FFF2-40B4-BE49-F238E27FC236}">
              <a16:creationId xmlns:a16="http://schemas.microsoft.com/office/drawing/2014/main" id="{00000000-0008-0000-0300-0000BD15A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479130212" name="Chart 13">
          <a:extLst>
            <a:ext uri="{FF2B5EF4-FFF2-40B4-BE49-F238E27FC236}">
              <a16:creationId xmlns:a16="http://schemas.microsoft.com/office/drawing/2014/main" id="{00000000-0008-0000-0400-000064F28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72125" cy="4029075"/>
    <xdr:graphicFrame macro="">
      <xdr:nvGraphicFramePr>
        <xdr:cNvPr id="1312162104" name="Chart 14">
          <a:extLst>
            <a:ext uri="{FF2B5EF4-FFF2-40B4-BE49-F238E27FC236}">
              <a16:creationId xmlns:a16="http://schemas.microsoft.com/office/drawing/2014/main" id="{00000000-0008-0000-0400-000038013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43550" cy="4029075"/>
    <xdr:graphicFrame macro="">
      <xdr:nvGraphicFramePr>
        <xdr:cNvPr id="1736667529" name="Chart 16">
          <a:extLst>
            <a:ext uri="{FF2B5EF4-FFF2-40B4-BE49-F238E27FC236}">
              <a16:creationId xmlns:a16="http://schemas.microsoft.com/office/drawing/2014/main" id="{00000000-0008-0000-0500-000089718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57725" cy="4029075"/>
    <xdr:graphicFrame macro="">
      <xdr:nvGraphicFramePr>
        <xdr:cNvPr id="1491359667" name="Chart 17">
          <a:extLst>
            <a:ext uri="{FF2B5EF4-FFF2-40B4-BE49-F238E27FC236}">
              <a16:creationId xmlns:a16="http://schemas.microsoft.com/office/drawing/2014/main" id="{00000000-0008-0000-0500-0000B357E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242456</xdr:colOff>
      <xdr:row>2</xdr:row>
      <xdr:rowOff>17318</xdr:rowOff>
    </xdr:from>
    <xdr:to>
      <xdr:col>13</xdr:col>
      <xdr:colOff>19974</xdr:colOff>
      <xdr:row>15</xdr:row>
      <xdr:rowOff>101138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4D898DB-CF1D-484E-BCF0-71F4970043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259772</xdr:colOff>
      <xdr:row>18</xdr:row>
      <xdr:rowOff>0</xdr:rowOff>
    </xdr:from>
    <xdr:to>
      <xdr:col>13</xdr:col>
      <xdr:colOff>34448</xdr:colOff>
      <xdr:row>31</xdr:row>
      <xdr:rowOff>83820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4AFC4B-9C46-4C5A-A8F0-A8CAC51836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294409</xdr:colOff>
      <xdr:row>32</xdr:row>
      <xdr:rowOff>17318</xdr:rowOff>
    </xdr:from>
    <xdr:to>
      <xdr:col>13</xdr:col>
      <xdr:colOff>69085</xdr:colOff>
      <xdr:row>45</xdr:row>
      <xdr:rowOff>101138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5B5A3F4-EFAD-452D-9425-BB65EFB80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0</xdr:colOff>
      <xdr:row>2</xdr:row>
      <xdr:rowOff>0</xdr:rowOff>
    </xdr:from>
    <xdr:to>
      <xdr:col>25</xdr:col>
      <xdr:colOff>452422</xdr:colOff>
      <xdr:row>15</xdr:row>
      <xdr:rowOff>83820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5BE03B1-DB59-4916-A3AB-58B2DCDF5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597531</xdr:colOff>
      <xdr:row>17</xdr:row>
      <xdr:rowOff>153820</xdr:rowOff>
    </xdr:from>
    <xdr:to>
      <xdr:col>25</xdr:col>
      <xdr:colOff>440589</xdr:colOff>
      <xdr:row>31</xdr:row>
      <xdr:rowOff>48323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68D17F6-0CEA-4252-BCCE-87DF5EFDA9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21</xdr:col>
      <xdr:colOff>0</xdr:colOff>
      <xdr:row>32</xdr:row>
      <xdr:rowOff>0</xdr:rowOff>
    </xdr:from>
    <xdr:to>
      <xdr:col>25</xdr:col>
      <xdr:colOff>452422</xdr:colOff>
      <xdr:row>45</xdr:row>
      <xdr:rowOff>83820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D18489-4DF0-4E98-BE6B-0D125B8BE2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908e728f1b34df/Paper%20ERIA/Xls%20baru%2029092024/TCO_Thailand%2025092024.xlsx" TargetMode="External"/><Relationship Id="rId1" Type="http://schemas.openxmlformats.org/officeDocument/2006/relationships/externalLinkPath" Target="TCO_Thailand%202509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-Bus TH"/>
      <sheetName val="ICE-Bus TH"/>
      <sheetName val="E-Truck TH"/>
      <sheetName val="ICE-Truck TH"/>
      <sheetName val="E-Cargo TH"/>
      <sheetName val="ICE-Cargo TH"/>
      <sheetName val="Sensitivity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C4" t="str">
            <v>Vehicle Price</v>
          </cell>
          <cell r="D4" t="str">
            <v>Electricity tarrif</v>
          </cell>
          <cell r="E4" t="str">
            <v>Battery cost</v>
          </cell>
          <cell r="F4" t="str">
            <v>AKT</v>
          </cell>
          <cell r="G4" t="str">
            <v>O&amp;M costs</v>
          </cell>
          <cell r="H4" t="str">
            <v>Energy Efficiency</v>
          </cell>
          <cell r="P4" t="str">
            <v>Vehicle Price</v>
          </cell>
          <cell r="Q4" t="str">
            <v>Fuel price</v>
          </cell>
          <cell r="R4" t="str">
            <v>O&amp;M costs</v>
          </cell>
          <cell r="S4" t="str">
            <v>AKT</v>
          </cell>
          <cell r="T4" t="str">
            <v>Energy Efficiency</v>
          </cell>
        </row>
        <row r="5">
          <cell r="B5">
            <v>-50</v>
          </cell>
          <cell r="C5">
            <v>-33.91886901865854</v>
          </cell>
          <cell r="D5">
            <v>-8.6848791959787892</v>
          </cell>
          <cell r="E5">
            <v>-3.9335217890154777</v>
          </cell>
          <cell r="F5">
            <v>-22.706613958277778</v>
          </cell>
          <cell r="G5">
            <v>-14.021734762298971</v>
          </cell>
          <cell r="H5">
            <v>8.6848791959788212</v>
          </cell>
          <cell r="O5">
            <v>-50</v>
          </cell>
          <cell r="P5">
            <v>-15.854368027842799</v>
          </cell>
          <cell r="Q5">
            <v>-29.202684266710367</v>
          </cell>
          <cell r="R5">
            <v>-9.252787616740612</v>
          </cell>
          <cell r="S5">
            <v>-38.455471883450983</v>
          </cell>
          <cell r="T5">
            <v>29.202684266710367</v>
          </cell>
        </row>
        <row r="6">
          <cell r="B6">
            <v>-40</v>
          </cell>
          <cell r="C6">
            <v>-27.135095214926842</v>
          </cell>
          <cell r="D6">
            <v>-6.9479033567830477</v>
          </cell>
          <cell r="E6">
            <v>-3.1468174312123667</v>
          </cell>
          <cell r="F6">
            <v>-18.165291166622222</v>
          </cell>
          <cell r="G6">
            <v>-11.217387809839174</v>
          </cell>
          <cell r="H6">
            <v>6.9479033567830788</v>
          </cell>
          <cell r="O6">
            <v>-40</v>
          </cell>
          <cell r="P6">
            <v>-12.683494422274244</v>
          </cell>
          <cell r="Q6">
            <v>-23.362147413368277</v>
          </cell>
          <cell r="R6">
            <v>-7.402230093392502</v>
          </cell>
          <cell r="S6">
            <v>-30.764377506760798</v>
          </cell>
          <cell r="T6">
            <v>23.362147413368277</v>
          </cell>
        </row>
        <row r="7">
          <cell r="B7">
            <v>-30</v>
          </cell>
          <cell r="C7">
            <v>-20.35132141119513</v>
          </cell>
          <cell r="D7">
            <v>-5.2109275175872742</v>
          </cell>
          <cell r="E7">
            <v>-2.3601130734092868</v>
          </cell>
          <cell r="F7">
            <v>-13.623968374966635</v>
          </cell>
          <cell r="G7">
            <v>-8.4130408573793929</v>
          </cell>
          <cell r="H7">
            <v>5.2109275175873053</v>
          </cell>
          <cell r="O7">
            <v>-30</v>
          </cell>
          <cell r="P7">
            <v>-9.512620816705688</v>
          </cell>
          <cell r="Q7">
            <v>-17.521610560026208</v>
          </cell>
          <cell r="R7">
            <v>-5.5516725700443592</v>
          </cell>
          <cell r="S7">
            <v>-23.073283130070585</v>
          </cell>
          <cell r="T7">
            <v>17.521610560026208</v>
          </cell>
        </row>
        <row r="8">
          <cell r="B8">
            <v>-20</v>
          </cell>
          <cell r="C8">
            <v>-13.567547607463407</v>
          </cell>
          <cell r="D8">
            <v>-3.4739516783915008</v>
          </cell>
          <cell r="E8">
            <v>-1.5734087156061911</v>
          </cell>
          <cell r="F8">
            <v>-9.0826455833110806</v>
          </cell>
          <cell r="G8">
            <v>-5.6086939049195639</v>
          </cell>
          <cell r="H8">
            <v>3.4739516783915318</v>
          </cell>
          <cell r="O8">
            <v>-20</v>
          </cell>
          <cell r="P8">
            <v>-6.3417472111371138</v>
          </cell>
          <cell r="Q8">
            <v>-11.681073706684156</v>
          </cell>
          <cell r="R8">
            <v>-3.701115046696251</v>
          </cell>
          <cell r="S8">
            <v>-15.38218875338039</v>
          </cell>
          <cell r="T8">
            <v>11.681073706684138</v>
          </cell>
        </row>
        <row r="9">
          <cell r="B9">
            <v>-10</v>
          </cell>
          <cell r="C9">
            <v>-6.7837738037316946</v>
          </cell>
          <cell r="D9">
            <v>-1.7369758391957268</v>
          </cell>
          <cell r="E9">
            <v>-0.78670435780309556</v>
          </cell>
          <cell r="F9">
            <v>-4.5413227916555243</v>
          </cell>
          <cell r="G9">
            <v>-2.8043469524597819</v>
          </cell>
          <cell r="H9">
            <v>1.7369758391957892</v>
          </cell>
          <cell r="O9">
            <v>-10</v>
          </cell>
          <cell r="P9">
            <v>-3.1708736055685569</v>
          </cell>
          <cell r="Q9">
            <v>-5.8405368533420523</v>
          </cell>
          <cell r="R9">
            <v>-1.8505575233481255</v>
          </cell>
          <cell r="S9">
            <v>-7.691094376690212</v>
          </cell>
          <cell r="T9">
            <v>5.8405368533420869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</row>
        <row r="11">
          <cell r="B11">
            <v>10</v>
          </cell>
          <cell r="C11">
            <v>6.7837738037317266</v>
          </cell>
          <cell r="D11">
            <v>1.7369758391957892</v>
          </cell>
          <cell r="E11">
            <v>0.78670435780309556</v>
          </cell>
          <cell r="F11">
            <v>4.5413227916556025</v>
          </cell>
          <cell r="G11">
            <v>2.8043469524598286</v>
          </cell>
          <cell r="H11">
            <v>-1.7369758391957268</v>
          </cell>
          <cell r="O11">
            <v>10</v>
          </cell>
          <cell r="P11">
            <v>3.1708736055685569</v>
          </cell>
          <cell r="Q11">
            <v>5.8405368533420869</v>
          </cell>
          <cell r="R11">
            <v>1.8505575233481428</v>
          </cell>
          <cell r="S11">
            <v>7.691094376690212</v>
          </cell>
          <cell r="T11">
            <v>-5.8405368533420523</v>
          </cell>
        </row>
        <row r="12">
          <cell r="B12">
            <v>20</v>
          </cell>
          <cell r="C12">
            <v>13.567547607463421</v>
          </cell>
          <cell r="D12">
            <v>3.4739516783915318</v>
          </cell>
          <cell r="E12">
            <v>1.5734087156062067</v>
          </cell>
          <cell r="F12">
            <v>11.867236970441136</v>
          </cell>
          <cell r="G12">
            <v>5.608693904919611</v>
          </cell>
          <cell r="H12">
            <v>-3.4739516783915008</v>
          </cell>
          <cell r="O12">
            <v>20</v>
          </cell>
          <cell r="P12">
            <v>6.3417472111371307</v>
          </cell>
          <cell r="Q12">
            <v>11.681073706684138</v>
          </cell>
          <cell r="R12">
            <v>3.701115046696251</v>
          </cell>
          <cell r="S12">
            <v>15.38218875338039</v>
          </cell>
          <cell r="T12">
            <v>-11.681073706684156</v>
          </cell>
        </row>
        <row r="13">
          <cell r="B13">
            <v>30</v>
          </cell>
          <cell r="C13">
            <v>20.35132141119513</v>
          </cell>
          <cell r="D13">
            <v>5.2109275175873053</v>
          </cell>
          <cell r="E13">
            <v>2.3601130734093023</v>
          </cell>
          <cell r="F13">
            <v>16.547789331453181</v>
          </cell>
          <cell r="G13">
            <v>8.4130408573794391</v>
          </cell>
          <cell r="H13">
            <v>-5.2109275175872742</v>
          </cell>
          <cell r="O13">
            <v>30</v>
          </cell>
          <cell r="P13">
            <v>9.512620816705688</v>
          </cell>
          <cell r="Q13">
            <v>17.521610560026208</v>
          </cell>
          <cell r="R13">
            <v>5.551672570044377</v>
          </cell>
          <cell r="S13">
            <v>23.073283130070603</v>
          </cell>
          <cell r="T13">
            <v>-17.521610560026208</v>
          </cell>
        </row>
        <row r="14">
          <cell r="B14">
            <v>40</v>
          </cell>
          <cell r="C14">
            <v>27.135095214926842</v>
          </cell>
          <cell r="D14">
            <v>6.9479033567830788</v>
          </cell>
          <cell r="E14">
            <v>3.1468174312123667</v>
          </cell>
          <cell r="F14">
            <v>21.23530317093309</v>
          </cell>
          <cell r="G14">
            <v>11.217387809839236</v>
          </cell>
          <cell r="H14">
            <v>-6.9479033567830477</v>
          </cell>
          <cell r="O14">
            <v>40</v>
          </cell>
          <cell r="P14">
            <v>12.683494422274244</v>
          </cell>
          <cell r="Q14">
            <v>23.362147413368277</v>
          </cell>
          <cell r="R14">
            <v>7.4022300933924852</v>
          </cell>
          <cell r="S14">
            <v>30.764377506760766</v>
          </cell>
          <cell r="T14">
            <v>-23.362147413368277</v>
          </cell>
        </row>
        <row r="15">
          <cell r="B15">
            <v>50</v>
          </cell>
          <cell r="C15">
            <v>33.918869018658555</v>
          </cell>
          <cell r="D15">
            <v>8.6848791959788212</v>
          </cell>
          <cell r="E15">
            <v>3.9335217890154621</v>
          </cell>
          <cell r="F15">
            <v>25.776625962588611</v>
          </cell>
          <cell r="G15">
            <v>14.021734762298987</v>
          </cell>
          <cell r="H15">
            <v>-8.6848791959787892</v>
          </cell>
          <cell r="O15">
            <v>50</v>
          </cell>
          <cell r="P15">
            <v>15.854368027842819</v>
          </cell>
          <cell r="Q15">
            <v>29.202684266710367</v>
          </cell>
          <cell r="R15">
            <v>9.252787616740628</v>
          </cell>
          <cell r="S15">
            <v>38.45547188345099</v>
          </cell>
          <cell r="T15">
            <v>-29.202684266710367</v>
          </cell>
        </row>
        <row r="19">
          <cell r="C19" t="str">
            <v>Vehicle Price</v>
          </cell>
          <cell r="D19" t="str">
            <v>Electricity tarrif</v>
          </cell>
          <cell r="E19" t="str">
            <v>Battery cost</v>
          </cell>
          <cell r="F19" t="str">
            <v>AKT</v>
          </cell>
          <cell r="G19" t="str">
            <v>O&amp;M costs</v>
          </cell>
          <cell r="H19" t="str">
            <v>Energy Efficiency</v>
          </cell>
          <cell r="P19" t="str">
            <v>Vehicle Price</v>
          </cell>
          <cell r="Q19" t="str">
            <v>Fuel price</v>
          </cell>
          <cell r="R19" t="str">
            <v>O&amp;M costs</v>
          </cell>
          <cell r="S19" t="str">
            <v>AKT</v>
          </cell>
          <cell r="T19" t="str">
            <v>Energy Efficiency</v>
          </cell>
        </row>
        <row r="20">
          <cell r="B20">
            <v>-50</v>
          </cell>
          <cell r="C20">
            <v>-31.334378733128059</v>
          </cell>
          <cell r="D20">
            <v>-6.013814651953564</v>
          </cell>
          <cell r="E20">
            <v>-4.5180452752601878</v>
          </cell>
          <cell r="F20">
            <v>-27.020026746178566</v>
          </cell>
          <cell r="G20">
            <v>-8.6627693469554448</v>
          </cell>
          <cell r="H20">
            <v>6.0138146519535107</v>
          </cell>
          <cell r="O20">
            <v>-50</v>
          </cell>
          <cell r="P20">
            <v>-6.1609276276644458</v>
          </cell>
          <cell r="Q20">
            <v>-30.826878875146811</v>
          </cell>
          <cell r="R20">
            <v>-14.381101091813321</v>
          </cell>
          <cell r="S20">
            <v>-45.207979966960146</v>
          </cell>
          <cell r="T20">
            <v>30.826878875146889</v>
          </cell>
        </row>
        <row r="21">
          <cell r="B21">
            <v>-40</v>
          </cell>
          <cell r="C21">
            <v>-25.067502986502443</v>
          </cell>
          <cell r="D21">
            <v>-4.8110517215628406</v>
          </cell>
          <cell r="E21">
            <v>-3.6144362202081322</v>
          </cell>
          <cell r="F21">
            <v>-23.552773794971479</v>
          </cell>
          <cell r="G21">
            <v>-6.9302154775643485</v>
          </cell>
          <cell r="H21">
            <v>4.8110517215628219</v>
          </cell>
          <cell r="O21">
            <v>-40</v>
          </cell>
          <cell r="P21">
            <v>-4.9287421021315598</v>
          </cell>
          <cell r="Q21">
            <v>-24.661503100117454</v>
          </cell>
          <cell r="R21">
            <v>-11.504880873450658</v>
          </cell>
          <cell r="S21">
            <v>-36.166383973568124</v>
          </cell>
          <cell r="T21">
            <v>24.6615031001175</v>
          </cell>
        </row>
        <row r="22">
          <cell r="B22">
            <v>-30</v>
          </cell>
          <cell r="C22">
            <v>-18.800627239876842</v>
          </cell>
          <cell r="D22">
            <v>-3.6082887911721344</v>
          </cell>
          <cell r="E22">
            <v>-2.7108271651561129</v>
          </cell>
          <cell r="F22">
            <v>-20.617456995189677</v>
          </cell>
          <cell r="G22">
            <v>-5.1976616081732878</v>
          </cell>
          <cell r="H22">
            <v>3.6082887911721344</v>
          </cell>
          <cell r="O22">
            <v>-30</v>
          </cell>
          <cell r="P22">
            <v>-3.6965565765986743</v>
          </cell>
          <cell r="Q22">
            <v>-18.496127325088089</v>
          </cell>
          <cell r="R22">
            <v>-8.6286606550879803</v>
          </cell>
          <cell r="S22">
            <v>-27.12478798017608</v>
          </cell>
          <cell r="T22">
            <v>18.496127325088125</v>
          </cell>
        </row>
        <row r="23">
          <cell r="B23">
            <v>-20</v>
          </cell>
          <cell r="C23">
            <v>-12.533751493251263</v>
          </cell>
          <cell r="D23">
            <v>-2.4055258607813936</v>
          </cell>
          <cell r="E23">
            <v>-1.8072181101040752</v>
          </cell>
          <cell r="F23">
            <v>-13.748093589337598</v>
          </cell>
          <cell r="G23">
            <v>-3.4651077387821743</v>
          </cell>
          <cell r="H23">
            <v>2.4055258607814292</v>
          </cell>
          <cell r="O23">
            <v>-20</v>
          </cell>
          <cell r="P23">
            <v>-2.4643710510657715</v>
          </cell>
          <cell r="Q23">
            <v>-12.330751550058695</v>
          </cell>
          <cell r="R23">
            <v>-5.7524404367253208</v>
          </cell>
          <cell r="S23">
            <v>-18.083191986784033</v>
          </cell>
          <cell r="T23">
            <v>12.33075155005875</v>
          </cell>
        </row>
        <row r="24">
          <cell r="B24">
            <v>-10</v>
          </cell>
          <cell r="C24">
            <v>-6.2668757466256135</v>
          </cell>
          <cell r="D24">
            <v>-1.2027629303907412</v>
          </cell>
          <cell r="E24">
            <v>-0.90360905505205547</v>
          </cell>
          <cell r="F24">
            <v>-10.812776789555814</v>
          </cell>
          <cell r="G24">
            <v>-1.7325538693910958</v>
          </cell>
          <cell r="H24">
            <v>1.2027629303906879</v>
          </cell>
          <cell r="O24">
            <v>-10</v>
          </cell>
          <cell r="P24">
            <v>-1.2321855255328857</v>
          </cell>
          <cell r="Q24">
            <v>-6.1653757750293563</v>
          </cell>
          <cell r="R24">
            <v>-2.8762202183626422</v>
          </cell>
          <cell r="S24">
            <v>-9.0415959933919989</v>
          </cell>
          <cell r="T24">
            <v>6.1653757750293918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B26">
            <v>10</v>
          </cell>
          <cell r="C26">
            <v>6.2668757466256135</v>
          </cell>
          <cell r="D26">
            <v>1.2027629303906879</v>
          </cell>
          <cell r="E26">
            <v>0.90360905505201972</v>
          </cell>
          <cell r="F26">
            <v>2.9353167997817837</v>
          </cell>
          <cell r="G26">
            <v>1.732553869391078</v>
          </cell>
          <cell r="H26">
            <v>-1.2027629303907412</v>
          </cell>
          <cell r="O26">
            <v>10</v>
          </cell>
          <cell r="P26">
            <v>1.2321855255329033</v>
          </cell>
          <cell r="Q26">
            <v>6.1653757750293918</v>
          </cell>
          <cell r="R26">
            <v>2.8762202183626782</v>
          </cell>
          <cell r="S26">
            <v>9.0415959933920522</v>
          </cell>
          <cell r="T26">
            <v>-6.1653757750293563</v>
          </cell>
        </row>
        <row r="27">
          <cell r="B27">
            <v>20</v>
          </cell>
          <cell r="C27">
            <v>12.533751493251227</v>
          </cell>
          <cell r="D27">
            <v>2.405525860781411</v>
          </cell>
          <cell r="E27">
            <v>1.8072181101040574</v>
          </cell>
          <cell r="F27">
            <v>5.8706335995635861</v>
          </cell>
          <cell r="G27">
            <v>3.4651077387821561</v>
          </cell>
          <cell r="H27">
            <v>-2.4055258607813936</v>
          </cell>
          <cell r="O27">
            <v>20</v>
          </cell>
          <cell r="P27">
            <v>2.4643710510657888</v>
          </cell>
          <cell r="Q27">
            <v>12.33075155005875</v>
          </cell>
          <cell r="R27">
            <v>5.7524404367253563</v>
          </cell>
          <cell r="S27">
            <v>18.083191986784069</v>
          </cell>
          <cell r="T27">
            <v>-12.330751550058713</v>
          </cell>
        </row>
        <row r="28">
          <cell r="B28">
            <v>30</v>
          </cell>
          <cell r="C28">
            <v>18.800627239876803</v>
          </cell>
          <cell r="D28">
            <v>3.6082887911721344</v>
          </cell>
          <cell r="E28">
            <v>2.7108271651560951</v>
          </cell>
          <cell r="F28">
            <v>8.8059503993453507</v>
          </cell>
          <cell r="G28">
            <v>5.1976616081732523</v>
          </cell>
          <cell r="H28">
            <v>-3.6082887911721344</v>
          </cell>
          <cell r="O28">
            <v>30</v>
          </cell>
          <cell r="P28">
            <v>3.6965565765986925</v>
          </cell>
          <cell r="Q28">
            <v>18.496127325088125</v>
          </cell>
          <cell r="R28">
            <v>8.6286606550880336</v>
          </cell>
          <cell r="S28">
            <v>27.124787980176141</v>
          </cell>
          <cell r="T28">
            <v>-18.496127325088089</v>
          </cell>
        </row>
        <row r="29">
          <cell r="B29">
            <v>40</v>
          </cell>
          <cell r="C29">
            <v>25.067502986502422</v>
          </cell>
          <cell r="D29">
            <v>4.8110517215628219</v>
          </cell>
          <cell r="E29">
            <v>3.6144362202081148</v>
          </cell>
          <cell r="F29">
            <v>11.741267199127188</v>
          </cell>
          <cell r="G29">
            <v>6.9302154775643485</v>
          </cell>
          <cell r="H29">
            <v>-4.8110517215628406</v>
          </cell>
          <cell r="O29">
            <v>40</v>
          </cell>
          <cell r="P29">
            <v>4.9287421021315776</v>
          </cell>
          <cell r="Q29">
            <v>24.6615031001175</v>
          </cell>
          <cell r="R29">
            <v>11.504880873450677</v>
          </cell>
          <cell r="S29">
            <v>36.166383973568159</v>
          </cell>
          <cell r="T29">
            <v>-24.661503100117447</v>
          </cell>
        </row>
        <row r="30">
          <cell r="B30">
            <v>50</v>
          </cell>
          <cell r="C30">
            <v>31.334378733128066</v>
          </cell>
          <cell r="D30">
            <v>6.0138146519535107</v>
          </cell>
          <cell r="E30">
            <v>4.5180452752601523</v>
          </cell>
          <cell r="F30">
            <v>35.281640598553594</v>
          </cell>
          <cell r="G30">
            <v>8.6627693469554075</v>
          </cell>
          <cell r="H30">
            <v>-6.013814651953564</v>
          </cell>
          <cell r="O30">
            <v>50</v>
          </cell>
          <cell r="P30">
            <v>6.1609276276644636</v>
          </cell>
          <cell r="Q30">
            <v>30.826878875146889</v>
          </cell>
          <cell r="R30">
            <v>14.381101091813337</v>
          </cell>
          <cell r="S30">
            <v>45.207979966960195</v>
          </cell>
          <cell r="T30">
            <v>-30.826878875146811</v>
          </cell>
        </row>
        <row r="34">
          <cell r="C34" t="str">
            <v>Vehicle Price</v>
          </cell>
          <cell r="D34" t="str">
            <v>Electricity tarrif</v>
          </cell>
          <cell r="E34" t="str">
            <v>Battery cost</v>
          </cell>
          <cell r="F34" t="str">
            <v>AKT</v>
          </cell>
          <cell r="G34" t="str">
            <v>O&amp;M costs</v>
          </cell>
          <cell r="H34" t="str">
            <v>Energy Efficiency</v>
          </cell>
          <cell r="P34" t="str">
            <v>Vehicle Price</v>
          </cell>
          <cell r="Q34" t="str">
            <v>Fuel price</v>
          </cell>
          <cell r="R34" t="str">
            <v>O&amp;M costs</v>
          </cell>
          <cell r="S34" t="str">
            <v>AKT</v>
          </cell>
          <cell r="T34" t="str">
            <v>Energy Efficiency</v>
          </cell>
        </row>
        <row r="35">
          <cell r="B35">
            <v>-50</v>
          </cell>
          <cell r="C35">
            <v>-38.484104622912902</v>
          </cell>
          <cell r="D35">
            <v>-8.1857231243426618</v>
          </cell>
          <cell r="E35">
            <v>-10.527463801339621</v>
          </cell>
          <cell r="F35">
            <v>-23.7918429107831</v>
          </cell>
          <cell r="G35">
            <v>-6.5475242627844752</v>
          </cell>
          <cell r="H35">
            <v>8.1857231243427009</v>
          </cell>
          <cell r="O35">
            <v>-50</v>
          </cell>
          <cell r="P35">
            <v>-15.090338283968252</v>
          </cell>
          <cell r="Q35">
            <v>-28.871783746588232</v>
          </cell>
          <cell r="R35">
            <v>-9.3930202369186802</v>
          </cell>
          <cell r="S35">
            <v>-38.264803983506887</v>
          </cell>
          <cell r="T35">
            <v>28.871783746588207</v>
          </cell>
        </row>
        <row r="36">
          <cell r="B36">
            <v>-40</v>
          </cell>
          <cell r="C36">
            <v>-30.787283698330327</v>
          </cell>
          <cell r="D36">
            <v>-6.5485784994741651</v>
          </cell>
          <cell r="E36">
            <v>-8.4219710410717283</v>
          </cell>
          <cell r="F36">
            <v>-13.392664477907257</v>
          </cell>
          <cell r="G36">
            <v>-5.2380194102275679</v>
          </cell>
          <cell r="H36">
            <v>6.5485784994741252</v>
          </cell>
          <cell r="O36">
            <v>-40</v>
          </cell>
          <cell r="P36">
            <v>-12.072270627174603</v>
          </cell>
          <cell r="Q36">
            <v>-23.097426997270585</v>
          </cell>
          <cell r="R36">
            <v>-7.5144161895349351</v>
          </cell>
          <cell r="S36">
            <v>-30.611843186805523</v>
          </cell>
          <cell r="T36">
            <v>23.097426997270549</v>
          </cell>
        </row>
        <row r="37">
          <cell r="B37">
            <v>-30</v>
          </cell>
          <cell r="C37">
            <v>-23.090462773747749</v>
          </cell>
          <cell r="D37">
            <v>-4.911433874605609</v>
          </cell>
          <cell r="E37">
            <v>-6.3164782808037767</v>
          </cell>
          <cell r="F37">
            <v>-10.073388552709297</v>
          </cell>
          <cell r="G37">
            <v>-3.928514557670701</v>
          </cell>
          <cell r="H37">
            <v>4.911433874605609</v>
          </cell>
          <cell r="O37">
            <v>-30</v>
          </cell>
          <cell r="P37">
            <v>-9.0542029703809543</v>
          </cell>
          <cell r="Q37">
            <v>-17.323070247952938</v>
          </cell>
          <cell r="R37">
            <v>-5.6358121421512131</v>
          </cell>
          <cell r="S37">
            <v>-22.958882390104161</v>
          </cell>
          <cell r="T37">
            <v>17.323070247952916</v>
          </cell>
        </row>
        <row r="38">
          <cell r="B38">
            <v>-20</v>
          </cell>
          <cell r="C38">
            <v>-15.393641849165151</v>
          </cell>
          <cell r="D38">
            <v>-3.2742892497370328</v>
          </cell>
          <cell r="E38">
            <v>-4.2109855205358437</v>
          </cell>
          <cell r="F38">
            <v>-6.7354813051226774</v>
          </cell>
          <cell r="G38">
            <v>-2.6190097051137942</v>
          </cell>
          <cell r="H38">
            <v>3.2742892497370528</v>
          </cell>
          <cell r="O38">
            <v>-20</v>
          </cell>
          <cell r="P38">
            <v>-6.0361353135872955</v>
          </cell>
          <cell r="Q38">
            <v>-11.548713498635292</v>
          </cell>
          <cell r="R38">
            <v>-3.7572080947674786</v>
          </cell>
          <cell r="S38">
            <v>-15.305921593402761</v>
          </cell>
          <cell r="T38">
            <v>11.548713498635257</v>
          </cell>
        </row>
        <row r="39">
          <cell r="B39">
            <v>-10</v>
          </cell>
          <cell r="C39">
            <v>-7.6968209245825969</v>
          </cell>
          <cell r="D39">
            <v>-1.6371446248685366</v>
          </cell>
          <cell r="E39">
            <v>-2.1054927602678921</v>
          </cell>
          <cell r="F39">
            <v>-3.3780111690280958</v>
          </cell>
          <cell r="G39">
            <v>-1.3095048525568871</v>
          </cell>
          <cell r="H39">
            <v>1.6371446248685366</v>
          </cell>
          <cell r="O39">
            <v>-10</v>
          </cell>
          <cell r="P39">
            <v>-3.0180676567936593</v>
          </cell>
          <cell r="Q39">
            <v>-5.7743567493176231</v>
          </cell>
          <cell r="R39">
            <v>-1.8786040473837338</v>
          </cell>
          <cell r="S39">
            <v>-7.6529607967013913</v>
          </cell>
          <cell r="T39">
            <v>5.7743567493176462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B41">
            <v>10</v>
          </cell>
          <cell r="C41">
            <v>7.6968209245825969</v>
          </cell>
          <cell r="D41">
            <v>1.6371446248685366</v>
          </cell>
          <cell r="E41">
            <v>2.1054927602679121</v>
          </cell>
          <cell r="F41">
            <v>10.852108209058626</v>
          </cell>
          <cell r="G41">
            <v>1.3095048525568871</v>
          </cell>
          <cell r="H41">
            <v>-1.6371446248685366</v>
          </cell>
          <cell r="O41">
            <v>10</v>
          </cell>
          <cell r="P41">
            <v>3.0180676567936366</v>
          </cell>
          <cell r="Q41">
            <v>5.7743567493176462</v>
          </cell>
          <cell r="R41">
            <v>1.8786040473837224</v>
          </cell>
          <cell r="S41">
            <v>7.6529607967013673</v>
          </cell>
          <cell r="T41">
            <v>-5.7743567493176231</v>
          </cell>
        </row>
        <row r="42">
          <cell r="B42">
            <v>20</v>
          </cell>
          <cell r="C42">
            <v>15.393641849165112</v>
          </cell>
          <cell r="D42">
            <v>3.2742892497370528</v>
          </cell>
          <cell r="E42">
            <v>4.2109855205358437</v>
          </cell>
          <cell r="F42">
            <v>13.79875768648405</v>
          </cell>
          <cell r="G42">
            <v>2.6190097051137542</v>
          </cell>
          <cell r="H42">
            <v>-3.2742892497370328</v>
          </cell>
          <cell r="O42">
            <v>20</v>
          </cell>
          <cell r="P42">
            <v>6.0361353135873079</v>
          </cell>
          <cell r="Q42">
            <v>11.548713498635257</v>
          </cell>
          <cell r="R42">
            <v>3.7572080947674564</v>
          </cell>
          <cell r="S42">
            <v>15.305921593402724</v>
          </cell>
          <cell r="T42">
            <v>-11.548713498635292</v>
          </cell>
        </row>
        <row r="43">
          <cell r="B43">
            <v>30</v>
          </cell>
          <cell r="C43">
            <v>23.090462773747749</v>
          </cell>
          <cell r="D43">
            <v>4.911433874605609</v>
          </cell>
          <cell r="E43">
            <v>6.3164782808037971</v>
          </cell>
          <cell r="F43">
            <v>17.984867646835145</v>
          </cell>
          <cell r="G43">
            <v>3.928514557670701</v>
          </cell>
          <cell r="H43">
            <v>-4.911433874605609</v>
          </cell>
          <cell r="O43">
            <v>30</v>
          </cell>
          <cell r="P43">
            <v>9.054202970380933</v>
          </cell>
          <cell r="Q43">
            <v>17.323070247952916</v>
          </cell>
          <cell r="R43">
            <v>5.6358121421511784</v>
          </cell>
          <cell r="S43">
            <v>22.958882390104126</v>
          </cell>
          <cell r="T43">
            <v>-17.323070247952938</v>
          </cell>
        </row>
        <row r="44">
          <cell r="B44">
            <v>40</v>
          </cell>
          <cell r="C44">
            <v>30.787283698330302</v>
          </cell>
          <cell r="D44">
            <v>6.5485784994741252</v>
          </cell>
          <cell r="E44">
            <v>8.4219710410716484</v>
          </cell>
          <cell r="F44">
            <v>20.93151712426053</v>
          </cell>
          <cell r="G44">
            <v>5.2380194102275679</v>
          </cell>
          <cell r="H44">
            <v>-6.5485784994741651</v>
          </cell>
          <cell r="O44">
            <v>40</v>
          </cell>
          <cell r="P44">
            <v>12.072270627174559</v>
          </cell>
          <cell r="Q44">
            <v>23.097426997270549</v>
          </cell>
          <cell r="R44">
            <v>7.5144161895349466</v>
          </cell>
          <cell r="S44">
            <v>30.611843186805487</v>
          </cell>
          <cell r="T44">
            <v>-23.097426997270585</v>
          </cell>
        </row>
        <row r="45">
          <cell r="B45">
            <v>50</v>
          </cell>
          <cell r="C45">
            <v>38.484104622912859</v>
          </cell>
          <cell r="D45">
            <v>8.1857231243427009</v>
          </cell>
          <cell r="E45">
            <v>10.527463801339602</v>
          </cell>
          <cell r="F45">
            <v>23.878166601685951</v>
          </cell>
          <cell r="G45">
            <v>6.5475242627844557</v>
          </cell>
          <cell r="H45">
            <v>-8.1857231243426618</v>
          </cell>
          <cell r="O45">
            <v>50</v>
          </cell>
          <cell r="P45">
            <v>15.090338283968229</v>
          </cell>
          <cell r="Q45">
            <v>28.871783746588207</v>
          </cell>
          <cell r="R45">
            <v>9.3930202369186464</v>
          </cell>
          <cell r="S45">
            <v>38.264803983506887</v>
          </cell>
          <cell r="T45">
            <v>-28.871783746588232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AY1000"/>
  <sheetViews>
    <sheetView topLeftCell="E4" zoomScale="85" zoomScaleNormal="85" workbookViewId="0">
      <selection activeCell="J8" sqref="J8:J2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48.42578125" bestFit="1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19" width="16.5703125" customWidth="1"/>
    <col min="20" max="20" width="11.140625" customWidth="1"/>
    <col min="21" max="22" width="31.28515625" customWidth="1"/>
    <col min="23" max="23" width="23.85546875" customWidth="1"/>
    <col min="24" max="25" width="13.42578125" customWidth="1"/>
    <col min="26" max="26" width="19.5703125" customWidth="1"/>
    <col min="27" max="27" width="12.28515625" customWidth="1"/>
    <col min="28" max="28" width="20.140625" customWidth="1"/>
    <col min="29" max="29" width="19.28515625" customWidth="1"/>
    <col min="30" max="30" width="12.85546875" customWidth="1"/>
    <col min="31" max="31" width="19" customWidth="1"/>
    <col min="32" max="32" width="4.7109375" customWidth="1"/>
    <col min="33" max="33" width="20.140625" customWidth="1"/>
    <col min="34" max="34" width="19.28515625" customWidth="1"/>
    <col min="35" max="35" width="11.28515625" customWidth="1"/>
    <col min="36" max="36" width="17.85546875" customWidth="1"/>
    <col min="37" max="38" width="8.85546875" customWidth="1"/>
    <col min="39" max="39" width="17.5703125" customWidth="1"/>
    <col min="40" max="40" width="9.7109375" customWidth="1"/>
    <col min="41" max="41" width="15.5703125" customWidth="1"/>
    <col min="42" max="42" width="8.85546875" customWidth="1"/>
    <col min="43" max="44" width="12.7109375" customWidth="1"/>
    <col min="45" max="51" width="8.85546875" customWidth="1"/>
  </cols>
  <sheetData>
    <row r="1" spans="1:51" x14ac:dyDescent="0.25">
      <c r="A1" s="1" t="s">
        <v>0</v>
      </c>
      <c r="B1" s="2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5">
      <c r="A2" s="1" t="s">
        <v>2</v>
      </c>
      <c r="B2" s="4">
        <f>X49</f>
        <v>605257.51650241122</v>
      </c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25">
      <c r="A3" s="3"/>
      <c r="B3" s="5">
        <f>B2/J34</f>
        <v>1.258540955881251</v>
      </c>
      <c r="C3" s="1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25">
      <c r="A4" s="1" t="s">
        <v>5</v>
      </c>
      <c r="B4" s="3"/>
      <c r="C4" s="3"/>
      <c r="D4" s="3"/>
      <c r="E4" s="6"/>
      <c r="F4" s="3"/>
      <c r="G4" s="3"/>
      <c r="H4" s="3"/>
      <c r="I4" s="3"/>
      <c r="J4" s="7"/>
      <c r="K4" s="3"/>
      <c r="L4" s="3"/>
      <c r="M4" s="3"/>
      <c r="N4" s="1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" t="s">
        <v>7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25">
      <c r="A5" s="3" t="s">
        <v>8</v>
      </c>
      <c r="B5" s="8">
        <v>10</v>
      </c>
      <c r="C5" s="3" t="s">
        <v>9</v>
      </c>
      <c r="D5" s="3"/>
      <c r="E5" s="3"/>
      <c r="F5" s="6"/>
      <c r="G5" s="3"/>
      <c r="H5" s="3"/>
      <c r="I5" s="3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25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16</v>
      </c>
      <c r="R7" s="13" t="s">
        <v>17</v>
      </c>
      <c r="S7" s="13" t="s">
        <v>18</v>
      </c>
      <c r="T7" s="13"/>
      <c r="U7" s="13" t="s">
        <v>19</v>
      </c>
      <c r="V7" s="13" t="s">
        <v>20</v>
      </c>
      <c r="W7" s="13" t="s">
        <v>21</v>
      </c>
      <c r="X7" s="14" t="s">
        <v>22</v>
      </c>
      <c r="Y7" s="1"/>
      <c r="Z7" s="3"/>
      <c r="AA7" s="3"/>
      <c r="AB7" s="3" t="s">
        <v>23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25">
      <c r="A8" s="15" t="s">
        <v>24</v>
      </c>
      <c r="B8" s="8">
        <v>4043</v>
      </c>
      <c r="C8" s="3" t="s">
        <v>25</v>
      </c>
      <c r="D8" s="3"/>
      <c r="E8" s="3"/>
      <c r="F8" s="3"/>
      <c r="G8" s="3"/>
      <c r="H8" s="16"/>
      <c r="I8" s="17" t="s">
        <v>195</v>
      </c>
      <c r="J8" s="8">
        <v>884243225.80645168</v>
      </c>
      <c r="K8" s="3" t="s">
        <v>27</v>
      </c>
      <c r="L8" s="16"/>
      <c r="M8" s="3"/>
      <c r="N8" s="13">
        <v>0</v>
      </c>
      <c r="O8" s="18">
        <f>F31</f>
        <v>121967.00419354839</v>
      </c>
      <c r="P8" s="13"/>
      <c r="Q8" s="13"/>
      <c r="R8" s="13"/>
      <c r="S8" s="13"/>
      <c r="T8" s="13"/>
      <c r="U8" s="13"/>
      <c r="V8" s="13"/>
      <c r="W8" s="13"/>
      <c r="X8" s="19">
        <f t="shared" ref="X8:X48" si="0">SUM(O8:W8)</f>
        <v>121967.00419354839</v>
      </c>
      <c r="Y8" s="4"/>
      <c r="Z8" s="8"/>
      <c r="AA8" s="3"/>
      <c r="AB8" s="3" t="s">
        <v>28</v>
      </c>
      <c r="AC8" s="20">
        <f>F36</f>
        <v>0.18</v>
      </c>
      <c r="AD8" s="3" t="s">
        <v>29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25">
      <c r="A9" s="15"/>
      <c r="B9" s="3"/>
      <c r="C9" s="3"/>
      <c r="D9" s="3"/>
      <c r="E9" s="3"/>
      <c r="F9" s="6"/>
      <c r="G9" s="3"/>
      <c r="H9" s="16"/>
      <c r="I9" s="17" t="s">
        <v>30</v>
      </c>
      <c r="J9" s="8">
        <v>105</v>
      </c>
      <c r="K9" s="3" t="s">
        <v>29</v>
      </c>
      <c r="L9" s="16"/>
      <c r="M9" s="3"/>
      <c r="N9" s="13">
        <v>1</v>
      </c>
      <c r="O9" s="13"/>
      <c r="P9" s="21">
        <f t="shared" ref="P9:P48" si="1">IF(N9&gt;0,IF(N9&lt;=$J$21,(($F$32+$F$33)/$J$21)/((1+($F$11/100))^N9),0),0)</f>
        <v>80389.807652903226</v>
      </c>
      <c r="Q9" s="22">
        <f t="shared" ref="Q9:Q48" si="2">IF(N9&gt;0,($F$41*((1+($F$14/100))^(N9-1)))/((1+($F$11/100))^N9),0)</f>
        <v>8161.899428571428</v>
      </c>
      <c r="R9" s="22">
        <f t="shared" ref="R9:R48" si="3">IF(N9&gt;0,$F$40/((1+($F$11/100))^N9),0)</f>
        <v>0</v>
      </c>
      <c r="S9" s="22">
        <f t="shared" ref="S9:S48" si="4">IF(N9&gt;0,$J$37/((1+($F$11/100))^N9),0)</f>
        <v>16085.4996837332</v>
      </c>
      <c r="T9" s="22"/>
      <c r="U9" s="22">
        <f t="shared" ref="U9:U48" si="5">IF(AND(MOD(N9,$J$31)=0,N9&gt;0),$B$44/((1+($F$11/100))^N9),0)</f>
        <v>0</v>
      </c>
      <c r="V9" s="22">
        <f t="shared" ref="V9:V48" si="6">IF(N9&gt;0,$J$32/((1+($F$11/100))^N9),0)</f>
        <v>0</v>
      </c>
      <c r="W9" s="21">
        <f t="shared" ref="W9:W18" si="7">IF(N9=$B$5,((((1-$J$15/100)^N9)*$B$45+((1-$J$16/100)^N9)*$B$46)/((1+($F$11/100))^N9))*-1,0)</f>
        <v>0</v>
      </c>
      <c r="X9" s="19">
        <f t="shared" si="0"/>
        <v>104637.20676520785</v>
      </c>
      <c r="Y9" s="4"/>
      <c r="Z9" s="8"/>
      <c r="AA9" s="3"/>
      <c r="AB9" s="3" t="s">
        <v>31</v>
      </c>
      <c r="AC9" s="7">
        <f>B46</f>
        <v>38881.5</v>
      </c>
      <c r="AD9" s="3" t="s">
        <v>3</v>
      </c>
      <c r="AE9" s="3"/>
      <c r="AF9" s="8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25">
      <c r="A10" s="23" t="s">
        <v>32</v>
      </c>
      <c r="B10" s="3"/>
      <c r="C10" s="3"/>
      <c r="D10" s="3"/>
      <c r="E10" s="1" t="s">
        <v>33</v>
      </c>
      <c r="F10" s="3"/>
      <c r="G10" s="3"/>
      <c r="H10" s="16"/>
      <c r="I10" s="17" t="s">
        <v>34</v>
      </c>
      <c r="J10" s="8">
        <v>322</v>
      </c>
      <c r="K10" s="3" t="s">
        <v>35</v>
      </c>
      <c r="L10" s="16"/>
      <c r="M10" s="3"/>
      <c r="N10" s="13">
        <f t="shared" ref="N10:N48" si="8">IF((N9+1)&gt;$B$5,,IF(N9=0,,N9+1))</f>
        <v>2</v>
      </c>
      <c r="O10" s="13"/>
      <c r="P10" s="21">
        <f t="shared" si="1"/>
        <v>76561.721574193551</v>
      </c>
      <c r="Q10" s="22">
        <f t="shared" si="2"/>
        <v>7850.9699265306117</v>
      </c>
      <c r="R10" s="22">
        <f t="shared" si="3"/>
        <v>0</v>
      </c>
      <c r="S10" s="22">
        <f t="shared" si="4"/>
        <v>15319.523508317334</v>
      </c>
      <c r="T10" s="22"/>
      <c r="U10" s="22">
        <f t="shared" si="5"/>
        <v>0</v>
      </c>
      <c r="V10" s="22">
        <f t="shared" si="6"/>
        <v>0</v>
      </c>
      <c r="W10" s="21">
        <f t="shared" si="7"/>
        <v>0</v>
      </c>
      <c r="X10" s="19">
        <f t="shared" si="0"/>
        <v>99732.215009041494</v>
      </c>
      <c r="Y10" s="4"/>
      <c r="Z10" s="8"/>
      <c r="AA10" s="3"/>
      <c r="AB10" s="3" t="s">
        <v>165</v>
      </c>
      <c r="AC10" s="24">
        <f>B50</f>
        <v>406556.68064516131</v>
      </c>
      <c r="AD10" s="3" t="s">
        <v>3</v>
      </c>
      <c r="AE10" s="3"/>
      <c r="AF10" s="8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25">
      <c r="A11" s="25" t="s">
        <v>167</v>
      </c>
      <c r="B11" s="26">
        <v>0</v>
      </c>
      <c r="C11" s="3" t="s">
        <v>36</v>
      </c>
      <c r="D11" s="3"/>
      <c r="E11" s="17" t="s">
        <v>37</v>
      </c>
      <c r="F11" s="3">
        <v>5</v>
      </c>
      <c r="G11" s="3" t="s">
        <v>36</v>
      </c>
      <c r="H11" s="16"/>
      <c r="I11" s="17" t="s">
        <v>38</v>
      </c>
      <c r="J11" s="8">
        <v>4000</v>
      </c>
      <c r="K11" s="3" t="s">
        <v>39</v>
      </c>
      <c r="L11" s="16"/>
      <c r="M11" s="3"/>
      <c r="N11" s="13">
        <f t="shared" si="8"/>
        <v>3</v>
      </c>
      <c r="O11" s="13"/>
      <c r="P11" s="21">
        <f t="shared" si="1"/>
        <v>72915.925308755759</v>
      </c>
      <c r="Q11" s="22">
        <f t="shared" si="2"/>
        <v>7551.8853579008737</v>
      </c>
      <c r="R11" s="22">
        <f t="shared" si="3"/>
        <v>0</v>
      </c>
      <c r="S11" s="22">
        <f t="shared" si="4"/>
        <v>14590.022388873649</v>
      </c>
      <c r="T11" s="22"/>
      <c r="U11" s="22">
        <f t="shared" si="5"/>
        <v>0</v>
      </c>
      <c r="V11" s="22">
        <f t="shared" si="6"/>
        <v>0</v>
      </c>
      <c r="W11" s="21">
        <f t="shared" si="7"/>
        <v>0</v>
      </c>
      <c r="X11" s="19">
        <f t="shared" si="0"/>
        <v>95057.833055530282</v>
      </c>
      <c r="Y11" s="4"/>
      <c r="Z11" s="8"/>
      <c r="AA11" s="3"/>
      <c r="AB11" s="3" t="s">
        <v>40</v>
      </c>
      <c r="AC11" s="8">
        <f>F12</f>
        <v>48092</v>
      </c>
      <c r="AD11" s="3" t="s">
        <v>41</v>
      </c>
      <c r="AE11" s="3"/>
      <c r="AF11" s="8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25">
      <c r="A12" s="25" t="s">
        <v>42</v>
      </c>
      <c r="B12" s="3">
        <v>0</v>
      </c>
      <c r="C12" s="3" t="s">
        <v>36</v>
      </c>
      <c r="D12" s="3"/>
      <c r="E12" s="17" t="s">
        <v>43</v>
      </c>
      <c r="F12" s="8">
        <v>48092</v>
      </c>
      <c r="G12" s="3" t="s">
        <v>41</v>
      </c>
      <c r="H12" s="16"/>
      <c r="I12" s="17" t="s">
        <v>44</v>
      </c>
      <c r="J12" s="8">
        <v>235</v>
      </c>
      <c r="K12" s="3" t="s">
        <v>45</v>
      </c>
      <c r="L12" s="16"/>
      <c r="M12" s="3"/>
      <c r="N12" s="13">
        <f t="shared" si="8"/>
        <v>4</v>
      </c>
      <c r="O12" s="13"/>
      <c r="P12" s="21">
        <f t="shared" si="1"/>
        <v>69443.738389291204</v>
      </c>
      <c r="Q12" s="22">
        <f t="shared" si="2"/>
        <v>7264.1944871236974</v>
      </c>
      <c r="R12" s="22">
        <f t="shared" si="3"/>
        <v>0</v>
      </c>
      <c r="S12" s="22">
        <f t="shared" si="4"/>
        <v>13895.259417974907</v>
      </c>
      <c r="T12" s="22"/>
      <c r="U12" s="22">
        <f t="shared" si="5"/>
        <v>0</v>
      </c>
      <c r="V12" s="22">
        <f t="shared" si="6"/>
        <v>0</v>
      </c>
      <c r="W12" s="21">
        <f t="shared" si="7"/>
        <v>0</v>
      </c>
      <c r="X12" s="19">
        <f t="shared" si="0"/>
        <v>90603.192294389795</v>
      </c>
      <c r="Y12" s="4"/>
      <c r="Z12" s="8"/>
      <c r="AA12" s="3"/>
      <c r="AB12" s="17" t="s">
        <v>46</v>
      </c>
      <c r="AC12" s="24">
        <f>J40</f>
        <v>16851.436799999999</v>
      </c>
      <c r="AD12" s="3" t="s">
        <v>47</v>
      </c>
      <c r="AE12" s="3"/>
      <c r="AF12" s="8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25">
      <c r="A13" s="25" t="s">
        <v>48</v>
      </c>
      <c r="B13" s="3">
        <v>10</v>
      </c>
      <c r="C13" s="3" t="s">
        <v>36</v>
      </c>
      <c r="D13" s="3"/>
      <c r="E13" s="17" t="s">
        <v>28</v>
      </c>
      <c r="F13" s="8">
        <v>727.74</v>
      </c>
      <c r="G13" s="3" t="s">
        <v>49</v>
      </c>
      <c r="H13" s="16"/>
      <c r="I13" s="17" t="s">
        <v>50</v>
      </c>
      <c r="J13" s="3">
        <v>30</v>
      </c>
      <c r="K13" s="3" t="s">
        <v>51</v>
      </c>
      <c r="L13" s="16"/>
      <c r="M13" s="3"/>
      <c r="N13" s="13">
        <f t="shared" si="8"/>
        <v>5</v>
      </c>
      <c r="O13" s="13"/>
      <c r="P13" s="21">
        <f t="shared" si="1"/>
        <v>66136.893704086848</v>
      </c>
      <c r="Q13" s="22">
        <f t="shared" si="2"/>
        <v>6987.4632685666047</v>
      </c>
      <c r="R13" s="22">
        <f t="shared" si="3"/>
        <v>0</v>
      </c>
      <c r="S13" s="22">
        <f t="shared" si="4"/>
        <v>13233.580398071337</v>
      </c>
      <c r="T13" s="22"/>
      <c r="U13" s="22">
        <f t="shared" si="5"/>
        <v>0</v>
      </c>
      <c r="V13" s="22">
        <f t="shared" si="6"/>
        <v>0</v>
      </c>
      <c r="W13" s="21">
        <f t="shared" si="7"/>
        <v>0</v>
      </c>
      <c r="X13" s="19">
        <f t="shared" si="0"/>
        <v>86357.937370724787</v>
      </c>
      <c r="Y13" s="4"/>
      <c r="Z13" s="8"/>
      <c r="AA13" s="3"/>
      <c r="AB13" s="70" t="s">
        <v>160</v>
      </c>
      <c r="AC13" s="91">
        <f>J26</f>
        <v>117.5</v>
      </c>
      <c r="AD13" s="70" t="s">
        <v>151</v>
      </c>
      <c r="AE13" s="3"/>
      <c r="AF13" s="8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25">
      <c r="A14" s="25"/>
      <c r="B14" s="3"/>
      <c r="C14" s="3"/>
      <c r="D14" s="3"/>
      <c r="E14" s="17" t="s">
        <v>52</v>
      </c>
      <c r="F14" s="3">
        <v>1</v>
      </c>
      <c r="G14" s="3" t="s">
        <v>53</v>
      </c>
      <c r="H14" s="16"/>
      <c r="I14" s="17" t="s">
        <v>54</v>
      </c>
      <c r="J14" s="7">
        <v>20</v>
      </c>
      <c r="K14" s="3" t="s">
        <v>36</v>
      </c>
      <c r="L14" s="16"/>
      <c r="M14" s="3"/>
      <c r="N14" s="13">
        <f t="shared" si="8"/>
        <v>6</v>
      </c>
      <c r="O14" s="13"/>
      <c r="P14" s="21">
        <f t="shared" si="1"/>
        <v>0</v>
      </c>
      <c r="Q14" s="22">
        <f t="shared" si="2"/>
        <v>6721.2741916688292</v>
      </c>
      <c r="R14" s="22">
        <f t="shared" si="3"/>
        <v>0</v>
      </c>
      <c r="S14" s="22">
        <f t="shared" si="4"/>
        <v>12603.409902925085</v>
      </c>
      <c r="T14" s="22"/>
      <c r="U14" s="22">
        <f t="shared" si="5"/>
        <v>0</v>
      </c>
      <c r="V14" s="22">
        <f t="shared" si="6"/>
        <v>0</v>
      </c>
      <c r="W14" s="21">
        <f t="shared" si="7"/>
        <v>0</v>
      </c>
      <c r="X14" s="19">
        <f t="shared" si="0"/>
        <v>19324.684094593915</v>
      </c>
      <c r="Y14" s="4"/>
      <c r="Z14" s="8"/>
      <c r="AA14" s="3"/>
      <c r="AB14" s="70" t="s">
        <v>194</v>
      </c>
      <c r="AC14" s="95">
        <f>J17</f>
        <v>0.99</v>
      </c>
      <c r="AD14" s="70" t="s">
        <v>62</v>
      </c>
      <c r="AE14" s="3"/>
      <c r="AF14" s="8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x14ac:dyDescent="0.25">
      <c r="A15" s="17" t="s">
        <v>55</v>
      </c>
      <c r="B15" s="3">
        <v>30</v>
      </c>
      <c r="C15" s="3" t="s">
        <v>36</v>
      </c>
      <c r="D15" s="3"/>
      <c r="E15" s="17" t="s">
        <v>56</v>
      </c>
      <c r="F15" s="3">
        <v>0</v>
      </c>
      <c r="G15" s="3" t="s">
        <v>57</v>
      </c>
      <c r="H15" s="16"/>
      <c r="I15" s="17" t="s">
        <v>58</v>
      </c>
      <c r="J15" s="3">
        <v>7.08</v>
      </c>
      <c r="K15" s="3" t="s">
        <v>59</v>
      </c>
      <c r="L15" s="16"/>
      <c r="M15" s="3"/>
      <c r="N15" s="13">
        <f t="shared" si="8"/>
        <v>7</v>
      </c>
      <c r="O15" s="13"/>
      <c r="P15" s="21">
        <f t="shared" si="1"/>
        <v>0</v>
      </c>
      <c r="Q15" s="22">
        <f t="shared" si="2"/>
        <v>6465.2256510338266</v>
      </c>
      <c r="R15" s="22">
        <f t="shared" si="3"/>
        <v>0</v>
      </c>
      <c r="S15" s="22">
        <f t="shared" si="4"/>
        <v>12003.247526595316</v>
      </c>
      <c r="T15" s="22"/>
      <c r="U15" s="22">
        <f t="shared" si="5"/>
        <v>0</v>
      </c>
      <c r="V15" s="22">
        <f t="shared" si="6"/>
        <v>0</v>
      </c>
      <c r="W15" s="21">
        <f t="shared" si="7"/>
        <v>0</v>
      </c>
      <c r="X15" s="19">
        <f t="shared" si="0"/>
        <v>18468.473177629145</v>
      </c>
      <c r="Y15" s="4"/>
      <c r="Z15" s="8"/>
      <c r="AA15" s="3"/>
      <c r="AB15" s="3"/>
      <c r="AC15" s="3"/>
      <c r="AD15" s="3"/>
      <c r="AE15" s="3"/>
      <c r="AF15" s="8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25">
      <c r="A16" s="25" t="s">
        <v>131</v>
      </c>
      <c r="B16" s="3">
        <v>15</v>
      </c>
      <c r="C16" s="3" t="s">
        <v>36</v>
      </c>
      <c r="D16" s="3"/>
      <c r="E16" s="17" t="s">
        <v>175</v>
      </c>
      <c r="F16" s="8">
        <v>155000</v>
      </c>
      <c r="G16" s="3" t="s">
        <v>57</v>
      </c>
      <c r="H16" s="16"/>
      <c r="I16" s="17" t="s">
        <v>60</v>
      </c>
      <c r="J16" s="3">
        <v>11</v>
      </c>
      <c r="K16" s="3" t="s">
        <v>59</v>
      </c>
      <c r="L16" s="16"/>
      <c r="M16" s="3"/>
      <c r="N16" s="13">
        <f t="shared" si="8"/>
        <v>8</v>
      </c>
      <c r="O16" s="13"/>
      <c r="P16" s="21">
        <f t="shared" si="1"/>
        <v>0</v>
      </c>
      <c r="Q16" s="22">
        <f t="shared" si="2"/>
        <v>6218.9313405182511</v>
      </c>
      <c r="R16" s="22">
        <f t="shared" si="3"/>
        <v>0</v>
      </c>
      <c r="S16" s="22">
        <f t="shared" si="4"/>
        <v>11431.66431104316</v>
      </c>
      <c r="T16" s="22"/>
      <c r="U16" s="22">
        <f t="shared" si="5"/>
        <v>0</v>
      </c>
      <c r="V16" s="22">
        <f t="shared" si="6"/>
        <v>0</v>
      </c>
      <c r="W16" s="21">
        <f t="shared" si="7"/>
        <v>0</v>
      </c>
      <c r="X16" s="19">
        <f t="shared" si="0"/>
        <v>17650.595651561409</v>
      </c>
      <c r="Y16" s="4"/>
      <c r="Z16" s="8"/>
      <c r="AA16" s="3"/>
      <c r="AB16" s="3"/>
      <c r="AC16" s="3"/>
      <c r="AD16" s="3"/>
      <c r="AE16" s="3"/>
      <c r="AF16" s="8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x14ac:dyDescent="0.25">
      <c r="A17" s="25"/>
      <c r="B17" s="3"/>
      <c r="C17" s="3"/>
      <c r="D17" s="3"/>
      <c r="E17" s="17" t="s">
        <v>64</v>
      </c>
      <c r="F17" s="8">
        <v>0</v>
      </c>
      <c r="G17" s="3" t="s">
        <v>65</v>
      </c>
      <c r="H17" s="16"/>
      <c r="I17" s="17" t="s">
        <v>61</v>
      </c>
      <c r="J17" s="27">
        <v>0.99</v>
      </c>
      <c r="K17" s="3" t="s">
        <v>62</v>
      </c>
      <c r="L17" s="16"/>
      <c r="M17" s="3"/>
      <c r="N17" s="13">
        <f t="shared" si="8"/>
        <v>9</v>
      </c>
      <c r="O17" s="13"/>
      <c r="P17" s="21">
        <f t="shared" si="1"/>
        <v>0</v>
      </c>
      <c r="Q17" s="22">
        <f t="shared" si="2"/>
        <v>5982.0196704032714</v>
      </c>
      <c r="R17" s="22">
        <f t="shared" si="3"/>
        <v>0</v>
      </c>
      <c r="S17" s="22">
        <f t="shared" si="4"/>
        <v>10887.299343850629</v>
      </c>
      <c r="T17" s="22"/>
      <c r="U17" s="22">
        <f t="shared" si="5"/>
        <v>0</v>
      </c>
      <c r="V17" s="22">
        <f t="shared" si="6"/>
        <v>0</v>
      </c>
      <c r="W17" s="21">
        <f t="shared" si="7"/>
        <v>0</v>
      </c>
      <c r="X17" s="19">
        <f t="shared" si="0"/>
        <v>16869.319014253902</v>
      </c>
      <c r="Y17" s="4"/>
      <c r="Z17" s="8"/>
      <c r="AA17" s="3"/>
      <c r="AB17" s="3"/>
      <c r="AC17" s="3"/>
      <c r="AD17" s="3"/>
      <c r="AE17" s="3"/>
      <c r="AF17" s="8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x14ac:dyDescent="0.25">
      <c r="A18" s="25"/>
      <c r="B18" s="8"/>
      <c r="C18" s="3"/>
      <c r="D18" s="3"/>
      <c r="E18" s="17" t="s">
        <v>46</v>
      </c>
      <c r="F18" s="7">
        <v>1416.6671999999999</v>
      </c>
      <c r="G18" s="3" t="s">
        <v>142</v>
      </c>
      <c r="H18" s="16"/>
      <c r="I18" s="78" t="s">
        <v>103</v>
      </c>
      <c r="J18" s="8"/>
      <c r="K18" s="3" t="s">
        <v>27</v>
      </c>
      <c r="L18" s="16"/>
      <c r="M18" s="3"/>
      <c r="N18" s="13">
        <f t="shared" si="8"/>
        <v>10</v>
      </c>
      <c r="O18" s="13"/>
      <c r="P18" s="21">
        <f t="shared" si="1"/>
        <v>0</v>
      </c>
      <c r="Q18" s="22">
        <f t="shared" si="2"/>
        <v>5754.1332067688609</v>
      </c>
      <c r="R18" s="22">
        <f t="shared" si="3"/>
        <v>0</v>
      </c>
      <c r="S18" s="22">
        <f t="shared" si="4"/>
        <v>10368.85651795298</v>
      </c>
      <c r="T18" s="22"/>
      <c r="U18" s="22">
        <f t="shared" si="5"/>
        <v>0</v>
      </c>
      <c r="V18" s="22">
        <f t="shared" si="6"/>
        <v>0</v>
      </c>
      <c r="W18" s="21">
        <f t="shared" si="7"/>
        <v>-81533.933848791523</v>
      </c>
      <c r="X18" s="19">
        <f t="shared" si="0"/>
        <v>-65410.944124069683</v>
      </c>
      <c r="Y18" s="4"/>
      <c r="Z18" s="8"/>
      <c r="AA18" s="3"/>
      <c r="AB18" s="3"/>
      <c r="AC18" s="3"/>
      <c r="AD18" s="3"/>
      <c r="AE18" s="3"/>
      <c r="AF18" s="8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x14ac:dyDescent="0.25">
      <c r="A19" s="25"/>
      <c r="B19" s="3"/>
      <c r="C19" s="3"/>
      <c r="D19" s="3"/>
      <c r="E19" s="17" t="s">
        <v>71</v>
      </c>
      <c r="F19" s="3">
        <v>9.66</v>
      </c>
      <c r="G19" s="3" t="s">
        <v>59</v>
      </c>
      <c r="H19" s="16"/>
      <c r="I19" s="87"/>
      <c r="J19" s="87"/>
      <c r="K19" s="87"/>
      <c r="L19" s="16"/>
      <c r="M19" s="3"/>
      <c r="N19" s="13">
        <f t="shared" si="8"/>
        <v>0</v>
      </c>
      <c r="O19" s="13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4"/>
        <v>0</v>
      </c>
      <c r="T19" s="22"/>
      <c r="U19" s="22">
        <f t="shared" si="5"/>
        <v>0</v>
      </c>
      <c r="V19" s="22">
        <f t="shared" si="6"/>
        <v>0</v>
      </c>
      <c r="W19" s="21">
        <f t="shared" ref="W19:W48" si="9">IF(N19=$B$5,((((1-$J$15/100)^N19)*$B$50+((1-$J$16/100)^N19)*$B$46)/((1+($F$11/100))^N19))*-1,0)</f>
        <v>0</v>
      </c>
      <c r="X19" s="19">
        <f t="shared" si="0"/>
        <v>0</v>
      </c>
      <c r="Y19" s="4"/>
      <c r="Z19" s="8"/>
      <c r="AA19" s="3"/>
      <c r="AB19" s="3"/>
      <c r="AC19" s="3"/>
      <c r="AD19" s="3"/>
      <c r="AE19" s="3"/>
      <c r="AF19" s="8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x14ac:dyDescent="0.25">
      <c r="A20" s="25"/>
      <c r="B20" s="3"/>
      <c r="C20" s="3"/>
      <c r="D20" s="3"/>
      <c r="E20" s="87"/>
      <c r="F20" s="87"/>
      <c r="G20" s="87"/>
      <c r="H20" s="16"/>
      <c r="I20" s="1" t="s">
        <v>66</v>
      </c>
      <c r="J20" s="3"/>
      <c r="K20" s="3"/>
      <c r="L20" s="16"/>
      <c r="M20" s="3"/>
      <c r="N20" s="13">
        <f t="shared" si="8"/>
        <v>0</v>
      </c>
      <c r="O20" s="13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4"/>
        <v>0</v>
      </c>
      <c r="T20" s="22"/>
      <c r="U20" s="22">
        <f t="shared" si="5"/>
        <v>0</v>
      </c>
      <c r="V20" s="22">
        <f t="shared" si="6"/>
        <v>0</v>
      </c>
      <c r="W20" s="21">
        <f t="shared" si="9"/>
        <v>0</v>
      </c>
      <c r="X20" s="19">
        <f t="shared" si="0"/>
        <v>0</v>
      </c>
      <c r="Y20" s="4"/>
      <c r="Z20" s="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 ht="15.75" customHeight="1" x14ac:dyDescent="0.25">
      <c r="A21" s="25"/>
      <c r="B21" s="3"/>
      <c r="C21" s="3"/>
      <c r="D21" s="3"/>
      <c r="E21" s="87"/>
      <c r="F21" s="87"/>
      <c r="G21" s="87"/>
      <c r="H21" s="16"/>
      <c r="I21" s="17" t="s">
        <v>72</v>
      </c>
      <c r="J21" s="3">
        <v>5</v>
      </c>
      <c r="K21" s="3" t="s">
        <v>51</v>
      </c>
      <c r="L21" s="16"/>
      <c r="M21" s="3"/>
      <c r="N21" s="13">
        <f t="shared" si="8"/>
        <v>0</v>
      </c>
      <c r="O21" s="13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4"/>
        <v>0</v>
      </c>
      <c r="T21" s="22"/>
      <c r="U21" s="22">
        <f t="shared" si="5"/>
        <v>0</v>
      </c>
      <c r="V21" s="22">
        <f t="shared" si="6"/>
        <v>0</v>
      </c>
      <c r="W21" s="21">
        <f t="shared" si="9"/>
        <v>0</v>
      </c>
      <c r="X21" s="19">
        <f t="shared" si="0"/>
        <v>0</v>
      </c>
      <c r="Y21" s="4"/>
      <c r="Z21" s="8"/>
      <c r="AA21" s="3"/>
      <c r="AB21" s="28" t="s">
        <v>28</v>
      </c>
      <c r="AC21" s="29"/>
      <c r="AD21" s="29"/>
      <c r="AE21" s="29"/>
      <c r="AF21" s="3"/>
      <c r="AG21" s="28" t="s">
        <v>26</v>
      </c>
      <c r="AH21" s="29"/>
      <c r="AI21" s="29"/>
      <c r="AJ21" s="29"/>
      <c r="AK21" s="3"/>
      <c r="AL21" s="116" t="s">
        <v>182</v>
      </c>
      <c r="AM21" s="116" t="s">
        <v>184</v>
      </c>
      <c r="AN21" s="116" t="s">
        <v>185</v>
      </c>
      <c r="AO21" s="116" t="s">
        <v>31</v>
      </c>
      <c r="AP21" s="116" t="s">
        <v>186</v>
      </c>
      <c r="AQ21" s="116" t="s">
        <v>187</v>
      </c>
      <c r="AR21" s="123" t="str">
        <f>AB66</f>
        <v>Energy Efficiency</v>
      </c>
      <c r="AS21" s="3"/>
      <c r="AT21" s="3"/>
      <c r="AU21" s="3"/>
      <c r="AV21" s="3"/>
      <c r="AW21" s="3"/>
      <c r="AX21" s="3"/>
      <c r="AY21" s="3"/>
    </row>
    <row r="22" spans="1:51" ht="15.75" customHeight="1" x14ac:dyDescent="0.25">
      <c r="A22" s="25"/>
      <c r="B22" s="3"/>
      <c r="C22" s="3"/>
      <c r="D22" s="3"/>
      <c r="E22" s="87"/>
      <c r="F22" s="87"/>
      <c r="G22" s="87"/>
      <c r="H22" s="16"/>
      <c r="I22" s="17" t="s">
        <v>75</v>
      </c>
      <c r="J22" s="3">
        <v>30</v>
      </c>
      <c r="K22" s="3" t="s">
        <v>76</v>
      </c>
      <c r="L22" s="16"/>
      <c r="M22" s="3"/>
      <c r="N22" s="13">
        <f t="shared" si="8"/>
        <v>0</v>
      </c>
      <c r="O22" s="13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4"/>
        <v>0</v>
      </c>
      <c r="T22" s="22"/>
      <c r="U22" s="22">
        <f t="shared" si="5"/>
        <v>0</v>
      </c>
      <c r="V22" s="22">
        <f t="shared" si="6"/>
        <v>0</v>
      </c>
      <c r="W22" s="21">
        <f t="shared" si="9"/>
        <v>0</v>
      </c>
      <c r="X22" s="19">
        <f t="shared" si="0"/>
        <v>0</v>
      </c>
      <c r="Y22" s="4"/>
      <c r="Z22" s="8"/>
      <c r="AA22" s="3"/>
      <c r="AB22" s="29" t="s">
        <v>67</v>
      </c>
      <c r="AC22" s="29" t="s">
        <v>68</v>
      </c>
      <c r="AD22" s="29" t="s">
        <v>22</v>
      </c>
      <c r="AE22" s="29" t="s">
        <v>69</v>
      </c>
      <c r="AF22" s="3"/>
      <c r="AG22" s="29" t="s">
        <v>67</v>
      </c>
      <c r="AH22" s="29" t="s">
        <v>70</v>
      </c>
      <c r="AI22" s="29" t="s">
        <v>22</v>
      </c>
      <c r="AJ22" s="29" t="s">
        <v>69</v>
      </c>
      <c r="AK22" s="3"/>
      <c r="AL22" s="117">
        <v>-50</v>
      </c>
      <c r="AM22" s="118">
        <f>AJ24</f>
        <v>-40.26510018738751</v>
      </c>
      <c r="AN22" s="118">
        <f>AE24</f>
        <v>-5.6965832434078756</v>
      </c>
      <c r="AO22" s="119">
        <f t="shared" ref="AO22:AO32" si="10">AE39</f>
        <v>-4.7762514695404841</v>
      </c>
      <c r="AP22" s="119">
        <f t="shared" ref="AP22:AP32" si="11">AJ39</f>
        <v>-16.445919236577023</v>
      </c>
      <c r="AQ22" s="119">
        <f>AE54</f>
        <v>-10.749335993169089</v>
      </c>
      <c r="AR22" s="124">
        <f>AE69</f>
        <v>5.6965832434078951</v>
      </c>
      <c r="AS22" s="3"/>
      <c r="AT22" s="3"/>
      <c r="AU22" s="3"/>
      <c r="AV22" s="3"/>
      <c r="AW22" s="3"/>
      <c r="AX22" s="3"/>
      <c r="AY22" s="3"/>
    </row>
    <row r="23" spans="1:51" ht="15.75" customHeight="1" x14ac:dyDescent="0.25">
      <c r="A23" s="3"/>
      <c r="B23" s="3"/>
      <c r="C23" s="3"/>
      <c r="D23" s="3"/>
      <c r="E23" s="87"/>
      <c r="F23" s="87"/>
      <c r="G23" s="87"/>
      <c r="H23" s="16"/>
      <c r="I23" s="79" t="s">
        <v>146</v>
      </c>
      <c r="J23" s="80"/>
      <c r="K23" s="80"/>
      <c r="L23" s="81"/>
      <c r="M23" s="3"/>
      <c r="N23" s="13">
        <f t="shared" si="8"/>
        <v>0</v>
      </c>
      <c r="O23" s="13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4"/>
        <v>0</v>
      </c>
      <c r="T23" s="22"/>
      <c r="U23" s="22">
        <f t="shared" si="5"/>
        <v>0</v>
      </c>
      <c r="V23" s="22">
        <f t="shared" si="6"/>
        <v>0</v>
      </c>
      <c r="W23" s="21">
        <f t="shared" si="9"/>
        <v>0</v>
      </c>
      <c r="X23" s="19">
        <f t="shared" si="0"/>
        <v>0</v>
      </c>
      <c r="Y23" s="4"/>
      <c r="Z23" s="8"/>
      <c r="AA23" s="3"/>
      <c r="AB23" s="29" t="s">
        <v>73</v>
      </c>
      <c r="AC23" s="30">
        <v>0.18</v>
      </c>
      <c r="AD23" s="31">
        <f>X49</f>
        <v>605257.51650241122</v>
      </c>
      <c r="AE23" s="29"/>
      <c r="AF23" s="3"/>
      <c r="AG23" s="29" t="s">
        <v>74</v>
      </c>
      <c r="AH23" s="32">
        <v>406556.68064516131</v>
      </c>
      <c r="AI23" s="31">
        <f>X49</f>
        <v>605257.51650241122</v>
      </c>
      <c r="AJ23" s="29"/>
      <c r="AK23" s="3"/>
      <c r="AL23" s="117">
        <v>-40</v>
      </c>
      <c r="AM23" s="118">
        <f>AJ25</f>
        <v>-32.212080149910008</v>
      </c>
      <c r="AN23" s="118">
        <f t="shared" ref="AN23:AN32" si="12">AE25</f>
        <v>-4.557266594726304</v>
      </c>
      <c r="AO23" s="119">
        <f t="shared" si="10"/>
        <v>-3.8210011756323756</v>
      </c>
      <c r="AP23" s="119">
        <f t="shared" si="11"/>
        <v>-13.156735389261559</v>
      </c>
      <c r="AQ23" s="119">
        <f t="shared" ref="AQ23:AQ32" si="13">AE55</f>
        <v>-8.5994687945352943</v>
      </c>
      <c r="AR23" s="124">
        <f t="shared" ref="AR23:AR32" si="14">AE70</f>
        <v>4.5572665947263422</v>
      </c>
      <c r="AS23" s="33"/>
      <c r="AT23" s="33"/>
      <c r="AU23" s="33"/>
      <c r="AV23" s="33"/>
      <c r="AW23" s="33"/>
      <c r="AX23" s="33"/>
      <c r="AY23" s="33"/>
    </row>
    <row r="24" spans="1:51" ht="15.75" customHeight="1" x14ac:dyDescent="0.25">
      <c r="A24" s="15"/>
      <c r="B24" s="3"/>
      <c r="C24" s="3"/>
      <c r="D24" s="3"/>
      <c r="E24" s="3"/>
      <c r="F24" s="7"/>
      <c r="G24" s="3"/>
      <c r="H24" s="16"/>
      <c r="I24" s="80" t="s">
        <v>147</v>
      </c>
      <c r="J24" s="82" t="s">
        <v>145</v>
      </c>
      <c r="K24" s="80"/>
      <c r="L24" s="81"/>
      <c r="M24" s="3"/>
      <c r="N24" s="13">
        <f t="shared" si="8"/>
        <v>0</v>
      </c>
      <c r="O24" s="13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4"/>
        <v>0</v>
      </c>
      <c r="T24" s="22"/>
      <c r="U24" s="22">
        <f t="shared" si="5"/>
        <v>0</v>
      </c>
      <c r="V24" s="22">
        <f t="shared" si="6"/>
        <v>0</v>
      </c>
      <c r="W24" s="21">
        <f t="shared" si="9"/>
        <v>0</v>
      </c>
      <c r="X24" s="19">
        <f t="shared" si="0"/>
        <v>0</v>
      </c>
      <c r="Y24" s="4"/>
      <c r="Z24" s="8"/>
      <c r="AA24" s="3"/>
      <c r="AB24" s="29">
        <f t="shared" ref="AB24:AB28" si="15">AB25-10</f>
        <v>-50</v>
      </c>
      <c r="AC24" s="30">
        <f t="shared" ref="AC24:AC34" si="16">$AC$23*(1+(AB24/100))</f>
        <v>0.09</v>
      </c>
      <c r="AD24" s="31">
        <f t="dataTable" ref="AD24:AD34" dt2D="0" dtr="0" r1="F36" ca="1"/>
        <v>570778.51823786821</v>
      </c>
      <c r="AE24" s="34">
        <f t="shared" ref="AE24:AE34" si="17">100*((AD24-$AD$29)/$AD$29)</f>
        <v>-5.6965832434078756</v>
      </c>
      <c r="AF24" s="3"/>
      <c r="AG24" s="29">
        <f t="shared" ref="AG24:AG28" si="18">AG25-10</f>
        <v>-50</v>
      </c>
      <c r="AH24" s="32">
        <f t="shared" ref="AH24:AH34" si="19">$AH$23*(1+(AG24/100))</f>
        <v>203278.34032258065</v>
      </c>
      <c r="AI24" s="31">
        <f t="dataTable" ref="AI24:AI34" dt2D="0" dtr="0" r1="B50" ca="1"/>
        <v>361549.97109102184</v>
      </c>
      <c r="AJ24" s="34">
        <f t="shared" ref="AJ24:AJ34" si="20">100*((AI24-$AI$29)/$AI$29)</f>
        <v>-40.26510018738751</v>
      </c>
      <c r="AK24" s="3"/>
      <c r="AL24" s="117">
        <v>-30</v>
      </c>
      <c r="AM24" s="118">
        <f t="shared" ref="AM24:AM32" si="21">AJ26</f>
        <v>-24.159060112432524</v>
      </c>
      <c r="AN24" s="118">
        <f t="shared" si="12"/>
        <v>-3.4179499460447329</v>
      </c>
      <c r="AO24" s="119">
        <f t="shared" si="10"/>
        <v>-2.8657508817242867</v>
      </c>
      <c r="AP24" s="119">
        <f t="shared" si="11"/>
        <v>-9.8675515419461757</v>
      </c>
      <c r="AQ24" s="119">
        <f t="shared" si="13"/>
        <v>-6.4496015959014805</v>
      </c>
      <c r="AR24" s="124">
        <f t="shared" si="14"/>
        <v>3.4179499460447329</v>
      </c>
      <c r="AS24" s="33"/>
      <c r="AT24" s="33"/>
      <c r="AU24" s="33"/>
      <c r="AV24" s="33"/>
      <c r="AW24" s="33"/>
      <c r="AX24" s="33"/>
      <c r="AY24" s="33"/>
    </row>
    <row r="25" spans="1:51" ht="15.75" customHeight="1" x14ac:dyDescent="0.25">
      <c r="A25" s="15"/>
      <c r="B25" s="3"/>
      <c r="C25" s="3"/>
      <c r="D25" s="3"/>
      <c r="E25" s="3"/>
      <c r="F25" s="3"/>
      <c r="G25" s="3"/>
      <c r="H25" s="16"/>
      <c r="I25" s="83" t="s">
        <v>148</v>
      </c>
      <c r="J25" s="83">
        <v>1.3</v>
      </c>
      <c r="K25" s="83" t="s">
        <v>149</v>
      </c>
      <c r="L25" s="81"/>
      <c r="M25" s="3"/>
      <c r="N25" s="13">
        <f t="shared" si="8"/>
        <v>0</v>
      </c>
      <c r="O25" s="13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4"/>
        <v>0</v>
      </c>
      <c r="T25" s="22"/>
      <c r="U25" s="22">
        <f t="shared" si="5"/>
        <v>0</v>
      </c>
      <c r="V25" s="22">
        <f t="shared" si="6"/>
        <v>0</v>
      </c>
      <c r="W25" s="21">
        <f t="shared" si="9"/>
        <v>0</v>
      </c>
      <c r="X25" s="19">
        <f t="shared" si="0"/>
        <v>0</v>
      </c>
      <c r="Y25" s="4"/>
      <c r="Z25" s="8"/>
      <c r="AA25" s="3"/>
      <c r="AB25" s="29">
        <f t="shared" si="15"/>
        <v>-40</v>
      </c>
      <c r="AC25" s="30">
        <f t="shared" si="16"/>
        <v>0.108</v>
      </c>
      <c r="AD25" s="31">
        <v>577674.31789077679</v>
      </c>
      <c r="AE25" s="34">
        <f t="shared" si="17"/>
        <v>-4.557266594726304</v>
      </c>
      <c r="AF25" s="3"/>
      <c r="AG25" s="29">
        <f t="shared" si="18"/>
        <v>-40</v>
      </c>
      <c r="AH25" s="32">
        <f t="shared" si="19"/>
        <v>243934.00838709678</v>
      </c>
      <c r="AI25" s="31">
        <v>410291.48017329973</v>
      </c>
      <c r="AJ25" s="34">
        <f t="shared" si="20"/>
        <v>-32.212080149910008</v>
      </c>
      <c r="AK25" s="3"/>
      <c r="AL25" s="117">
        <v>-20</v>
      </c>
      <c r="AM25" s="118">
        <f t="shared" si="21"/>
        <v>-16.106040074955001</v>
      </c>
      <c r="AN25" s="118">
        <f t="shared" si="12"/>
        <v>-2.2786332973631231</v>
      </c>
      <c r="AO25" s="119">
        <f t="shared" si="10"/>
        <v>-1.9105005878161976</v>
      </c>
      <c r="AP25" s="119">
        <f t="shared" si="11"/>
        <v>-6.5783676946308089</v>
      </c>
      <c r="AQ25" s="119">
        <f t="shared" si="13"/>
        <v>-4.299734397267609</v>
      </c>
      <c r="AR25" s="124">
        <f t="shared" si="14"/>
        <v>2.2786332973631618</v>
      </c>
      <c r="AS25" s="33"/>
      <c r="AT25" s="33"/>
      <c r="AU25" s="33"/>
      <c r="AV25" s="33"/>
      <c r="AW25" s="33"/>
      <c r="AX25" s="33"/>
      <c r="AY25" s="33"/>
    </row>
    <row r="26" spans="1:51" ht="15.75" customHeight="1" x14ac:dyDescent="0.25">
      <c r="A26" s="36"/>
      <c r="B26" s="37"/>
      <c r="C26" s="37"/>
      <c r="D26" s="37"/>
      <c r="E26" s="37"/>
      <c r="F26" s="37"/>
      <c r="G26" s="37"/>
      <c r="H26" s="38"/>
      <c r="I26" s="84" t="s">
        <v>150</v>
      </c>
      <c r="J26" s="85">
        <f>J12/2</f>
        <v>117.5</v>
      </c>
      <c r="K26" s="84" t="s">
        <v>151</v>
      </c>
      <c r="L26" s="86"/>
      <c r="M26" s="3"/>
      <c r="N26" s="13">
        <f t="shared" si="8"/>
        <v>0</v>
      </c>
      <c r="O26" s="13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4"/>
        <v>0</v>
      </c>
      <c r="T26" s="22"/>
      <c r="U26" s="22">
        <f t="shared" si="5"/>
        <v>0</v>
      </c>
      <c r="V26" s="22">
        <f t="shared" si="6"/>
        <v>0</v>
      </c>
      <c r="W26" s="21">
        <f t="shared" si="9"/>
        <v>0</v>
      </c>
      <c r="X26" s="19">
        <f t="shared" si="0"/>
        <v>0</v>
      </c>
      <c r="Y26" s="4"/>
      <c r="Z26" s="8"/>
      <c r="AA26" s="3"/>
      <c r="AB26" s="29">
        <f t="shared" si="15"/>
        <v>-30</v>
      </c>
      <c r="AC26" s="30">
        <f t="shared" si="16"/>
        <v>0.126</v>
      </c>
      <c r="AD26" s="31">
        <v>584570.11754368537</v>
      </c>
      <c r="AE26" s="34">
        <f t="shared" si="17"/>
        <v>-3.4179499460447329</v>
      </c>
      <c r="AF26" s="3"/>
      <c r="AG26" s="29">
        <f t="shared" si="18"/>
        <v>-30</v>
      </c>
      <c r="AH26" s="32">
        <f t="shared" si="19"/>
        <v>284589.6764516129</v>
      </c>
      <c r="AI26" s="31">
        <v>459032.9892555775</v>
      </c>
      <c r="AJ26" s="34">
        <f t="shared" si="20"/>
        <v>-24.159060112432524</v>
      </c>
      <c r="AK26" s="3"/>
      <c r="AL26" s="117">
        <v>-10</v>
      </c>
      <c r="AM26" s="118">
        <f t="shared" si="21"/>
        <v>-8.0530200374774843</v>
      </c>
      <c r="AN26" s="118">
        <f t="shared" si="12"/>
        <v>-1.139316648681552</v>
      </c>
      <c r="AO26" s="119">
        <f t="shared" si="10"/>
        <v>-0.95525029390808902</v>
      </c>
      <c r="AP26" s="119">
        <f t="shared" si="11"/>
        <v>-3.2891838473154045</v>
      </c>
      <c r="AQ26" s="119">
        <f t="shared" si="13"/>
        <v>-2.1498671986337947</v>
      </c>
      <c r="AR26" s="124">
        <f t="shared" si="14"/>
        <v>1.1393166486815904</v>
      </c>
      <c r="AS26" s="33"/>
      <c r="AT26" s="33"/>
      <c r="AU26" s="33"/>
      <c r="AV26" s="33"/>
      <c r="AW26" s="33"/>
      <c r="AX26" s="33"/>
      <c r="AY26" s="33"/>
    </row>
    <row r="27" spans="1:5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8"/>
      <c r="K27" s="3"/>
      <c r="L27" s="3"/>
      <c r="M27" s="3"/>
      <c r="N27" s="13">
        <f t="shared" si="8"/>
        <v>0</v>
      </c>
      <c r="O27" s="13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4"/>
        <v>0</v>
      </c>
      <c r="T27" s="22"/>
      <c r="U27" s="22">
        <f t="shared" si="5"/>
        <v>0</v>
      </c>
      <c r="V27" s="22">
        <f t="shared" si="6"/>
        <v>0</v>
      </c>
      <c r="W27" s="21">
        <f t="shared" si="9"/>
        <v>0</v>
      </c>
      <c r="X27" s="19">
        <f t="shared" si="0"/>
        <v>0</v>
      </c>
      <c r="Y27" s="4"/>
      <c r="Z27" s="8"/>
      <c r="AA27" s="3"/>
      <c r="AB27" s="29">
        <f t="shared" si="15"/>
        <v>-20</v>
      </c>
      <c r="AC27" s="30">
        <f t="shared" si="16"/>
        <v>0.14399999999999999</v>
      </c>
      <c r="AD27" s="31">
        <v>591465.91719659418</v>
      </c>
      <c r="AE27" s="34">
        <f t="shared" si="17"/>
        <v>-2.2786332973631231</v>
      </c>
      <c r="AF27" s="3"/>
      <c r="AG27" s="29">
        <f t="shared" si="18"/>
        <v>-20</v>
      </c>
      <c r="AH27" s="32">
        <f t="shared" si="19"/>
        <v>325245.34451612906</v>
      </c>
      <c r="AI27" s="31">
        <v>507774.4983378555</v>
      </c>
      <c r="AJ27" s="34">
        <f t="shared" si="20"/>
        <v>-16.106040074955001</v>
      </c>
      <c r="AK27" s="3"/>
      <c r="AL27" s="117">
        <v>0</v>
      </c>
      <c r="AM27" s="118">
        <f t="shared" si="21"/>
        <v>0</v>
      </c>
      <c r="AN27" s="118">
        <f t="shared" si="12"/>
        <v>0</v>
      </c>
      <c r="AO27" s="119">
        <f t="shared" si="10"/>
        <v>0</v>
      </c>
      <c r="AP27" s="119">
        <f t="shared" si="11"/>
        <v>0</v>
      </c>
      <c r="AQ27" s="119">
        <f t="shared" si="13"/>
        <v>0</v>
      </c>
      <c r="AR27" s="124">
        <f t="shared" si="14"/>
        <v>0</v>
      </c>
      <c r="AS27" s="33"/>
      <c r="AT27" s="33"/>
      <c r="AU27" s="33"/>
      <c r="AV27" s="33"/>
      <c r="AW27" s="33"/>
      <c r="AX27" s="33"/>
      <c r="AY27" s="33"/>
    </row>
    <row r="28" spans="1:51" ht="15.75" customHeight="1" x14ac:dyDescent="0.25">
      <c r="A28" s="1" t="s">
        <v>77</v>
      </c>
      <c r="B28" s="3"/>
      <c r="C28" s="3"/>
      <c r="D28" s="3"/>
      <c r="E28" s="3"/>
      <c r="F28" s="3"/>
      <c r="G28" s="3"/>
      <c r="H28" s="3"/>
      <c r="I28" s="3"/>
      <c r="J28" s="8"/>
      <c r="K28" s="3"/>
      <c r="L28" s="3"/>
      <c r="M28" s="3"/>
      <c r="N28" s="13">
        <f t="shared" si="8"/>
        <v>0</v>
      </c>
      <c r="O28" s="13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4"/>
        <v>0</v>
      </c>
      <c r="T28" s="22"/>
      <c r="U28" s="22">
        <f t="shared" si="5"/>
        <v>0</v>
      </c>
      <c r="V28" s="22">
        <f t="shared" si="6"/>
        <v>0</v>
      </c>
      <c r="W28" s="21">
        <f t="shared" si="9"/>
        <v>0</v>
      </c>
      <c r="X28" s="19">
        <f t="shared" si="0"/>
        <v>0</v>
      </c>
      <c r="Y28" s="4"/>
      <c r="Z28" s="8"/>
      <c r="AA28" s="3"/>
      <c r="AB28" s="29">
        <f t="shared" si="15"/>
        <v>-10</v>
      </c>
      <c r="AC28" s="30">
        <f t="shared" si="16"/>
        <v>0.16200000000000001</v>
      </c>
      <c r="AD28" s="31">
        <v>598361.71684950276</v>
      </c>
      <c r="AE28" s="34">
        <f t="shared" si="17"/>
        <v>-1.139316648681552</v>
      </c>
      <c r="AF28" s="3"/>
      <c r="AG28" s="29">
        <f t="shared" si="18"/>
        <v>-10</v>
      </c>
      <c r="AH28" s="32">
        <f t="shared" si="19"/>
        <v>365901.01258064521</v>
      </c>
      <c r="AI28" s="31">
        <v>556516.00742013345</v>
      </c>
      <c r="AJ28" s="34">
        <f t="shared" si="20"/>
        <v>-8.0530200374774843</v>
      </c>
      <c r="AK28" s="3"/>
      <c r="AL28" s="117">
        <v>10</v>
      </c>
      <c r="AM28" s="118">
        <f t="shared" si="21"/>
        <v>8.0530200374775429</v>
      </c>
      <c r="AN28" s="118">
        <f t="shared" si="12"/>
        <v>1.1393166486815904</v>
      </c>
      <c r="AO28" s="119">
        <f t="shared" si="10"/>
        <v>0.95525029390810834</v>
      </c>
      <c r="AP28" s="119">
        <f t="shared" si="11"/>
        <v>3.2891838473154236</v>
      </c>
      <c r="AQ28" s="119">
        <f t="shared" si="13"/>
        <v>2.1498671986338329</v>
      </c>
      <c r="AR28" s="124">
        <f t="shared" si="14"/>
        <v>-1.139316648681552</v>
      </c>
      <c r="AS28" s="33"/>
      <c r="AT28" s="33"/>
      <c r="AU28" s="33"/>
      <c r="AV28" s="33"/>
      <c r="AW28" s="33"/>
      <c r="AX28" s="33"/>
      <c r="AY28" s="33"/>
    </row>
    <row r="29" spans="1:5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8"/>
      <c r="K29" s="3"/>
      <c r="L29" s="3"/>
      <c r="M29" s="3"/>
      <c r="N29" s="13">
        <f t="shared" si="8"/>
        <v>0</v>
      </c>
      <c r="O29" s="13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4"/>
        <v>0</v>
      </c>
      <c r="T29" s="22"/>
      <c r="U29" s="22">
        <f t="shared" si="5"/>
        <v>0</v>
      </c>
      <c r="V29" s="22">
        <f t="shared" si="6"/>
        <v>0</v>
      </c>
      <c r="W29" s="21">
        <f t="shared" si="9"/>
        <v>0</v>
      </c>
      <c r="X29" s="19">
        <f t="shared" si="0"/>
        <v>0</v>
      </c>
      <c r="Y29" s="4"/>
      <c r="Z29" s="8"/>
      <c r="AA29" s="3"/>
      <c r="AB29" s="71">
        <v>0</v>
      </c>
      <c r="AC29" s="72">
        <f t="shared" si="16"/>
        <v>0.18</v>
      </c>
      <c r="AD29" s="73">
        <v>605257.51650241122</v>
      </c>
      <c r="AE29" s="74">
        <f t="shared" si="17"/>
        <v>0</v>
      </c>
      <c r="AF29" s="3"/>
      <c r="AG29" s="71">
        <v>0</v>
      </c>
      <c r="AH29" s="75">
        <f t="shared" si="19"/>
        <v>406556.68064516131</v>
      </c>
      <c r="AI29" s="73">
        <v>605257.51650241122</v>
      </c>
      <c r="AJ29" s="74">
        <f t="shared" si="20"/>
        <v>0</v>
      </c>
      <c r="AK29" s="3"/>
      <c r="AL29" s="117">
        <v>20</v>
      </c>
      <c r="AM29" s="118">
        <f t="shared" si="21"/>
        <v>16.106040074955029</v>
      </c>
      <c r="AN29" s="118">
        <f t="shared" si="12"/>
        <v>2.2786332973631618</v>
      </c>
      <c r="AO29" s="119">
        <f t="shared" si="10"/>
        <v>1.9105005878161976</v>
      </c>
      <c r="AP29" s="119">
        <f t="shared" si="11"/>
        <v>6.5783676946308285</v>
      </c>
      <c r="AQ29" s="119">
        <f t="shared" si="13"/>
        <v>4.2997343972676472</v>
      </c>
      <c r="AR29" s="124">
        <f t="shared" si="14"/>
        <v>-2.2786332973631231</v>
      </c>
      <c r="AS29" s="33"/>
      <c r="AT29" s="33"/>
      <c r="AU29" s="33"/>
      <c r="AV29" s="33"/>
      <c r="AW29" s="33"/>
      <c r="AX29" s="33"/>
      <c r="AY29" s="33"/>
    </row>
    <row r="30" spans="1:51" ht="15.75" customHeight="1" x14ac:dyDescent="0.25">
      <c r="A30" s="9" t="s">
        <v>78</v>
      </c>
      <c r="B30" s="10"/>
      <c r="C30" s="10"/>
      <c r="D30" s="10"/>
      <c r="E30" s="12" t="s">
        <v>79</v>
      </c>
      <c r="F30" s="10"/>
      <c r="G30" s="10"/>
      <c r="H30" s="10"/>
      <c r="I30" s="12" t="s">
        <v>80</v>
      </c>
      <c r="J30" s="41"/>
      <c r="K30" s="10"/>
      <c r="L30" s="11"/>
      <c r="M30" s="3"/>
      <c r="N30" s="13">
        <f t="shared" si="8"/>
        <v>0</v>
      </c>
      <c r="O30" s="13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4"/>
        <v>0</v>
      </c>
      <c r="T30" s="22"/>
      <c r="U30" s="22">
        <f t="shared" si="5"/>
        <v>0</v>
      </c>
      <c r="V30" s="22">
        <f t="shared" si="6"/>
        <v>0</v>
      </c>
      <c r="W30" s="21">
        <f t="shared" si="9"/>
        <v>0</v>
      </c>
      <c r="X30" s="19">
        <f t="shared" si="0"/>
        <v>0</v>
      </c>
      <c r="Y30" s="4"/>
      <c r="Z30" s="8"/>
      <c r="AA30" s="3"/>
      <c r="AB30" s="29">
        <f t="shared" ref="AB30:AB34" si="22">AB29+10</f>
        <v>10</v>
      </c>
      <c r="AC30" s="30">
        <f t="shared" si="16"/>
        <v>0.19800000000000001</v>
      </c>
      <c r="AD30" s="31">
        <v>612153.31615531992</v>
      </c>
      <c r="AE30" s="34">
        <f t="shared" si="17"/>
        <v>1.1393166486815904</v>
      </c>
      <c r="AF30" s="3"/>
      <c r="AG30" s="29">
        <f t="shared" ref="AG30:AG34" si="23">AG29+10</f>
        <v>10</v>
      </c>
      <c r="AH30" s="32">
        <f t="shared" si="19"/>
        <v>447212.34870967746</v>
      </c>
      <c r="AI30" s="31">
        <v>653999.02558468934</v>
      </c>
      <c r="AJ30" s="34">
        <f t="shared" si="20"/>
        <v>8.0530200374775429</v>
      </c>
      <c r="AK30" s="3"/>
      <c r="AL30" s="117">
        <v>30</v>
      </c>
      <c r="AM30" s="118">
        <f t="shared" si="21"/>
        <v>24.159060112432531</v>
      </c>
      <c r="AN30" s="118">
        <f t="shared" si="12"/>
        <v>3.4179499460447329</v>
      </c>
      <c r="AO30" s="119">
        <f t="shared" si="10"/>
        <v>2.8657508817243058</v>
      </c>
      <c r="AP30" s="119">
        <f t="shared" si="11"/>
        <v>9.8675515419461934</v>
      </c>
      <c r="AQ30" s="119">
        <f t="shared" si="13"/>
        <v>6.4496015959014805</v>
      </c>
      <c r="AR30" s="124">
        <f t="shared" si="14"/>
        <v>-3.4179499460447329</v>
      </c>
      <c r="AS30" s="33"/>
      <c r="AT30" s="33"/>
      <c r="AU30" s="33"/>
      <c r="AV30" s="33"/>
      <c r="AW30" s="33"/>
      <c r="AX30" s="33"/>
      <c r="AY30" s="33"/>
    </row>
    <row r="31" spans="1:51" ht="15.75" customHeight="1" x14ac:dyDescent="0.25">
      <c r="A31" s="25" t="s">
        <v>167</v>
      </c>
      <c r="B31" s="8">
        <f t="shared" ref="B31:B32" si="24">IF(B11=0,0,-(B11/100)*$B$48)</f>
        <v>0</v>
      </c>
      <c r="C31" s="3" t="s">
        <v>3</v>
      </c>
      <c r="D31" s="3"/>
      <c r="E31" s="17" t="s">
        <v>81</v>
      </c>
      <c r="F31" s="24">
        <f>(J22/100)*B52</f>
        <v>121967.00419354839</v>
      </c>
      <c r="G31" s="3" t="s">
        <v>3</v>
      </c>
      <c r="H31" s="3"/>
      <c r="I31" s="17" t="s">
        <v>82</v>
      </c>
      <c r="J31" s="33">
        <f>ROUNDDOWN(J11/(F12/J12),0)</f>
        <v>19</v>
      </c>
      <c r="K31" s="3" t="s">
        <v>51</v>
      </c>
      <c r="L31" s="16"/>
      <c r="M31" s="3"/>
      <c r="N31" s="13">
        <f t="shared" si="8"/>
        <v>0</v>
      </c>
      <c r="O31" s="13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4"/>
        <v>0</v>
      </c>
      <c r="T31" s="22"/>
      <c r="U31" s="22">
        <f t="shared" si="5"/>
        <v>0</v>
      </c>
      <c r="V31" s="22">
        <f t="shared" si="6"/>
        <v>0</v>
      </c>
      <c r="W31" s="21">
        <f t="shared" si="9"/>
        <v>0</v>
      </c>
      <c r="X31" s="19">
        <f t="shared" si="0"/>
        <v>0</v>
      </c>
      <c r="Y31" s="4"/>
      <c r="Z31" s="8"/>
      <c r="AA31" s="3"/>
      <c r="AB31" s="29">
        <f t="shared" si="22"/>
        <v>20</v>
      </c>
      <c r="AC31" s="30">
        <f t="shared" si="16"/>
        <v>0.216</v>
      </c>
      <c r="AD31" s="31">
        <v>619049.1158082285</v>
      </c>
      <c r="AE31" s="34">
        <f t="shared" si="17"/>
        <v>2.2786332973631618</v>
      </c>
      <c r="AF31" s="3"/>
      <c r="AG31" s="29">
        <f t="shared" si="23"/>
        <v>20</v>
      </c>
      <c r="AH31" s="32">
        <f t="shared" si="19"/>
        <v>487868.01677419356</v>
      </c>
      <c r="AI31" s="31">
        <v>702740.53466696711</v>
      </c>
      <c r="AJ31" s="34">
        <f t="shared" si="20"/>
        <v>16.106040074955029</v>
      </c>
      <c r="AK31" s="3"/>
      <c r="AL31" s="117">
        <v>40</v>
      </c>
      <c r="AM31" s="118">
        <f t="shared" si="21"/>
        <v>32.212080149910058</v>
      </c>
      <c r="AN31" s="118">
        <f t="shared" si="12"/>
        <v>4.5572665947263422</v>
      </c>
      <c r="AO31" s="119">
        <f t="shared" si="10"/>
        <v>3.8210011756323952</v>
      </c>
      <c r="AP31" s="119">
        <f t="shared" si="11"/>
        <v>13.156735389261618</v>
      </c>
      <c r="AQ31" s="119">
        <f t="shared" si="13"/>
        <v>8.5994687945352748</v>
      </c>
      <c r="AR31" s="124">
        <f t="shared" si="14"/>
        <v>-4.557266594726304</v>
      </c>
      <c r="AS31" s="33"/>
      <c r="AT31" s="33"/>
      <c r="AU31" s="33"/>
      <c r="AV31" s="33"/>
      <c r="AW31" s="33"/>
      <c r="AX31" s="33"/>
      <c r="AY31" s="33"/>
    </row>
    <row r="32" spans="1:51" ht="15.75" customHeight="1" x14ac:dyDescent="0.25">
      <c r="A32" s="25" t="s">
        <v>42</v>
      </c>
      <c r="B32" s="8">
        <f t="shared" si="24"/>
        <v>0</v>
      </c>
      <c r="C32" s="3" t="s">
        <v>3</v>
      </c>
      <c r="D32" s="3"/>
      <c r="E32" s="17" t="s">
        <v>83</v>
      </c>
      <c r="F32" s="8">
        <f>B52-F31</f>
        <v>284589.6764516129</v>
      </c>
      <c r="G32" s="3" t="s">
        <v>3</v>
      </c>
      <c r="H32" s="3"/>
      <c r="I32" s="17" t="s">
        <v>56</v>
      </c>
      <c r="J32" s="95">
        <f>IF(J24="Yes",SUM(F50:F51),0)</f>
        <v>0</v>
      </c>
      <c r="K32" s="3" t="s">
        <v>47</v>
      </c>
      <c r="L32" s="16"/>
      <c r="M32" s="3"/>
      <c r="N32" s="13">
        <f t="shared" si="8"/>
        <v>0</v>
      </c>
      <c r="O32" s="13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4"/>
        <v>0</v>
      </c>
      <c r="T32" s="22"/>
      <c r="U32" s="22">
        <f t="shared" si="5"/>
        <v>0</v>
      </c>
      <c r="V32" s="22">
        <f t="shared" si="6"/>
        <v>0</v>
      </c>
      <c r="W32" s="21">
        <f t="shared" si="9"/>
        <v>0</v>
      </c>
      <c r="X32" s="19">
        <f t="shared" si="0"/>
        <v>0</v>
      </c>
      <c r="Y32" s="4"/>
      <c r="Z32" s="8"/>
      <c r="AA32" s="3"/>
      <c r="AB32" s="29">
        <f t="shared" si="22"/>
        <v>30</v>
      </c>
      <c r="AC32" s="30">
        <f t="shared" si="16"/>
        <v>0.23399999999999999</v>
      </c>
      <c r="AD32" s="31">
        <v>625944.91546113708</v>
      </c>
      <c r="AE32" s="34">
        <f t="shared" si="17"/>
        <v>3.4179499460447329</v>
      </c>
      <c r="AF32" s="3"/>
      <c r="AG32" s="29">
        <f t="shared" si="23"/>
        <v>30</v>
      </c>
      <c r="AH32" s="32">
        <f t="shared" si="19"/>
        <v>528523.68483870977</v>
      </c>
      <c r="AI32" s="31">
        <v>751482.043749245</v>
      </c>
      <c r="AJ32" s="34">
        <f t="shared" si="20"/>
        <v>24.159060112432531</v>
      </c>
      <c r="AK32" s="3"/>
      <c r="AL32" s="117">
        <v>50</v>
      </c>
      <c r="AM32" s="118">
        <f t="shared" si="21"/>
        <v>40.265100187387546</v>
      </c>
      <c r="AN32" s="118">
        <f t="shared" si="12"/>
        <v>5.6965832434079138</v>
      </c>
      <c r="AO32" s="119">
        <f t="shared" si="10"/>
        <v>4.7762514695404645</v>
      </c>
      <c r="AP32" s="119">
        <f t="shared" si="11"/>
        <v>16.445919236577001</v>
      </c>
      <c r="AQ32" s="119">
        <f t="shared" si="13"/>
        <v>10.749335993169108</v>
      </c>
      <c r="AR32" s="124">
        <f t="shared" si="14"/>
        <v>-5.6965832434078756</v>
      </c>
      <c r="AS32" s="33"/>
      <c r="AT32" s="33"/>
      <c r="AU32" s="33"/>
      <c r="AV32" s="33"/>
      <c r="AW32" s="33"/>
      <c r="AX32" s="33"/>
      <c r="AY32" s="33"/>
    </row>
    <row r="33" spans="1:51" ht="15.75" customHeight="1" x14ac:dyDescent="0.25">
      <c r="A33" s="25" t="s">
        <v>48</v>
      </c>
      <c r="B33" s="8">
        <f>IF(B13=0,0,(B13/100)*B47)</f>
        <v>29039.762903225808</v>
      </c>
      <c r="C33" s="3" t="s">
        <v>3</v>
      </c>
      <c r="D33" s="3"/>
      <c r="E33" s="17" t="s">
        <v>84</v>
      </c>
      <c r="F33" s="24">
        <f>F32*(F19/100)*J21</f>
        <v>137456.81372612904</v>
      </c>
      <c r="G33" s="3" t="s">
        <v>3</v>
      </c>
      <c r="H33" s="3"/>
      <c r="I33" s="3"/>
      <c r="J33" s="3"/>
      <c r="K33" s="3"/>
      <c r="L33" s="16"/>
      <c r="M33" s="3"/>
      <c r="N33" s="13">
        <f t="shared" si="8"/>
        <v>0</v>
      </c>
      <c r="O33" s="13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4"/>
        <v>0</v>
      </c>
      <c r="T33" s="22"/>
      <c r="U33" s="22">
        <f t="shared" si="5"/>
        <v>0</v>
      </c>
      <c r="V33" s="22">
        <f t="shared" si="6"/>
        <v>0</v>
      </c>
      <c r="W33" s="21">
        <f t="shared" si="9"/>
        <v>0</v>
      </c>
      <c r="X33" s="19">
        <f t="shared" si="0"/>
        <v>0</v>
      </c>
      <c r="Y33" s="4"/>
      <c r="Z33" s="8"/>
      <c r="AA33" s="3"/>
      <c r="AB33" s="29">
        <f t="shared" si="22"/>
        <v>40</v>
      </c>
      <c r="AC33" s="30">
        <f t="shared" si="16"/>
        <v>0.252</v>
      </c>
      <c r="AD33" s="31">
        <v>632840.71511404589</v>
      </c>
      <c r="AE33" s="34">
        <f t="shared" si="17"/>
        <v>4.5572665947263422</v>
      </c>
      <c r="AF33" s="3"/>
      <c r="AG33" s="29">
        <f t="shared" si="23"/>
        <v>40</v>
      </c>
      <c r="AH33" s="32">
        <f t="shared" si="19"/>
        <v>569179.35290322581</v>
      </c>
      <c r="AI33" s="31">
        <v>800223.552831523</v>
      </c>
      <c r="AJ33" s="34">
        <f t="shared" si="20"/>
        <v>32.212080149910058</v>
      </c>
      <c r="AK33" s="3"/>
      <c r="AL33" s="3"/>
      <c r="AM33" s="6"/>
      <c r="AN33" s="8"/>
      <c r="AO33" s="35"/>
      <c r="AP33" s="3"/>
      <c r="AQ33" s="33"/>
      <c r="AR33" s="33"/>
      <c r="AS33" s="33"/>
      <c r="AT33" s="33"/>
      <c r="AU33" s="33"/>
      <c r="AV33" s="33"/>
      <c r="AW33" s="33"/>
      <c r="AX33" s="33"/>
      <c r="AY33" s="33"/>
    </row>
    <row r="34" spans="1:51" ht="15.75" customHeight="1" x14ac:dyDescent="0.25">
      <c r="A34" s="25"/>
      <c r="B34" s="8"/>
      <c r="C34" s="3"/>
      <c r="D34" s="3"/>
      <c r="E34" s="3"/>
      <c r="F34" s="33"/>
      <c r="G34" s="3"/>
      <c r="H34" s="3"/>
      <c r="I34" s="17" t="s">
        <v>85</v>
      </c>
      <c r="J34" s="8">
        <f>F12*B5</f>
        <v>480920</v>
      </c>
      <c r="K34" s="3" t="s">
        <v>86</v>
      </c>
      <c r="L34" s="16"/>
      <c r="M34" s="3"/>
      <c r="N34" s="13">
        <f t="shared" si="8"/>
        <v>0</v>
      </c>
      <c r="O34" s="13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4"/>
        <v>0</v>
      </c>
      <c r="T34" s="22"/>
      <c r="U34" s="22">
        <f t="shared" si="5"/>
        <v>0</v>
      </c>
      <c r="V34" s="22">
        <f t="shared" si="6"/>
        <v>0</v>
      </c>
      <c r="W34" s="21">
        <f t="shared" si="9"/>
        <v>0</v>
      </c>
      <c r="X34" s="19">
        <f t="shared" si="0"/>
        <v>0</v>
      </c>
      <c r="Y34" s="4"/>
      <c r="Z34" s="8"/>
      <c r="AA34" s="3"/>
      <c r="AB34" s="29">
        <f t="shared" si="22"/>
        <v>50</v>
      </c>
      <c r="AC34" s="30">
        <f t="shared" si="16"/>
        <v>0.27</v>
      </c>
      <c r="AD34" s="31">
        <v>639736.51476695447</v>
      </c>
      <c r="AE34" s="34">
        <f t="shared" si="17"/>
        <v>5.6965832434079138</v>
      </c>
      <c r="AF34" s="3"/>
      <c r="AG34" s="29">
        <f t="shared" si="23"/>
        <v>50</v>
      </c>
      <c r="AH34" s="32">
        <f t="shared" si="19"/>
        <v>609835.02096774196</v>
      </c>
      <c r="AI34" s="31">
        <v>848965.06191380078</v>
      </c>
      <c r="AJ34" s="34">
        <f t="shared" si="20"/>
        <v>40.265100187387546</v>
      </c>
      <c r="AK34" s="3"/>
      <c r="AL34" s="3"/>
      <c r="AM34" s="6"/>
      <c r="AN34" s="8"/>
      <c r="AO34" s="35"/>
      <c r="AP34" s="3"/>
      <c r="AQ34" s="33"/>
      <c r="AR34" s="33"/>
      <c r="AS34" s="33"/>
      <c r="AT34" s="33"/>
      <c r="AU34" s="33"/>
      <c r="AV34" s="33"/>
      <c r="AW34" s="33"/>
      <c r="AX34" s="33"/>
      <c r="AY34" s="33"/>
    </row>
    <row r="35" spans="1:51" ht="15.75" customHeight="1" x14ac:dyDescent="0.25">
      <c r="A35" s="17" t="s">
        <v>55</v>
      </c>
      <c r="B35" s="7">
        <f>IF(B15=0,0,(B15/100)*$B$47)</f>
        <v>87119.288709677421</v>
      </c>
      <c r="C35" s="3" t="s">
        <v>3</v>
      </c>
      <c r="D35" s="3"/>
      <c r="E35" s="1" t="s">
        <v>87</v>
      </c>
      <c r="F35" s="3"/>
      <c r="G35" s="3"/>
      <c r="H35" s="3"/>
      <c r="I35" s="3"/>
      <c r="J35" s="3"/>
      <c r="K35" s="3"/>
      <c r="L35" s="16"/>
      <c r="M35" s="3"/>
      <c r="N35" s="13">
        <f t="shared" si="8"/>
        <v>0</v>
      </c>
      <c r="O35" s="13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4"/>
        <v>0</v>
      </c>
      <c r="T35" s="22"/>
      <c r="U35" s="22">
        <f t="shared" si="5"/>
        <v>0</v>
      </c>
      <c r="V35" s="22">
        <f t="shared" si="6"/>
        <v>0</v>
      </c>
      <c r="W35" s="21">
        <f t="shared" si="9"/>
        <v>0</v>
      </c>
      <c r="X35" s="19">
        <f t="shared" si="0"/>
        <v>0</v>
      </c>
      <c r="Y35" s="4"/>
      <c r="Z35" s="8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ht="15.75" customHeight="1" x14ac:dyDescent="0.25">
      <c r="A36" s="25"/>
      <c r="B36" s="8"/>
      <c r="C36" s="3"/>
      <c r="D36" s="3"/>
      <c r="E36" s="17" t="s">
        <v>28</v>
      </c>
      <c r="F36" s="20">
        <f>F13/$B$8</f>
        <v>0.18</v>
      </c>
      <c r="G36" s="3" t="s">
        <v>29</v>
      </c>
      <c r="H36" s="3"/>
      <c r="I36" s="3"/>
      <c r="J36" s="3"/>
      <c r="K36" s="3"/>
      <c r="L36" s="16"/>
      <c r="M36" s="3"/>
      <c r="N36" s="13">
        <f t="shared" si="8"/>
        <v>0</v>
      </c>
      <c r="O36" s="13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4"/>
        <v>0</v>
      </c>
      <c r="T36" s="22"/>
      <c r="U36" s="22">
        <f t="shared" si="5"/>
        <v>0</v>
      </c>
      <c r="V36" s="22">
        <f t="shared" si="6"/>
        <v>0</v>
      </c>
      <c r="W36" s="21">
        <f t="shared" si="9"/>
        <v>0</v>
      </c>
      <c r="X36" s="19">
        <f t="shared" si="0"/>
        <v>0</v>
      </c>
      <c r="Y36" s="4"/>
      <c r="Z36" s="8"/>
      <c r="AA36" s="3"/>
      <c r="AB36" s="28" t="s">
        <v>31</v>
      </c>
      <c r="AC36" s="29"/>
      <c r="AD36" s="29"/>
      <c r="AE36" s="29"/>
      <c r="AF36" s="3"/>
      <c r="AG36" s="28" t="s">
        <v>88</v>
      </c>
      <c r="AH36" s="29"/>
      <c r="AI36" s="29"/>
      <c r="AJ36" s="29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ht="15.75" customHeight="1" x14ac:dyDescent="0.25">
      <c r="A37" s="25"/>
      <c r="B37" s="8"/>
      <c r="C37" s="3"/>
      <c r="D37" s="3"/>
      <c r="E37" s="17" t="s">
        <v>89</v>
      </c>
      <c r="F37" s="42">
        <f>(F17/((1-J14%)*J10))/B8</f>
        <v>0</v>
      </c>
      <c r="G37" s="3" t="s">
        <v>29</v>
      </c>
      <c r="H37" s="3"/>
      <c r="I37" s="1" t="s">
        <v>90</v>
      </c>
      <c r="J37" s="43">
        <f>SUM(J38:J41)</f>
        <v>16889.774667919861</v>
      </c>
      <c r="K37" s="1" t="s">
        <v>47</v>
      </c>
      <c r="L37" s="16"/>
      <c r="M37" s="3"/>
      <c r="N37" s="13">
        <f t="shared" si="8"/>
        <v>0</v>
      </c>
      <c r="O37" s="13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4"/>
        <v>0</v>
      </c>
      <c r="T37" s="22"/>
      <c r="U37" s="22">
        <f t="shared" si="5"/>
        <v>0</v>
      </c>
      <c r="V37" s="22">
        <f t="shared" si="6"/>
        <v>0</v>
      </c>
      <c r="W37" s="21">
        <f t="shared" si="9"/>
        <v>0</v>
      </c>
      <c r="X37" s="19">
        <f t="shared" si="0"/>
        <v>0</v>
      </c>
      <c r="Y37" s="4"/>
      <c r="Z37" s="8"/>
      <c r="AA37" s="3"/>
      <c r="AB37" s="29" t="s">
        <v>67</v>
      </c>
      <c r="AC37" s="29" t="s">
        <v>91</v>
      </c>
      <c r="AD37" s="29" t="s">
        <v>22</v>
      </c>
      <c r="AE37" s="29" t="s">
        <v>69</v>
      </c>
      <c r="AF37" s="3"/>
      <c r="AG37" s="29" t="s">
        <v>67</v>
      </c>
      <c r="AH37" s="29" t="s">
        <v>92</v>
      </c>
      <c r="AI37" s="29" t="s">
        <v>22</v>
      </c>
      <c r="AJ37" s="29" t="s">
        <v>69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ht="15.75" customHeight="1" x14ac:dyDescent="0.25">
      <c r="A38" s="25"/>
      <c r="B38" s="8"/>
      <c r="C38" s="3"/>
      <c r="D38" s="3"/>
      <c r="E38" s="17" t="s">
        <v>93</v>
      </c>
      <c r="F38" s="42">
        <f>F36*J17</f>
        <v>0.1782</v>
      </c>
      <c r="G38" s="3" t="s">
        <v>4</v>
      </c>
      <c r="H38" s="3"/>
      <c r="I38" s="17" t="s">
        <v>175</v>
      </c>
      <c r="J38" s="27">
        <f>F16/$B$8</f>
        <v>38.337867919861488</v>
      </c>
      <c r="K38" s="3" t="s">
        <v>47</v>
      </c>
      <c r="L38" s="16"/>
      <c r="M38" s="3"/>
      <c r="N38" s="13">
        <f t="shared" si="8"/>
        <v>0</v>
      </c>
      <c r="O38" s="13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4"/>
        <v>0</v>
      </c>
      <c r="T38" s="22"/>
      <c r="U38" s="22">
        <f t="shared" si="5"/>
        <v>0</v>
      </c>
      <c r="V38" s="22">
        <f t="shared" si="6"/>
        <v>0</v>
      </c>
      <c r="W38" s="21">
        <f t="shared" si="9"/>
        <v>0</v>
      </c>
      <c r="X38" s="19">
        <f t="shared" si="0"/>
        <v>0</v>
      </c>
      <c r="Y38" s="4"/>
      <c r="Z38" s="8"/>
      <c r="AA38" s="3"/>
      <c r="AB38" s="29" t="s">
        <v>73</v>
      </c>
      <c r="AC38" s="32">
        <v>38881.5</v>
      </c>
      <c r="AD38" s="31">
        <f>X49</f>
        <v>605257.51650241122</v>
      </c>
      <c r="AE38" s="29"/>
      <c r="AF38" s="3"/>
      <c r="AG38" s="29" t="s">
        <v>73</v>
      </c>
      <c r="AH38" s="32">
        <v>48092</v>
      </c>
      <c r="AI38" s="31">
        <f>X49</f>
        <v>605257.51650241122</v>
      </c>
      <c r="AJ38" s="29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ht="15.75" customHeight="1" x14ac:dyDescent="0.25">
      <c r="A39" s="25"/>
      <c r="B39" s="8"/>
      <c r="C39" s="3"/>
      <c r="D39" s="3"/>
      <c r="E39" s="3"/>
      <c r="F39" s="3"/>
      <c r="G39" s="3"/>
      <c r="H39" s="3"/>
      <c r="I39" s="17"/>
      <c r="J39" s="27"/>
      <c r="K39" s="3"/>
      <c r="L39" s="16"/>
      <c r="M39" s="3"/>
      <c r="N39" s="13">
        <f t="shared" si="8"/>
        <v>0</v>
      </c>
      <c r="O39" s="13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4"/>
        <v>0</v>
      </c>
      <c r="T39" s="22"/>
      <c r="U39" s="22">
        <f t="shared" si="5"/>
        <v>0</v>
      </c>
      <c r="V39" s="22">
        <f t="shared" si="6"/>
        <v>0</v>
      </c>
      <c r="W39" s="21">
        <f t="shared" si="9"/>
        <v>0</v>
      </c>
      <c r="X39" s="19">
        <f t="shared" si="0"/>
        <v>0</v>
      </c>
      <c r="Y39" s="4"/>
      <c r="Z39" s="8"/>
      <c r="AA39" s="3"/>
      <c r="AB39" s="29">
        <f t="shared" ref="AB39:AB43" si="25">AB40-10</f>
        <v>-50</v>
      </c>
      <c r="AC39" s="32">
        <f t="shared" ref="AC39:AC49" si="26">$AC$38*(1+(AB39/100))</f>
        <v>19440.75</v>
      </c>
      <c r="AD39" s="31">
        <f t="dataTable" ref="AD39:AD49" dt2D="0" dtr="0" r1="B46" ca="1"/>
        <v>576348.89547596057</v>
      </c>
      <c r="AE39" s="34">
        <f t="shared" ref="AE39:AE49" si="27">100*((AD39-$AD$44)/$AD$44)</f>
        <v>-4.7762514695404841</v>
      </c>
      <c r="AF39" s="3"/>
      <c r="AG39" s="29">
        <f t="shared" ref="AG39:AG43" si="28">AG40-10</f>
        <v>-50</v>
      </c>
      <c r="AH39" s="32">
        <f t="shared" ref="AH39:AH49" si="29">$AH$38*(1+(AG39/100))</f>
        <v>24046</v>
      </c>
      <c r="AI39" s="31">
        <f t="dataTable" ref="AI39:AI49" dt2D="0" dtr="0" r1="F12" ca="1"/>
        <v>505717.35416511283</v>
      </c>
      <c r="AJ39" s="34">
        <f t="shared" ref="AJ39:AJ49" si="30">100*((AI39-$AI$44)/$AI$44)</f>
        <v>-16.445919236577023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ht="15.75" customHeight="1" x14ac:dyDescent="0.25">
      <c r="A40" s="25"/>
      <c r="B40" s="8"/>
      <c r="C40" s="3"/>
      <c r="D40" s="3"/>
      <c r="E40" s="17" t="s">
        <v>94</v>
      </c>
      <c r="F40" s="27">
        <f>F37*F12*J17</f>
        <v>0</v>
      </c>
      <c r="G40" s="3" t="s">
        <v>47</v>
      </c>
      <c r="H40" s="3"/>
      <c r="I40" s="17" t="s">
        <v>46</v>
      </c>
      <c r="J40" s="44">
        <f>F18*F12/$B$8</f>
        <v>16851.436799999999</v>
      </c>
      <c r="K40" s="3" t="s">
        <v>47</v>
      </c>
      <c r="L40" s="16"/>
      <c r="M40" s="3"/>
      <c r="N40" s="13">
        <f t="shared" si="8"/>
        <v>0</v>
      </c>
      <c r="O40" s="13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4"/>
        <v>0</v>
      </c>
      <c r="T40" s="22"/>
      <c r="U40" s="22">
        <f t="shared" si="5"/>
        <v>0</v>
      </c>
      <c r="V40" s="22">
        <f t="shared" si="6"/>
        <v>0</v>
      </c>
      <c r="W40" s="21">
        <f t="shared" si="9"/>
        <v>0</v>
      </c>
      <c r="X40" s="19">
        <f t="shared" si="0"/>
        <v>0</v>
      </c>
      <c r="Y40" s="4"/>
      <c r="Z40" s="8"/>
      <c r="AA40" s="3"/>
      <c r="AB40" s="29">
        <f t="shared" si="25"/>
        <v>-40</v>
      </c>
      <c r="AC40" s="32">
        <f t="shared" si="26"/>
        <v>23328.899999999998</v>
      </c>
      <c r="AD40" s="31">
        <v>582130.61968125077</v>
      </c>
      <c r="AE40" s="34">
        <f t="shared" si="27"/>
        <v>-3.8210011756323756</v>
      </c>
      <c r="AF40" s="3"/>
      <c r="AG40" s="29">
        <f t="shared" si="28"/>
        <v>-40</v>
      </c>
      <c r="AH40" s="32">
        <f t="shared" si="29"/>
        <v>28855.200000000001</v>
      </c>
      <c r="AI40" s="31">
        <v>525625.38663257286</v>
      </c>
      <c r="AJ40" s="34">
        <f t="shared" si="30"/>
        <v>-13.156735389261559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ht="15.75" customHeight="1" x14ac:dyDescent="0.25">
      <c r="A41" s="3"/>
      <c r="B41" s="3"/>
      <c r="C41" s="3"/>
      <c r="D41" s="3"/>
      <c r="E41" s="17" t="s">
        <v>95</v>
      </c>
      <c r="F41" s="33">
        <f>F38*F12</f>
        <v>8569.9943999999996</v>
      </c>
      <c r="G41" s="26" t="s">
        <v>47</v>
      </c>
      <c r="H41" s="3"/>
      <c r="I41" s="3"/>
      <c r="J41" s="33"/>
      <c r="K41" s="3"/>
      <c r="L41" s="16"/>
      <c r="M41" s="3"/>
      <c r="N41" s="13">
        <f t="shared" si="8"/>
        <v>0</v>
      </c>
      <c r="O41" s="13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4"/>
        <v>0</v>
      </c>
      <c r="T41" s="22"/>
      <c r="U41" s="22">
        <f t="shared" si="5"/>
        <v>0</v>
      </c>
      <c r="V41" s="22">
        <f t="shared" si="6"/>
        <v>0</v>
      </c>
      <c r="W41" s="21">
        <f t="shared" si="9"/>
        <v>0</v>
      </c>
      <c r="X41" s="19">
        <f t="shared" si="0"/>
        <v>0</v>
      </c>
      <c r="Y41" s="4"/>
      <c r="Z41" s="8"/>
      <c r="AA41" s="3"/>
      <c r="AB41" s="29">
        <f t="shared" si="25"/>
        <v>-30</v>
      </c>
      <c r="AC41" s="32">
        <f t="shared" si="26"/>
        <v>27217.05</v>
      </c>
      <c r="AD41" s="31">
        <v>587912.34388654085</v>
      </c>
      <c r="AE41" s="34">
        <f t="shared" si="27"/>
        <v>-2.8657508817242867</v>
      </c>
      <c r="AF41" s="3"/>
      <c r="AG41" s="29">
        <f t="shared" si="28"/>
        <v>-30</v>
      </c>
      <c r="AH41" s="32">
        <f t="shared" si="29"/>
        <v>33664.400000000001</v>
      </c>
      <c r="AI41" s="31">
        <v>545533.41910003242</v>
      </c>
      <c r="AJ41" s="34">
        <f t="shared" si="30"/>
        <v>-9.8675515419461757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ht="15.75" customHeight="1" x14ac:dyDescent="0.25">
      <c r="A42" s="23" t="s">
        <v>96</v>
      </c>
      <c r="B42" s="4"/>
      <c r="C42" s="1"/>
      <c r="D42" s="3"/>
      <c r="E42" s="3"/>
      <c r="F42" s="3"/>
      <c r="G42" s="3"/>
      <c r="H42" s="3"/>
      <c r="I42" s="87"/>
      <c r="J42" s="87"/>
      <c r="K42" s="87"/>
      <c r="L42" s="16"/>
      <c r="M42" s="3"/>
      <c r="N42" s="13">
        <f t="shared" si="8"/>
        <v>0</v>
      </c>
      <c r="O42" s="13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4"/>
        <v>0</v>
      </c>
      <c r="T42" s="22"/>
      <c r="U42" s="22">
        <f t="shared" si="5"/>
        <v>0</v>
      </c>
      <c r="V42" s="22">
        <f t="shared" si="6"/>
        <v>0</v>
      </c>
      <c r="W42" s="21">
        <f t="shared" si="9"/>
        <v>0</v>
      </c>
      <c r="X42" s="19">
        <f t="shared" si="0"/>
        <v>0</v>
      </c>
      <c r="Y42" s="4"/>
      <c r="Z42" s="8"/>
      <c r="AA42" s="3"/>
      <c r="AB42" s="29">
        <f t="shared" si="25"/>
        <v>-20</v>
      </c>
      <c r="AC42" s="32">
        <f t="shared" si="26"/>
        <v>31105.200000000001</v>
      </c>
      <c r="AD42" s="31">
        <v>593694.06809183094</v>
      </c>
      <c r="AE42" s="34">
        <f t="shared" si="27"/>
        <v>-1.9105005878161976</v>
      </c>
      <c r="AF42" s="3"/>
      <c r="AG42" s="29">
        <f t="shared" si="28"/>
        <v>-20</v>
      </c>
      <c r="AH42" s="32">
        <f t="shared" si="29"/>
        <v>38473.599999999999</v>
      </c>
      <c r="AI42" s="31">
        <v>565441.45156749187</v>
      </c>
      <c r="AJ42" s="34">
        <f t="shared" si="30"/>
        <v>-6.5783676946308089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ht="15.75" customHeight="1" x14ac:dyDescent="0.25">
      <c r="A43" s="17" t="s">
        <v>161</v>
      </c>
      <c r="B43" s="8">
        <f>J8/B8</f>
        <v>218709.67741935485</v>
      </c>
      <c r="C43" s="3" t="s">
        <v>3</v>
      </c>
      <c r="D43" s="3"/>
      <c r="E43" s="3"/>
      <c r="F43" s="3"/>
      <c r="G43" s="3"/>
      <c r="H43" s="3"/>
      <c r="I43" s="3"/>
      <c r="J43" s="3"/>
      <c r="K43" s="3"/>
      <c r="L43" s="16"/>
      <c r="M43" s="3"/>
      <c r="N43" s="13">
        <f t="shared" si="8"/>
        <v>0</v>
      </c>
      <c r="O43" s="13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4"/>
        <v>0</v>
      </c>
      <c r="T43" s="22"/>
      <c r="U43" s="22">
        <f t="shared" si="5"/>
        <v>0</v>
      </c>
      <c r="V43" s="22">
        <f t="shared" si="6"/>
        <v>0</v>
      </c>
      <c r="W43" s="21">
        <f t="shared" si="9"/>
        <v>0</v>
      </c>
      <c r="X43" s="19">
        <f t="shared" si="0"/>
        <v>0</v>
      </c>
      <c r="Y43" s="4"/>
      <c r="Z43" s="8"/>
      <c r="AA43" s="3"/>
      <c r="AB43" s="29">
        <f t="shared" si="25"/>
        <v>-10</v>
      </c>
      <c r="AC43" s="32">
        <f t="shared" si="26"/>
        <v>34993.35</v>
      </c>
      <c r="AD43" s="31">
        <v>599475.79229712114</v>
      </c>
      <c r="AE43" s="34">
        <f t="shared" si="27"/>
        <v>-0.95525029390808902</v>
      </c>
      <c r="AF43" s="3"/>
      <c r="AG43" s="29">
        <f t="shared" si="28"/>
        <v>-10</v>
      </c>
      <c r="AH43" s="32">
        <f t="shared" si="29"/>
        <v>43282.8</v>
      </c>
      <c r="AI43" s="31">
        <v>585349.48403495154</v>
      </c>
      <c r="AJ43" s="34">
        <f t="shared" si="30"/>
        <v>-3.2891838473154045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ht="15.75" customHeight="1" x14ac:dyDescent="0.25">
      <c r="A44" s="17" t="s">
        <v>97</v>
      </c>
      <c r="B44" s="8">
        <f>IF(J24="No",J9*J10,0)</f>
        <v>33810</v>
      </c>
      <c r="C44" s="3" t="s">
        <v>3</v>
      </c>
      <c r="D44" s="3"/>
      <c r="E44" s="88" t="s">
        <v>152</v>
      </c>
      <c r="F44" s="70"/>
      <c r="G44" s="70"/>
      <c r="H44" s="3"/>
      <c r="I44" s="3"/>
      <c r="J44" s="3"/>
      <c r="K44" s="3"/>
      <c r="L44" s="16"/>
      <c r="M44" s="3"/>
      <c r="N44" s="13">
        <f t="shared" si="8"/>
        <v>0</v>
      </c>
      <c r="O44" s="13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4"/>
        <v>0</v>
      </c>
      <c r="T44" s="22"/>
      <c r="U44" s="22">
        <f t="shared" si="5"/>
        <v>0</v>
      </c>
      <c r="V44" s="22">
        <f t="shared" si="6"/>
        <v>0</v>
      </c>
      <c r="W44" s="21">
        <f t="shared" si="9"/>
        <v>0</v>
      </c>
      <c r="X44" s="19">
        <f t="shared" si="0"/>
        <v>0</v>
      </c>
      <c r="Y44" s="4"/>
      <c r="Z44" s="8"/>
      <c r="AA44" s="3"/>
      <c r="AB44" s="39">
        <v>0</v>
      </c>
      <c r="AC44" s="45">
        <f t="shared" si="26"/>
        <v>38881.5</v>
      </c>
      <c r="AD44" s="40">
        <v>605257.51650241122</v>
      </c>
      <c r="AE44" s="74">
        <f t="shared" si="27"/>
        <v>0</v>
      </c>
      <c r="AF44" s="3"/>
      <c r="AG44" s="71">
        <v>0</v>
      </c>
      <c r="AH44" s="76">
        <f t="shared" si="29"/>
        <v>48092</v>
      </c>
      <c r="AI44" s="73">
        <v>605257.51650241122</v>
      </c>
      <c r="AJ44" s="74">
        <f t="shared" si="30"/>
        <v>0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ht="15.75" customHeight="1" x14ac:dyDescent="0.25">
      <c r="A45" s="25" t="s">
        <v>98</v>
      </c>
      <c r="B45" s="24">
        <f>(1+(B16/100))*B43</f>
        <v>251516.12903225806</v>
      </c>
      <c r="C45" s="3" t="s">
        <v>3</v>
      </c>
      <c r="D45" s="3"/>
      <c r="E45" s="78" t="s">
        <v>153</v>
      </c>
      <c r="F45" s="89">
        <f>((1+(B16/100))*J9*J10)*(1+(B13%+B15%))</f>
        <v>54434.099999999984</v>
      </c>
      <c r="G45" s="70" t="s">
        <v>3</v>
      </c>
      <c r="H45" s="3"/>
      <c r="I45" s="1"/>
      <c r="J45" s="3"/>
      <c r="K45" s="3"/>
      <c r="L45" s="16"/>
      <c r="M45" s="3"/>
      <c r="N45" s="13">
        <f t="shared" si="8"/>
        <v>0</v>
      </c>
      <c r="O45" s="13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4"/>
        <v>0</v>
      </c>
      <c r="T45" s="22"/>
      <c r="U45" s="22">
        <f t="shared" si="5"/>
        <v>0</v>
      </c>
      <c r="V45" s="22">
        <f t="shared" si="6"/>
        <v>0</v>
      </c>
      <c r="W45" s="21">
        <f t="shared" si="9"/>
        <v>0</v>
      </c>
      <c r="X45" s="19">
        <f t="shared" si="0"/>
        <v>0</v>
      </c>
      <c r="Y45" s="4"/>
      <c r="Z45" s="8"/>
      <c r="AA45" s="3"/>
      <c r="AB45" s="29">
        <f t="shared" ref="AB45:AB49" si="31">AB44+10</f>
        <v>10</v>
      </c>
      <c r="AC45" s="32">
        <f t="shared" si="26"/>
        <v>42769.65</v>
      </c>
      <c r="AD45" s="31">
        <v>611039.24070770142</v>
      </c>
      <c r="AE45" s="34">
        <f t="shared" si="27"/>
        <v>0.95525029390810834</v>
      </c>
      <c r="AF45" s="3"/>
      <c r="AG45" s="29">
        <f t="shared" ref="AG45:AG49" si="32">AG44+10</f>
        <v>10</v>
      </c>
      <c r="AH45" s="32">
        <f t="shared" si="29"/>
        <v>52901.200000000004</v>
      </c>
      <c r="AI45" s="31">
        <v>625165.54896987102</v>
      </c>
      <c r="AJ45" s="34">
        <f t="shared" si="30"/>
        <v>3.2891838473154236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ht="15.75" customHeight="1" x14ac:dyDescent="0.25">
      <c r="A46" s="25" t="s">
        <v>99</v>
      </c>
      <c r="B46" s="7">
        <f>(1+(B16/100))*B44</f>
        <v>38881.5</v>
      </c>
      <c r="C46" s="3" t="s">
        <v>3</v>
      </c>
      <c r="D46" s="3"/>
      <c r="E46" s="70" t="s">
        <v>154</v>
      </c>
      <c r="F46" s="89">
        <f>((J22%)*F45)+(((1-J22%)*F45)*(1+(F19%*J21)))</f>
        <v>72838.269209999984</v>
      </c>
      <c r="G46" s="70" t="s">
        <v>3</v>
      </c>
      <c r="H46" s="3"/>
      <c r="I46" s="17"/>
      <c r="J46" s="6"/>
      <c r="K46" s="3"/>
      <c r="L46" s="16"/>
      <c r="M46" s="3"/>
      <c r="N46" s="13">
        <f t="shared" si="8"/>
        <v>0</v>
      </c>
      <c r="O46" s="13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4"/>
        <v>0</v>
      </c>
      <c r="T46" s="22"/>
      <c r="U46" s="22">
        <f t="shared" si="5"/>
        <v>0</v>
      </c>
      <c r="V46" s="22">
        <f t="shared" si="6"/>
        <v>0</v>
      </c>
      <c r="W46" s="21">
        <f t="shared" si="9"/>
        <v>0</v>
      </c>
      <c r="X46" s="19">
        <f t="shared" si="0"/>
        <v>0</v>
      </c>
      <c r="Y46" s="4"/>
      <c r="Z46" s="8"/>
      <c r="AA46" s="3"/>
      <c r="AB46" s="29">
        <f t="shared" si="31"/>
        <v>20</v>
      </c>
      <c r="AC46" s="32">
        <f t="shared" si="26"/>
        <v>46657.799999999996</v>
      </c>
      <c r="AD46" s="31">
        <v>616820.96491299151</v>
      </c>
      <c r="AE46" s="34">
        <f t="shared" si="27"/>
        <v>1.9105005878161976</v>
      </c>
      <c r="AF46" s="3"/>
      <c r="AG46" s="29">
        <f t="shared" si="32"/>
        <v>20</v>
      </c>
      <c r="AH46" s="32">
        <f t="shared" si="29"/>
        <v>57710.400000000001</v>
      </c>
      <c r="AI46" s="31">
        <v>645073.58143733069</v>
      </c>
      <c r="AJ46" s="34">
        <f t="shared" si="30"/>
        <v>6.5783676946308285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ht="15.75" customHeight="1" x14ac:dyDescent="0.25">
      <c r="A47" s="3" t="s">
        <v>100</v>
      </c>
      <c r="B47" s="24">
        <f>B45+B46</f>
        <v>290397.62903225806</v>
      </c>
      <c r="C47" s="3" t="s">
        <v>3</v>
      </c>
      <c r="D47" s="3"/>
      <c r="E47" s="70" t="s">
        <v>82</v>
      </c>
      <c r="F47" s="89">
        <f>J12*J11</f>
        <v>940000</v>
      </c>
      <c r="G47" s="70" t="s">
        <v>86</v>
      </c>
      <c r="H47" s="3"/>
      <c r="I47" s="3"/>
      <c r="J47" s="3"/>
      <c r="K47" s="3"/>
      <c r="L47" s="16"/>
      <c r="M47" s="3"/>
      <c r="N47" s="13">
        <f t="shared" si="8"/>
        <v>0</v>
      </c>
      <c r="O47" s="13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4"/>
        <v>0</v>
      </c>
      <c r="T47" s="22"/>
      <c r="U47" s="22">
        <f t="shared" si="5"/>
        <v>0</v>
      </c>
      <c r="V47" s="22">
        <f t="shared" si="6"/>
        <v>0</v>
      </c>
      <c r="W47" s="21">
        <f t="shared" si="9"/>
        <v>0</v>
      </c>
      <c r="X47" s="19">
        <f t="shared" si="0"/>
        <v>0</v>
      </c>
      <c r="Y47" s="4"/>
      <c r="Z47" s="8"/>
      <c r="AA47" s="3"/>
      <c r="AB47" s="29">
        <f t="shared" si="31"/>
        <v>30</v>
      </c>
      <c r="AC47" s="32">
        <f t="shared" si="26"/>
        <v>50545.950000000004</v>
      </c>
      <c r="AD47" s="31">
        <v>622602.68911828171</v>
      </c>
      <c r="AE47" s="34">
        <f t="shared" si="27"/>
        <v>2.8657508817243058</v>
      </c>
      <c r="AF47" s="3"/>
      <c r="AG47" s="29">
        <f t="shared" si="32"/>
        <v>30</v>
      </c>
      <c r="AH47" s="32">
        <f t="shared" si="29"/>
        <v>62519.6</v>
      </c>
      <c r="AI47" s="31">
        <v>664981.61390479014</v>
      </c>
      <c r="AJ47" s="34">
        <f t="shared" si="30"/>
        <v>9.8675515419461934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ht="15.75" customHeight="1" x14ac:dyDescent="0.25">
      <c r="A48" s="25" t="s">
        <v>101</v>
      </c>
      <c r="B48" s="8">
        <f>SUM(B33:B40)+SUM(B47)</f>
        <v>406556.68064516131</v>
      </c>
      <c r="C48" s="3" t="s">
        <v>3</v>
      </c>
      <c r="D48" s="3"/>
      <c r="E48" s="70" t="s">
        <v>155</v>
      </c>
      <c r="F48" s="90">
        <f>(F46/F47)*J25</f>
        <v>0.10073377656702126</v>
      </c>
      <c r="G48" s="70" t="s">
        <v>4</v>
      </c>
      <c r="H48" s="3"/>
      <c r="I48" s="3"/>
      <c r="J48" s="3"/>
      <c r="K48" s="3"/>
      <c r="L48" s="16"/>
      <c r="M48" s="3"/>
      <c r="N48" s="13">
        <f t="shared" si="8"/>
        <v>0</v>
      </c>
      <c r="O48" s="13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4"/>
        <v>0</v>
      </c>
      <c r="T48" s="22"/>
      <c r="U48" s="22">
        <f t="shared" si="5"/>
        <v>0</v>
      </c>
      <c r="V48" s="22">
        <f t="shared" si="6"/>
        <v>0</v>
      </c>
      <c r="W48" s="21">
        <f t="shared" si="9"/>
        <v>0</v>
      </c>
      <c r="X48" s="19">
        <f t="shared" si="0"/>
        <v>0</v>
      </c>
      <c r="Y48" s="4"/>
      <c r="Z48" s="8"/>
      <c r="AA48" s="3"/>
      <c r="AB48" s="29">
        <f t="shared" si="31"/>
        <v>40</v>
      </c>
      <c r="AC48" s="32">
        <f t="shared" si="26"/>
        <v>54434.1</v>
      </c>
      <c r="AD48" s="31">
        <v>628384.41332357179</v>
      </c>
      <c r="AE48" s="34">
        <f t="shared" si="27"/>
        <v>3.8210011756323952</v>
      </c>
      <c r="AF48" s="3"/>
      <c r="AG48" s="29">
        <f t="shared" si="32"/>
        <v>40</v>
      </c>
      <c r="AH48" s="32">
        <f t="shared" si="29"/>
        <v>67328.800000000003</v>
      </c>
      <c r="AI48" s="31">
        <v>684889.64637224993</v>
      </c>
      <c r="AJ48" s="34">
        <f t="shared" si="30"/>
        <v>13.156735389261618</v>
      </c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t="15.75" customHeight="1" x14ac:dyDescent="0.25">
      <c r="A49" s="25" t="s">
        <v>168</v>
      </c>
      <c r="B49" s="8">
        <f>SUM(B31:B32)</f>
        <v>0</v>
      </c>
      <c r="C49" s="3" t="s">
        <v>3</v>
      </c>
      <c r="D49" s="3"/>
      <c r="E49" s="70" t="s">
        <v>156</v>
      </c>
      <c r="F49" s="91">
        <f>J26*365</f>
        <v>42887.5</v>
      </c>
      <c r="G49" s="70" t="s">
        <v>41</v>
      </c>
      <c r="H49" s="3"/>
      <c r="I49" s="3"/>
      <c r="J49" s="3"/>
      <c r="K49" s="3"/>
      <c r="L49" s="16"/>
      <c r="M49" s="3"/>
      <c r="N49" s="14" t="s">
        <v>102</v>
      </c>
      <c r="O49" s="19">
        <f t="shared" ref="O49:S49" si="33">SUM(O8:O48)</f>
        <v>121967.00419354839</v>
      </c>
      <c r="P49" s="19">
        <f t="shared" si="33"/>
        <v>365448.08662923059</v>
      </c>
      <c r="Q49" s="19">
        <f t="shared" si="33"/>
        <v>68957.99652908626</v>
      </c>
      <c r="R49" s="19">
        <f t="shared" si="33"/>
        <v>0</v>
      </c>
      <c r="S49" s="19">
        <f t="shared" si="33"/>
        <v>130418.36299933758</v>
      </c>
      <c r="T49" s="19"/>
      <c r="U49" s="19">
        <f t="shared" ref="U49:X49" si="34">SUM(U8:U48)</f>
        <v>0</v>
      </c>
      <c r="V49" s="19">
        <f t="shared" si="34"/>
        <v>0</v>
      </c>
      <c r="W49" s="19">
        <f t="shared" si="34"/>
        <v>-81533.933848791523</v>
      </c>
      <c r="X49" s="19">
        <f t="shared" si="34"/>
        <v>605257.51650241122</v>
      </c>
      <c r="Y49" s="4"/>
      <c r="Z49" s="4"/>
      <c r="AA49" s="3"/>
      <c r="AB49" s="29">
        <f t="shared" si="31"/>
        <v>50</v>
      </c>
      <c r="AC49" s="32">
        <f t="shared" si="26"/>
        <v>58322.25</v>
      </c>
      <c r="AD49" s="31">
        <v>634166.13752886176</v>
      </c>
      <c r="AE49" s="34">
        <f t="shared" si="27"/>
        <v>4.7762514695404645</v>
      </c>
      <c r="AF49" s="3"/>
      <c r="AG49" s="29">
        <f t="shared" si="32"/>
        <v>50</v>
      </c>
      <c r="AH49" s="32">
        <f t="shared" si="29"/>
        <v>72138</v>
      </c>
      <c r="AI49" s="31">
        <v>704797.67883970949</v>
      </c>
      <c r="AJ49" s="34">
        <f t="shared" si="30"/>
        <v>16.445919236577001</v>
      </c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ht="15.75" customHeight="1" x14ac:dyDescent="0.25">
      <c r="A50" s="25" t="s">
        <v>164</v>
      </c>
      <c r="B50" s="8">
        <f>B48-B49</f>
        <v>406556.68064516131</v>
      </c>
      <c r="C50" s="3" t="s">
        <v>3</v>
      </c>
      <c r="D50" s="3"/>
      <c r="E50" s="70" t="s">
        <v>157</v>
      </c>
      <c r="F50" s="92">
        <f>F48*F49</f>
        <v>4320.2198425181241</v>
      </c>
      <c r="G50" s="93" t="s">
        <v>47</v>
      </c>
      <c r="H50" s="3"/>
      <c r="I50" s="3"/>
      <c r="J50" s="3"/>
      <c r="K50" s="3"/>
      <c r="L50" s="16"/>
      <c r="M50" s="3"/>
      <c r="N50" s="3"/>
      <c r="O50" s="3"/>
      <c r="P50" s="8"/>
      <c r="Q50" s="3"/>
      <c r="R50" s="3"/>
      <c r="S50" s="3"/>
      <c r="T50" s="3"/>
      <c r="U50" s="3"/>
      <c r="V50" s="3"/>
      <c r="W50" s="3"/>
      <c r="X50" s="24"/>
      <c r="Y50" s="24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ht="15.75" customHeight="1" x14ac:dyDescent="0.25">
      <c r="A51" s="17" t="s">
        <v>103</v>
      </c>
      <c r="B51" s="8">
        <f>J18/B8</f>
        <v>0</v>
      </c>
      <c r="C51" s="3" t="s">
        <v>3</v>
      </c>
      <c r="D51" s="3"/>
      <c r="E51" s="70" t="s">
        <v>158</v>
      </c>
      <c r="F51" s="94">
        <f>IF(F12&gt;F49,(F12-F49)*F48,0)</f>
        <v>524.2689401430622</v>
      </c>
      <c r="G51" s="93" t="s">
        <v>47</v>
      </c>
      <c r="H51" s="3"/>
      <c r="I51" s="3"/>
      <c r="J51" s="3"/>
      <c r="K51" s="3"/>
      <c r="L51" s="1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28" t="s">
        <v>46</v>
      </c>
      <c r="AC51" s="29"/>
      <c r="AD51" s="29"/>
      <c r="AE51" s="29"/>
      <c r="AF51" s="3"/>
      <c r="AG51" s="96" t="s">
        <v>150</v>
      </c>
      <c r="AH51" s="97"/>
      <c r="AI51" s="97"/>
      <c r="AJ51" s="97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ht="15.75" customHeight="1" x14ac:dyDescent="0.25">
      <c r="A52" s="17" t="s">
        <v>104</v>
      </c>
      <c r="B52" s="8">
        <f>B50+B51</f>
        <v>406556.68064516131</v>
      </c>
      <c r="C52" s="3" t="s">
        <v>3</v>
      </c>
      <c r="D52" s="3"/>
      <c r="E52" s="3"/>
      <c r="F52" s="3"/>
      <c r="G52" s="3"/>
      <c r="H52" s="3"/>
      <c r="I52" s="3"/>
      <c r="J52" s="3"/>
      <c r="K52" s="3"/>
      <c r="L52" s="1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29" t="s">
        <v>67</v>
      </c>
      <c r="AC52" s="29" t="s">
        <v>105</v>
      </c>
      <c r="AD52" s="29" t="s">
        <v>22</v>
      </c>
      <c r="AE52" s="29" t="s">
        <v>69</v>
      </c>
      <c r="AF52" s="3"/>
      <c r="AG52" s="97" t="s">
        <v>67</v>
      </c>
      <c r="AH52" s="97" t="s">
        <v>159</v>
      </c>
      <c r="AI52" s="97" t="s">
        <v>22</v>
      </c>
      <c r="AJ52" s="97" t="s">
        <v>69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ht="15.75" customHeight="1" x14ac:dyDescent="0.2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"/>
      <c r="N53" s="3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29" t="s">
        <v>73</v>
      </c>
      <c r="AC53" s="32">
        <v>16851.436799999999</v>
      </c>
      <c r="AD53" s="31">
        <f>X49</f>
        <v>605257.51650241122</v>
      </c>
      <c r="AE53" s="29"/>
      <c r="AF53" s="3"/>
      <c r="AG53" s="97" t="s">
        <v>73</v>
      </c>
      <c r="AH53" s="98">
        <v>117.5</v>
      </c>
      <c r="AI53" s="99">
        <f>X49</f>
        <v>605257.51650241122</v>
      </c>
      <c r="AJ53" s="97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6"/>
      <c r="O54" s="47" t="s">
        <v>106</v>
      </c>
      <c r="P54" s="2" t="str">
        <f>B1</f>
        <v>Cambodia</v>
      </c>
      <c r="Q54" s="46"/>
      <c r="R54" s="46"/>
      <c r="S54" s="46"/>
      <c r="T54" s="46"/>
      <c r="U54" s="46"/>
      <c r="V54" s="48"/>
      <c r="W54" s="3"/>
      <c r="X54" s="33"/>
      <c r="Y54" s="33"/>
      <c r="Z54" s="48"/>
      <c r="AA54" s="33"/>
      <c r="AB54" s="29">
        <f t="shared" ref="AB54:AB58" si="35">AB55-10</f>
        <v>-50</v>
      </c>
      <c r="AC54" s="32">
        <f t="shared" ref="AC54:AC64" si="36">$AC$53*(1+(AB54/100))</f>
        <v>8425.7183999999997</v>
      </c>
      <c r="AD54" s="31">
        <f t="dataTable" ref="AD54:AD64" dt2D="0" dtr="0" r1="J40" ca="1"/>
        <v>540196.3524296562</v>
      </c>
      <c r="AE54" s="34">
        <f t="shared" ref="AE54:AE64" si="37">100*((AD54-$AD$59)/$AD$59)</f>
        <v>-10.749335993169089</v>
      </c>
      <c r="AF54" s="3"/>
      <c r="AG54" s="97">
        <f t="shared" ref="AG54:AG56" si="38">AG55-20</f>
        <v>-100</v>
      </c>
      <c r="AH54" s="98">
        <f>$AH$53*(1+(AG54/100))</f>
        <v>0</v>
      </c>
      <c r="AI54" s="99">
        <f t="dataTable" ref="AI54:AI64" dt2D="0" dtr="0" r1="J26" ca="1"/>
        <v>605257.51650241122</v>
      </c>
      <c r="AJ54" s="100">
        <f>100*((AI54-$AI$59)/$AI$59)</f>
        <v>0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107</v>
      </c>
      <c r="P55" s="24">
        <f>SUM(O49:P49)</f>
        <v>487415.09082277899</v>
      </c>
      <c r="Q55" s="3" t="s">
        <v>3</v>
      </c>
      <c r="R55" s="49">
        <f t="shared" ref="R55:R59" si="39">P55/$J$34</f>
        <v>1.0135055535697808</v>
      </c>
      <c r="S55" s="3" t="s">
        <v>4</v>
      </c>
      <c r="T55" s="3"/>
      <c r="U55" s="3"/>
      <c r="V55" s="48"/>
      <c r="W55" s="3"/>
      <c r="X55" s="33"/>
      <c r="Y55" s="33"/>
      <c r="Z55" s="48"/>
      <c r="AA55" s="33"/>
      <c r="AB55" s="29">
        <f t="shared" si="35"/>
        <v>-40</v>
      </c>
      <c r="AC55" s="32">
        <f t="shared" si="36"/>
        <v>10110.862079999999</v>
      </c>
      <c r="AD55" s="31">
        <v>553208.58524420706</v>
      </c>
      <c r="AE55" s="34">
        <f t="shared" si="37"/>
        <v>-8.5994687945352943</v>
      </c>
      <c r="AF55" s="3"/>
      <c r="AG55" s="97">
        <f t="shared" si="38"/>
        <v>-80</v>
      </c>
      <c r="AH55" s="98">
        <f t="shared" ref="AH55:AH64" si="40">$AH$53*(1+(AG55/100))</f>
        <v>23.499999999999996</v>
      </c>
      <c r="AI55" s="99">
        <v>605257.51650241122</v>
      </c>
      <c r="AJ55" s="100">
        <f t="shared" ref="AJ55:AJ64" si="41">100*((AI55-$AI$59)/$AI$59)</f>
        <v>0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87</v>
      </c>
      <c r="P56" s="24">
        <f>SUM(Q49:R49)</f>
        <v>68957.99652908626</v>
      </c>
      <c r="Q56" s="3" t="s">
        <v>3</v>
      </c>
      <c r="R56" s="49">
        <f t="shared" si="39"/>
        <v>0.14338766640831377</v>
      </c>
      <c r="S56" s="3" t="s">
        <v>4</v>
      </c>
      <c r="T56" s="3"/>
      <c r="U56" s="3"/>
      <c r="V56" s="48"/>
      <c r="W56" s="3"/>
      <c r="X56" s="33"/>
      <c r="Y56" s="33"/>
      <c r="Z56" s="48"/>
      <c r="AA56" s="33"/>
      <c r="AB56" s="29">
        <f t="shared" si="35"/>
        <v>-30</v>
      </c>
      <c r="AC56" s="32">
        <f t="shared" si="36"/>
        <v>11796.005759999998</v>
      </c>
      <c r="AD56" s="31">
        <v>566220.81805875804</v>
      </c>
      <c r="AE56" s="34">
        <f t="shared" si="37"/>
        <v>-6.4496015959014805</v>
      </c>
      <c r="AF56" s="3"/>
      <c r="AG56" s="97">
        <f t="shared" si="38"/>
        <v>-60</v>
      </c>
      <c r="AH56" s="98">
        <f t="shared" si="40"/>
        <v>47</v>
      </c>
      <c r="AI56" s="99">
        <v>605257.51650241122</v>
      </c>
      <c r="AJ56" s="100">
        <f t="shared" si="41"/>
        <v>0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108</v>
      </c>
      <c r="P57" s="24">
        <f>SUM(S49:T49)</f>
        <v>130418.36299933758</v>
      </c>
      <c r="Q57" s="3" t="s">
        <v>3</v>
      </c>
      <c r="R57" s="49">
        <f t="shared" si="39"/>
        <v>0.27118515137515092</v>
      </c>
      <c r="S57" s="3" t="s">
        <v>4</v>
      </c>
      <c r="T57" s="3"/>
      <c r="U57" s="3"/>
      <c r="V57" s="48"/>
      <c r="W57" s="3"/>
      <c r="X57" s="33"/>
      <c r="Y57" s="33"/>
      <c r="Z57" s="48"/>
      <c r="AA57" s="33"/>
      <c r="AB57" s="29">
        <f t="shared" si="35"/>
        <v>-20</v>
      </c>
      <c r="AC57" s="32">
        <f t="shared" si="36"/>
        <v>13481.149440000001</v>
      </c>
      <c r="AD57" s="31">
        <v>579233.05087330937</v>
      </c>
      <c r="AE57" s="34">
        <f t="shared" si="37"/>
        <v>-4.299734397267609</v>
      </c>
      <c r="AF57" s="3"/>
      <c r="AG57" s="97">
        <f>AG58-20</f>
        <v>-40</v>
      </c>
      <c r="AH57" s="98">
        <f t="shared" si="40"/>
        <v>70.5</v>
      </c>
      <c r="AI57" s="99">
        <v>605257.51650241122</v>
      </c>
      <c r="AJ57" s="100">
        <f t="shared" si="41"/>
        <v>0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109</v>
      </c>
      <c r="P58" s="24">
        <f>SUM(U49:V49)</f>
        <v>0</v>
      </c>
      <c r="Q58" s="3" t="s">
        <v>3</v>
      </c>
      <c r="R58" s="49">
        <f t="shared" si="39"/>
        <v>0</v>
      </c>
      <c r="S58" s="3" t="s">
        <v>4</v>
      </c>
      <c r="T58" s="3"/>
      <c r="U58" s="3"/>
      <c r="V58" s="48"/>
      <c r="W58" s="3"/>
      <c r="X58" s="33"/>
      <c r="Y58" s="33"/>
      <c r="Z58" s="48"/>
      <c r="AA58" s="33"/>
      <c r="AB58" s="29">
        <f t="shared" si="35"/>
        <v>-10</v>
      </c>
      <c r="AC58" s="32">
        <f t="shared" si="36"/>
        <v>15166.29312</v>
      </c>
      <c r="AD58" s="31">
        <v>592245.28368786036</v>
      </c>
      <c r="AE58" s="34">
        <f t="shared" si="37"/>
        <v>-2.1498671986337947</v>
      </c>
      <c r="AF58" s="3"/>
      <c r="AG58" s="97">
        <f>AG59-20</f>
        <v>-20</v>
      </c>
      <c r="AH58" s="98">
        <f t="shared" si="40"/>
        <v>94</v>
      </c>
      <c r="AI58" s="99">
        <v>605257.51650241122</v>
      </c>
      <c r="AJ58" s="100">
        <f t="shared" si="41"/>
        <v>0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 t="s">
        <v>110</v>
      </c>
      <c r="P59" s="24">
        <f>W49</f>
        <v>-81533.933848791523</v>
      </c>
      <c r="Q59" s="3" t="s">
        <v>3</v>
      </c>
      <c r="R59" s="49">
        <f t="shared" si="39"/>
        <v>-0.16953741547199436</v>
      </c>
      <c r="S59" s="3" t="s">
        <v>4</v>
      </c>
      <c r="T59" s="3"/>
      <c r="U59" s="3"/>
      <c r="V59" s="48"/>
      <c r="W59" s="3"/>
      <c r="X59" s="33"/>
      <c r="Y59" s="33"/>
      <c r="Z59" s="48"/>
      <c r="AA59" s="33"/>
      <c r="AB59" s="39">
        <v>0</v>
      </c>
      <c r="AC59" s="45">
        <f t="shared" si="36"/>
        <v>16851.436799999999</v>
      </c>
      <c r="AD59" s="40">
        <v>605257.51650241122</v>
      </c>
      <c r="AE59" s="74">
        <f t="shared" si="37"/>
        <v>0</v>
      </c>
      <c r="AF59" s="3"/>
      <c r="AG59" s="101">
        <v>0</v>
      </c>
      <c r="AH59" s="102">
        <f t="shared" si="40"/>
        <v>117.5</v>
      </c>
      <c r="AI59" s="103">
        <v>605257.51650241122</v>
      </c>
      <c r="AJ59" s="104">
        <f t="shared" si="41"/>
        <v>0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" t="s">
        <v>2</v>
      </c>
      <c r="P60" s="4">
        <f>SUM(P55:P59)</f>
        <v>605257.51650241134</v>
      </c>
      <c r="Q60" s="1" t="s">
        <v>3</v>
      </c>
      <c r="R60" s="44">
        <f>SUM(R55:R59)</f>
        <v>1.258540955881251</v>
      </c>
      <c r="S60" s="1" t="s">
        <v>4</v>
      </c>
      <c r="T60" s="1"/>
      <c r="U60" s="3"/>
      <c r="V60" s="48"/>
      <c r="W60" s="3"/>
      <c r="X60" s="33"/>
      <c r="Y60" s="33"/>
      <c r="Z60" s="48"/>
      <c r="AA60" s="33"/>
      <c r="AB60" s="29">
        <f t="shared" ref="AB60:AB64" si="42">AB59+10</f>
        <v>10</v>
      </c>
      <c r="AC60" s="32">
        <f t="shared" si="36"/>
        <v>18536.580480000001</v>
      </c>
      <c r="AD60" s="31">
        <v>618269.74931696232</v>
      </c>
      <c r="AE60" s="34">
        <f t="shared" si="37"/>
        <v>2.1498671986338329</v>
      </c>
      <c r="AF60" s="3"/>
      <c r="AG60" s="97">
        <f>AG59+20</f>
        <v>20</v>
      </c>
      <c r="AH60" s="98">
        <f t="shared" si="40"/>
        <v>141</v>
      </c>
      <c r="AI60" s="99">
        <v>605257.51650241122</v>
      </c>
      <c r="AJ60" s="100">
        <f t="shared" si="41"/>
        <v>0</v>
      </c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8"/>
      <c r="W61" s="3"/>
      <c r="X61" s="33"/>
      <c r="Y61" s="33"/>
      <c r="Z61" s="48"/>
      <c r="AA61" s="33"/>
      <c r="AB61" s="29">
        <f t="shared" si="42"/>
        <v>20</v>
      </c>
      <c r="AC61" s="32">
        <f t="shared" si="36"/>
        <v>20221.724159999998</v>
      </c>
      <c r="AD61" s="31">
        <v>631281.9821315133</v>
      </c>
      <c r="AE61" s="34">
        <f t="shared" si="37"/>
        <v>4.2997343972676472</v>
      </c>
      <c r="AF61" s="3"/>
      <c r="AG61" s="97">
        <f t="shared" ref="AG61:AG64" si="43">AG60+20</f>
        <v>40</v>
      </c>
      <c r="AH61" s="98">
        <f t="shared" si="40"/>
        <v>164.5</v>
      </c>
      <c r="AI61" s="99">
        <v>605257.51650241122</v>
      </c>
      <c r="AJ61" s="100">
        <f t="shared" si="41"/>
        <v>0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8"/>
      <c r="W62" s="3"/>
      <c r="X62" s="33"/>
      <c r="Y62" s="33"/>
      <c r="Z62" s="48"/>
      <c r="AA62" s="33"/>
      <c r="AB62" s="29">
        <f t="shared" si="42"/>
        <v>30</v>
      </c>
      <c r="AC62" s="32">
        <f t="shared" si="36"/>
        <v>21906.867839999999</v>
      </c>
      <c r="AD62" s="31">
        <v>644294.2149460644</v>
      </c>
      <c r="AE62" s="34">
        <f t="shared" si="37"/>
        <v>6.4496015959014805</v>
      </c>
      <c r="AF62" s="3"/>
      <c r="AG62" s="97">
        <f t="shared" si="43"/>
        <v>60</v>
      </c>
      <c r="AH62" s="98">
        <f t="shared" si="40"/>
        <v>188</v>
      </c>
      <c r="AI62" s="99">
        <v>605257.51650241122</v>
      </c>
      <c r="AJ62" s="100">
        <f t="shared" si="41"/>
        <v>0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8"/>
      <c r="W63" s="3"/>
      <c r="X63" s="33"/>
      <c r="Y63" s="33"/>
      <c r="Z63" s="48"/>
      <c r="AA63" s="33"/>
      <c r="AB63" s="29">
        <f t="shared" si="42"/>
        <v>40</v>
      </c>
      <c r="AC63" s="32">
        <f t="shared" si="36"/>
        <v>23592.011519999996</v>
      </c>
      <c r="AD63" s="31">
        <v>657306.44776061526</v>
      </c>
      <c r="AE63" s="34">
        <f t="shared" si="37"/>
        <v>8.5994687945352748</v>
      </c>
      <c r="AF63" s="3"/>
      <c r="AG63" s="97">
        <f t="shared" si="43"/>
        <v>80</v>
      </c>
      <c r="AH63" s="98">
        <f t="shared" si="40"/>
        <v>211.5</v>
      </c>
      <c r="AI63" s="99">
        <v>605257.51650241122</v>
      </c>
      <c r="AJ63" s="100">
        <f t="shared" si="41"/>
        <v>0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8"/>
      <c r="W64" s="3"/>
      <c r="X64" s="33"/>
      <c r="Y64" s="33"/>
      <c r="Z64" s="48"/>
      <c r="AA64" s="33"/>
      <c r="AB64" s="29">
        <f t="shared" si="42"/>
        <v>50</v>
      </c>
      <c r="AC64" s="32">
        <f t="shared" si="36"/>
        <v>25277.155200000001</v>
      </c>
      <c r="AD64" s="31">
        <v>670318.68057516636</v>
      </c>
      <c r="AE64" s="34">
        <f t="shared" si="37"/>
        <v>10.749335993169108</v>
      </c>
      <c r="AF64" s="3"/>
      <c r="AG64" s="97">
        <f t="shared" si="43"/>
        <v>100</v>
      </c>
      <c r="AH64" s="98">
        <f t="shared" si="40"/>
        <v>235</v>
      </c>
      <c r="AI64" s="99">
        <v>605257.51650241122</v>
      </c>
      <c r="AJ64" s="100">
        <f t="shared" si="41"/>
        <v>0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8"/>
      <c r="W65" s="3"/>
      <c r="X65" s="33"/>
      <c r="Y65" s="33"/>
      <c r="Z65" s="48"/>
      <c r="AA65" s="33"/>
      <c r="AB65" s="3"/>
      <c r="AC65" s="3"/>
      <c r="AD65" s="3"/>
      <c r="AE65" s="3"/>
      <c r="AF65" s="3"/>
      <c r="AG65" s="3"/>
      <c r="AH65" s="6"/>
      <c r="AI65" s="8"/>
      <c r="AJ65" s="35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8"/>
      <c r="W66" s="3"/>
      <c r="X66" s="33"/>
      <c r="Y66" s="33"/>
      <c r="Z66" s="48"/>
      <c r="AA66" s="33"/>
      <c r="AB66" s="96" t="s">
        <v>194</v>
      </c>
      <c r="AC66" s="97"/>
      <c r="AD66" s="97"/>
      <c r="AE66" s="97"/>
      <c r="AF66" s="3"/>
      <c r="AG66" s="3"/>
      <c r="AH66" s="6"/>
      <c r="AI66" s="8"/>
      <c r="AJ66" s="35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8"/>
      <c r="W67" s="3"/>
      <c r="X67" s="33"/>
      <c r="Y67" s="33"/>
      <c r="Z67" s="48"/>
      <c r="AA67" s="33"/>
      <c r="AB67" s="97" t="s">
        <v>67</v>
      </c>
      <c r="AC67" s="97" t="s">
        <v>194</v>
      </c>
      <c r="AD67" s="97" t="s">
        <v>22</v>
      </c>
      <c r="AE67" s="97" t="s">
        <v>69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8"/>
      <c r="W68" s="3"/>
      <c r="X68" s="33"/>
      <c r="Y68" s="33"/>
      <c r="Z68" s="48"/>
      <c r="AA68" s="33"/>
      <c r="AB68" s="97" t="s">
        <v>73</v>
      </c>
      <c r="AC68" s="121">
        <v>0.99</v>
      </c>
      <c r="AD68" s="99">
        <f>X49</f>
        <v>605257.51650241122</v>
      </c>
      <c r="AE68" s="97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50"/>
      <c r="Y69" s="50"/>
      <c r="Z69" s="3"/>
      <c r="AA69" s="50"/>
      <c r="AB69" s="97">
        <f t="shared" ref="AB69:AB73" si="44">AB70-10</f>
        <v>-50</v>
      </c>
      <c r="AC69" s="121">
        <f>$AC$68*(1-(AB69/100))</f>
        <v>1.4849999999999999</v>
      </c>
      <c r="AD69" s="99">
        <f t="dataTable" ref="AD69:AD79" dt2D="0" dtr="0" r1="J17"/>
        <v>639736.51476695435</v>
      </c>
      <c r="AE69" s="100">
        <f>100*((AD69-$AD$74)/$AD$74)</f>
        <v>5.6965832434078951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97">
        <f t="shared" si="44"/>
        <v>-40</v>
      </c>
      <c r="AC70" s="121">
        <f t="shared" ref="AC70:AC73" si="45">$AC$68*(1-(AB70/100))</f>
        <v>1.3859999999999999</v>
      </c>
      <c r="AD70" s="99">
        <v>632840.71511404589</v>
      </c>
      <c r="AE70" s="100">
        <f t="shared" ref="AE70:AE79" si="46">100*((AD70-$AD$74)/$AD$74)</f>
        <v>4.5572665947263422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97">
        <f t="shared" si="44"/>
        <v>-30</v>
      </c>
      <c r="AC71" s="121">
        <f t="shared" si="45"/>
        <v>1.2869999999999999</v>
      </c>
      <c r="AD71" s="99">
        <v>625944.91546113708</v>
      </c>
      <c r="AE71" s="100">
        <f t="shared" si="46"/>
        <v>3.4179499460447329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97">
        <f t="shared" si="44"/>
        <v>-20</v>
      </c>
      <c r="AC72" s="121">
        <f t="shared" si="45"/>
        <v>1.1879999999999999</v>
      </c>
      <c r="AD72" s="99">
        <v>619049.1158082285</v>
      </c>
      <c r="AE72" s="100">
        <f t="shared" si="46"/>
        <v>2.2786332973631618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97">
        <f t="shared" si="44"/>
        <v>-10</v>
      </c>
      <c r="AC73" s="121">
        <f t="shared" si="45"/>
        <v>1.089</v>
      </c>
      <c r="AD73" s="99">
        <v>612153.31615531992</v>
      </c>
      <c r="AE73" s="100">
        <f t="shared" si="46"/>
        <v>1.1393166486815904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01">
        <v>0</v>
      </c>
      <c r="AC74" s="122">
        <f t="shared" ref="AC74" si="47">$AC$68*(1+(AB74/100))</f>
        <v>0.99</v>
      </c>
      <c r="AD74" s="103">
        <v>605257.51650241122</v>
      </c>
      <c r="AE74" s="104">
        <f t="shared" si="46"/>
        <v>0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97">
        <f t="shared" ref="AB75:AB79" si="48">AB74+10</f>
        <v>10</v>
      </c>
      <c r="AC75" s="121">
        <f t="shared" ref="AC75:AC79" si="49">$AC$68*(1-(AB75/100))</f>
        <v>0.89100000000000001</v>
      </c>
      <c r="AD75" s="99">
        <v>598361.71684950276</v>
      </c>
      <c r="AE75" s="100">
        <f t="shared" si="46"/>
        <v>-1.139316648681552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97">
        <f t="shared" si="48"/>
        <v>20</v>
      </c>
      <c r="AC76" s="121">
        <f t="shared" si="49"/>
        <v>0.79200000000000004</v>
      </c>
      <c r="AD76" s="99">
        <v>591465.91719659418</v>
      </c>
      <c r="AE76" s="100">
        <f t="shared" si="46"/>
        <v>-2.2786332973631231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97">
        <f t="shared" si="48"/>
        <v>30</v>
      </c>
      <c r="AC77" s="121">
        <f t="shared" si="49"/>
        <v>0.69299999999999995</v>
      </c>
      <c r="AD77" s="99">
        <v>584570.11754368537</v>
      </c>
      <c r="AE77" s="100">
        <f t="shared" si="46"/>
        <v>-3.4179499460447329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97">
        <f t="shared" si="48"/>
        <v>40</v>
      </c>
      <c r="AC78" s="121">
        <f t="shared" si="49"/>
        <v>0.59399999999999997</v>
      </c>
      <c r="AD78" s="99">
        <v>577674.31789077679</v>
      </c>
      <c r="AE78" s="100">
        <f t="shared" si="46"/>
        <v>-4.557266594726304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97">
        <f t="shared" si="48"/>
        <v>50</v>
      </c>
      <c r="AC79" s="121">
        <f t="shared" si="49"/>
        <v>0.495</v>
      </c>
      <c r="AD79" s="99">
        <v>570778.51823786821</v>
      </c>
      <c r="AE79" s="100">
        <f t="shared" si="46"/>
        <v>-5.6965832434078756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1:5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1:5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1:5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1:5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1:5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1:5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1:5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1:5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1:5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1:5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1:5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1:5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1:5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1:5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1:5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1:5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1:5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1:5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1:5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1:5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1:5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1:5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1:5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1:5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1:5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1:5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1:5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1:5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1:5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1:5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1:5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1:5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1:5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1:5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1:5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1:5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1:5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1:5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1:5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1:5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1:5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1:5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1:5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1:5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1:5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1:5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1:5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1:5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1:5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1:5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1:5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1:5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1:5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spans="1:5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spans="1:5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spans="1:5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spans="1:5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spans="1:5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spans="1:5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1:5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spans="1:5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spans="1:5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spans="1:5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spans="1:5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spans="1:5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spans="1:5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spans="1:5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spans="1:5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spans="1:5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spans="1:5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spans="1:5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spans="1:5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spans="1:5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spans="1:5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spans="1:5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spans="1:5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spans="1:5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spans="1:5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spans="1:5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spans="1:5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spans="1:5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spans="1:5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spans="1:5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spans="1:5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spans="1:5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spans="1:5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spans="1:5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spans="1:5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spans="1:5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spans="1:5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spans="1:5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spans="1:5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spans="1:5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spans="1:5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spans="1:5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spans="1:5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spans="1:5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spans="1:5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spans="1:5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spans="1:5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spans="1:5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spans="1:5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spans="1:5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spans="1:5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spans="1:5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spans="1:5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spans="1:5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spans="1:5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spans="1:5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spans="1:5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spans="1:5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spans="1:5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spans="1:5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spans="1:5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1:5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1:5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1:5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1:5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1:5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1:5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1:5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1:5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spans="1:5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spans="1:5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spans="1:5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spans="1:5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spans="1:5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1:5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1:5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1:5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spans="1:5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spans="1:5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spans="1:5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spans="1:5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spans="1:5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spans="1:5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spans="1:5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1:5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spans="1:5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spans="1:5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1:5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1:5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1:5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spans="1:5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spans="1:5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1:5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spans="1:5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1:5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spans="1:5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1:5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1:5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spans="1:5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spans="1:51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spans="1:51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spans="1:51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spans="1:51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spans="1:51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spans="1:51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1:51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spans="1:51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spans="1:51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spans="1:51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spans="1:51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spans="1:51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spans="1:51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1:51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spans="1:51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spans="1:51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spans="1:51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spans="1:51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spans="1:51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spans="1:51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spans="1:51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spans="1:51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spans="1:51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spans="1:51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spans="1:51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spans="1:51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spans="1:51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spans="1:51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spans="1:51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spans="1:51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spans="1:51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spans="1:51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spans="1:51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spans="1:51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spans="1:51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spans="1:51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spans="1:51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spans="1:51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spans="1:51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spans="1:51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spans="1:51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spans="1:51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spans="1:51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spans="1:51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spans="1:51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spans="1:51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spans="1:51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spans="1:51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spans="1:51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spans="1:51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spans="1:51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spans="1:51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spans="1:51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spans="1:51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spans="1:51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spans="1:51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spans="1:51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spans="1:51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spans="1:51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spans="1:51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spans="1:51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spans="1:51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spans="1:51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spans="1:51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spans="1:51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spans="1:51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spans="1:51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spans="1:51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spans="1:51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spans="1:51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spans="1:51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spans="1:51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spans="1:51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spans="1:51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spans="1:5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spans="1:51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spans="1:5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spans="1:51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spans="1:51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spans="1:51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spans="1:51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spans="1:51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spans="1:51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spans="1:51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spans="1:5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spans="1:51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spans="1:51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spans="1:51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spans="1:51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spans="1:51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spans="1:51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spans="1:51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spans="1:51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spans="1:51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spans="1:51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spans="1:51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spans="1:51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spans="1:51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spans="1:51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spans="1:51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spans="1:51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spans="1:51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spans="1:51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spans="1:51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spans="1:51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spans="1:51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spans="1:51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spans="1:51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spans="1:5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spans="1:51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spans="1:51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spans="1:51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spans="1:5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spans="1:51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spans="1:51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spans="1:51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spans="1:5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spans="1:51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spans="1:51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spans="1:51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spans="1:5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spans="1:51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spans="1:51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spans="1:51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spans="1:51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spans="1:51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spans="1:51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spans="1:51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spans="1:51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spans="1:51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spans="1:51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spans="1:51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spans="1:51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spans="1:51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spans="1:5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spans="1:51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spans="1:51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spans="1:51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spans="1:51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spans="1:5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spans="1:51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spans="1:51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spans="1:51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spans="1:51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spans="1:51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spans="1:51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spans="1:51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spans="1:51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spans="1:51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spans="1:51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spans="1:51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spans="1:51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spans="1:51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spans="1:51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spans="1:51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spans="1:5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spans="1:51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spans="1:5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spans="1:51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spans="1:51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spans="1:5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spans="1:51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spans="1:51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spans="1:51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spans="1:5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spans="1:51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spans="1:51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spans="1:51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spans="1:5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spans="1:51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spans="1:51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spans="1:51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spans="1:51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spans="1:51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spans="1:51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spans="1:51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spans="1:51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spans="1:51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spans="1:5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spans="1:51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spans="1:51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spans="1:51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spans="1:51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spans="1:51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spans="1:51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spans="1:51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spans="1:51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spans="1:5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spans="1:51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spans="1:51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spans="1:51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spans="1:51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spans="1:51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spans="1:51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spans="1:5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spans="1:5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spans="1:5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spans="1:5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spans="1:51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spans="1:51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spans="1:51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spans="1:51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spans="1:51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spans="1:51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spans="1:51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spans="1:51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spans="1:51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spans="1:51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spans="1:51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spans="1:51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spans="1:51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spans="1:51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spans="1:5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spans="1:51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spans="1:51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spans="1:5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spans="1:51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spans="1:51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spans="1:51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spans="1:51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spans="1:51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spans="1:51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spans="1:5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spans="1:51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spans="1:51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spans="1:51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spans="1:51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spans="1:51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spans="1:51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spans="1:51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spans="1:51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spans="1:51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spans="1:51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spans="1:51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spans="1:5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spans="1:51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spans="1:51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spans="1:51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spans="1:51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spans="1:51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spans="1:51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spans="1:5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spans="1:51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spans="1:51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spans="1:51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spans="1:51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spans="1:51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spans="1:51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spans="1:51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spans="1:51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spans="1:51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spans="1:51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spans="1:51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</row>
    <row r="497" spans="1:51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</row>
    <row r="498" spans="1:51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</row>
    <row r="499" spans="1:51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</row>
    <row r="501" spans="1:51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</row>
    <row r="502" spans="1:51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</row>
    <row r="503" spans="1:51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</row>
    <row r="504" spans="1:51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</row>
    <row r="505" spans="1:51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</row>
    <row r="506" spans="1:51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</row>
    <row r="507" spans="1:51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</row>
    <row r="508" spans="1:51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</row>
    <row r="509" spans="1:5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</row>
    <row r="510" spans="1:51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</row>
    <row r="511" spans="1:51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</row>
    <row r="512" spans="1:51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</row>
    <row r="513" spans="1:51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</row>
    <row r="514" spans="1:51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</row>
    <row r="515" spans="1:51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</row>
    <row r="516" spans="1:51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</row>
    <row r="517" spans="1:51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</row>
    <row r="518" spans="1:5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</row>
    <row r="519" spans="1:51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</row>
    <row r="520" spans="1:51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spans="1:51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</row>
    <row r="522" spans="1:51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</row>
    <row r="523" spans="1:5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</row>
    <row r="524" spans="1:51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</row>
    <row r="525" spans="1:51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</row>
    <row r="526" spans="1:51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</row>
    <row r="527" spans="1:51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</row>
    <row r="528" spans="1:51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</row>
    <row r="529" spans="1:51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</row>
    <row r="530" spans="1:5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</row>
    <row r="531" spans="1:51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</row>
    <row r="532" spans="1:51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</row>
    <row r="533" spans="1:51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</row>
    <row r="534" spans="1:5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</row>
    <row r="535" spans="1:51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</row>
    <row r="536" spans="1:51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</row>
    <row r="537" spans="1:51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</row>
    <row r="538" spans="1:5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</row>
    <row r="539" spans="1:51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</row>
    <row r="540" spans="1:51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</row>
    <row r="541" spans="1:51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</row>
    <row r="542" spans="1:51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</row>
    <row r="543" spans="1:51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</row>
    <row r="544" spans="1:51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</row>
    <row r="545" spans="1:51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</row>
    <row r="546" spans="1:51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</row>
    <row r="547" spans="1:5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</row>
    <row r="548" spans="1:51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</row>
    <row r="549" spans="1:51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</row>
    <row r="550" spans="1:51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</row>
    <row r="551" spans="1:51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</row>
    <row r="552" spans="1:51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</row>
    <row r="553" spans="1:51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</row>
    <row r="554" spans="1:51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</row>
    <row r="555" spans="1:51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</row>
    <row r="556" spans="1:51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</row>
    <row r="557" spans="1:51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</row>
    <row r="558" spans="1:51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</row>
    <row r="559" spans="1:51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</row>
    <row r="560" spans="1:51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</row>
    <row r="561" spans="1:51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</row>
    <row r="562" spans="1:51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</row>
    <row r="563" spans="1:51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</row>
    <row r="564" spans="1:51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</row>
    <row r="565" spans="1:51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</row>
    <row r="566" spans="1:51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</row>
    <row r="567" spans="1:51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</row>
    <row r="568" spans="1:51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</row>
    <row r="569" spans="1:5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</row>
    <row r="570" spans="1:51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</row>
    <row r="571" spans="1:51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</row>
    <row r="572" spans="1:51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</row>
    <row r="573" spans="1:51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</row>
    <row r="574" spans="1:51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</row>
    <row r="575" spans="1:51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</row>
    <row r="576" spans="1:51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</row>
    <row r="577" spans="1:5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</row>
    <row r="578" spans="1:51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</row>
    <row r="579" spans="1:51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</row>
    <row r="580" spans="1:51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</row>
    <row r="581" spans="1:5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</row>
    <row r="582" spans="1:51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</row>
    <row r="583" spans="1:5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</row>
    <row r="584" spans="1:51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</row>
    <row r="585" spans="1:51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</row>
    <row r="586" spans="1:51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</row>
    <row r="587" spans="1:5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</row>
    <row r="588" spans="1:5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</row>
    <row r="589" spans="1:51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</row>
    <row r="590" spans="1:51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</row>
    <row r="591" spans="1:51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</row>
    <row r="592" spans="1:51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</row>
    <row r="594" spans="1:5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</row>
    <row r="595" spans="1:51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</row>
    <row r="596" spans="1:51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</row>
    <row r="597" spans="1:51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</row>
    <row r="598" spans="1:51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</row>
    <row r="599" spans="1:5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</row>
    <row r="600" spans="1:51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</row>
    <row r="601" spans="1:51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</row>
    <row r="602" spans="1:5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</row>
    <row r="603" spans="1:51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</row>
    <row r="604" spans="1:51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</row>
    <row r="605" spans="1:51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</row>
    <row r="606" spans="1:51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</row>
    <row r="607" spans="1:51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</row>
    <row r="608" spans="1:51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</row>
    <row r="609" spans="1:5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</row>
    <row r="610" spans="1:51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</row>
    <row r="611" spans="1:51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</row>
    <row r="612" spans="1:51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</row>
    <row r="613" spans="1:51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</row>
    <row r="614" spans="1:51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</row>
    <row r="615" spans="1:51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</row>
    <row r="616" spans="1:5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</row>
    <row r="617" spans="1:51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</row>
    <row r="618" spans="1:51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</row>
    <row r="620" spans="1:51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</row>
    <row r="621" spans="1:51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</row>
    <row r="622" spans="1:51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</row>
    <row r="623" spans="1:51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</row>
    <row r="624" spans="1:51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</row>
    <row r="625" spans="1:51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</row>
    <row r="626" spans="1:51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</row>
    <row r="627" spans="1:51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</row>
    <row r="628" spans="1:51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</row>
    <row r="629" spans="1:51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</row>
    <row r="630" spans="1:51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</row>
    <row r="631" spans="1:51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</row>
    <row r="632" spans="1:51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</row>
    <row r="633" spans="1:51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</row>
    <row r="634" spans="1:51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</row>
    <row r="635" spans="1:51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</row>
    <row r="636" spans="1:51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</row>
    <row r="637" spans="1:51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</row>
    <row r="638" spans="1:51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</row>
    <row r="639" spans="1:51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</row>
    <row r="640" spans="1:51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</row>
    <row r="641" spans="1:51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</row>
    <row r="642" spans="1:51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</row>
    <row r="643" spans="1:51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</row>
    <row r="644" spans="1:51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</row>
    <row r="645" spans="1:51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</row>
    <row r="646" spans="1:51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</row>
    <row r="647" spans="1:51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</row>
    <row r="648" spans="1:51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</row>
    <row r="649" spans="1:51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</row>
    <row r="650" spans="1:51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</row>
    <row r="651" spans="1:51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</row>
    <row r="652" spans="1:51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</row>
    <row r="653" spans="1:51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</row>
    <row r="654" spans="1:5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</row>
    <row r="655" spans="1:51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</row>
    <row r="656" spans="1:51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</row>
    <row r="657" spans="1:51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</row>
    <row r="658" spans="1:51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</row>
    <row r="659" spans="1:51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</row>
    <row r="660" spans="1:51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</row>
    <row r="661" spans="1:51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</row>
    <row r="662" spans="1:51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</row>
    <row r="663" spans="1:5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</row>
    <row r="664" spans="1:51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</row>
    <row r="665" spans="1:51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</row>
    <row r="666" spans="1:51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</row>
    <row r="667" spans="1:51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</row>
    <row r="668" spans="1:51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</row>
    <row r="669" spans="1:51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</row>
    <row r="670" spans="1:51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</row>
    <row r="671" spans="1:51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</row>
    <row r="672" spans="1:51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</row>
    <row r="673" spans="1:5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</row>
    <row r="674" spans="1:51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</row>
    <row r="675" spans="1:51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</row>
    <row r="676" spans="1:51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</row>
    <row r="677" spans="1:5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</row>
    <row r="678" spans="1:51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</row>
    <row r="679" spans="1:51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</row>
    <row r="680" spans="1:5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</row>
    <row r="681" spans="1:51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</row>
    <row r="682" spans="1:51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</row>
    <row r="683" spans="1:51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</row>
    <row r="684" spans="1:51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</row>
    <row r="685" spans="1:5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</row>
    <row r="686" spans="1:51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</row>
    <row r="687" spans="1:51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</row>
    <row r="688" spans="1:5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</row>
    <row r="689" spans="1:51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</row>
    <row r="690" spans="1:51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</row>
    <row r="691" spans="1:5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</row>
    <row r="692" spans="1:51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</row>
    <row r="693" spans="1:51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</row>
    <row r="694" spans="1:5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</row>
    <row r="695" spans="1:51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</row>
    <row r="696" spans="1:51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</row>
    <row r="697" spans="1:51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</row>
    <row r="698" spans="1:51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</row>
    <row r="699" spans="1:51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</row>
    <row r="700" spans="1:51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</row>
    <row r="701" spans="1:51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</row>
    <row r="702" spans="1:51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</row>
    <row r="703" spans="1:51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</row>
    <row r="704" spans="1:51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</row>
    <row r="705" spans="1:51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</row>
    <row r="706" spans="1:51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</row>
    <row r="707" spans="1:51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</row>
    <row r="708" spans="1:51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</row>
    <row r="709" spans="1:51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</row>
    <row r="710" spans="1:51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</row>
    <row r="711" spans="1:51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</row>
    <row r="712" spans="1:51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</row>
    <row r="713" spans="1:51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</row>
    <row r="714" spans="1:51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</row>
    <row r="715" spans="1:51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</row>
    <row r="716" spans="1:51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</row>
    <row r="717" spans="1:51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</row>
    <row r="718" spans="1:51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</row>
    <row r="719" spans="1:51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</row>
    <row r="720" spans="1:51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</row>
    <row r="721" spans="1:51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</row>
    <row r="722" spans="1:51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</row>
    <row r="723" spans="1:51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</row>
    <row r="724" spans="1:51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</row>
    <row r="725" spans="1:51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</row>
    <row r="726" spans="1:51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</row>
    <row r="727" spans="1:51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</row>
    <row r="728" spans="1:51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</row>
    <row r="729" spans="1:51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</row>
    <row r="730" spans="1:51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</row>
    <row r="731" spans="1:51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</row>
    <row r="732" spans="1:51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</row>
    <row r="733" spans="1:51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</row>
    <row r="734" spans="1:51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</row>
    <row r="735" spans="1:51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</row>
    <row r="736" spans="1:51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</row>
    <row r="737" spans="1:51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</row>
    <row r="738" spans="1:51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</row>
    <row r="739" spans="1:51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</row>
    <row r="740" spans="1:51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</row>
    <row r="741" spans="1:51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</row>
    <row r="742" spans="1:51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</row>
    <row r="743" spans="1:51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</row>
    <row r="744" spans="1:51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</row>
    <row r="745" spans="1:51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</row>
    <row r="746" spans="1:51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</row>
    <row r="747" spans="1:51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</row>
    <row r="748" spans="1:51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</row>
    <row r="749" spans="1:51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</row>
    <row r="750" spans="1:51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</row>
    <row r="751" spans="1:51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</row>
    <row r="752" spans="1:51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</row>
    <row r="753" spans="1:51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</row>
    <row r="754" spans="1:51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</row>
    <row r="755" spans="1:51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</row>
    <row r="756" spans="1:51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</row>
    <row r="757" spans="1:51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</row>
    <row r="758" spans="1:51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</row>
    <row r="759" spans="1:51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spans="1:51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</row>
    <row r="761" spans="1:51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</row>
    <row r="762" spans="1:51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</row>
    <row r="763" spans="1:51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</row>
    <row r="764" spans="1:51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</row>
    <row r="765" spans="1:51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</row>
    <row r="766" spans="1:51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</row>
    <row r="767" spans="1:51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spans="1:51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</row>
    <row r="769" spans="1:51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</row>
    <row r="770" spans="1:51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</row>
    <row r="771" spans="1:51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</row>
    <row r="772" spans="1:51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</row>
    <row r="773" spans="1:51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</row>
    <row r="774" spans="1:51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</row>
    <row r="775" spans="1:51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</row>
    <row r="776" spans="1:51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</row>
    <row r="777" spans="1:51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</row>
    <row r="778" spans="1:51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</row>
    <row r="779" spans="1:51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</row>
    <row r="780" spans="1:51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</row>
    <row r="781" spans="1:51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</row>
    <row r="782" spans="1:51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</row>
    <row r="783" spans="1:51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</row>
    <row r="784" spans="1:51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</row>
    <row r="785" spans="1:51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</row>
    <row r="786" spans="1:51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</row>
    <row r="787" spans="1:51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</row>
    <row r="788" spans="1:51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</row>
    <row r="789" spans="1:51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</row>
    <row r="790" spans="1:51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</row>
    <row r="791" spans="1:51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</row>
    <row r="792" spans="1:51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</row>
    <row r="793" spans="1:51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</row>
    <row r="794" spans="1:51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</row>
    <row r="795" spans="1:51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</row>
    <row r="796" spans="1:51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</row>
    <row r="797" spans="1:51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</row>
    <row r="798" spans="1:51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</row>
    <row r="799" spans="1:51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</row>
    <row r="800" spans="1:51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</row>
    <row r="801" spans="1:51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</row>
    <row r="802" spans="1:51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</row>
    <row r="803" spans="1:51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</row>
    <row r="804" spans="1:51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</row>
    <row r="805" spans="1:51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</row>
    <row r="806" spans="1:51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</row>
    <row r="807" spans="1:51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</row>
    <row r="808" spans="1:51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</row>
    <row r="809" spans="1:51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</row>
    <row r="810" spans="1:51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</row>
    <row r="811" spans="1:51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</row>
    <row r="812" spans="1:51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</row>
    <row r="813" spans="1:51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</row>
    <row r="814" spans="1:51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</row>
    <row r="815" spans="1:51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</row>
    <row r="816" spans="1:51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</row>
    <row r="817" spans="1:51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</row>
    <row r="818" spans="1:51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</row>
    <row r="819" spans="1:51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</row>
    <row r="820" spans="1:51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</row>
    <row r="821" spans="1:51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</row>
    <row r="822" spans="1:51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</row>
    <row r="823" spans="1:51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</row>
    <row r="824" spans="1:5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</row>
    <row r="825" spans="1:51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</row>
    <row r="826" spans="1:51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</row>
    <row r="828" spans="1:51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</row>
    <row r="829" spans="1:51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</row>
    <row r="830" spans="1:51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</row>
    <row r="831" spans="1:5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</row>
    <row r="832" spans="1:51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</row>
    <row r="833" spans="1:51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</row>
    <row r="834" spans="1:51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</row>
    <row r="835" spans="1:51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</row>
    <row r="836" spans="1:51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</row>
    <row r="837" spans="1:5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</row>
    <row r="839" spans="1:51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</row>
    <row r="840" spans="1:51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</row>
    <row r="841" spans="1:51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</row>
    <row r="842" spans="1:51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</row>
    <row r="843" spans="1:51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</row>
    <row r="844" spans="1:51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</row>
    <row r="845" spans="1:5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</row>
    <row r="846" spans="1:51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</row>
    <row r="847" spans="1:51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</row>
    <row r="848" spans="1:51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</row>
    <row r="849" spans="1:5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</row>
    <row r="850" spans="1:51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</row>
    <row r="851" spans="1:51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</row>
    <row r="852" spans="1:51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</row>
    <row r="853" spans="1:51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</row>
    <row r="854" spans="1:51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</row>
    <row r="855" spans="1:51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</row>
    <row r="856" spans="1:51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</row>
    <row r="857" spans="1:5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</row>
    <row r="858" spans="1:51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</row>
    <row r="859" spans="1:5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</row>
    <row r="860" spans="1:51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</row>
    <row r="861" spans="1:51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</row>
    <row r="862" spans="1:51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</row>
    <row r="863" spans="1:51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</row>
    <row r="864" spans="1:51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</row>
    <row r="865" spans="1:51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</row>
    <row r="866" spans="1:51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</row>
    <row r="867" spans="1:5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</row>
    <row r="868" spans="1:51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</row>
    <row r="869" spans="1:51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</row>
    <row r="870" spans="1:5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</row>
    <row r="871" spans="1:51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spans="1:51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</row>
    <row r="873" spans="1:51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</row>
    <row r="874" spans="1:5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</row>
    <row r="875" spans="1:51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</row>
    <row r="876" spans="1:51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</row>
    <row r="877" spans="1:51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</row>
    <row r="878" spans="1:51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</row>
    <row r="879" spans="1:51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</row>
    <row r="880" spans="1:51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</row>
    <row r="881" spans="1:51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</row>
    <row r="882" spans="1:51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</row>
    <row r="883" spans="1:51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</row>
    <row r="884" spans="1:5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</row>
    <row r="885" spans="1:51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</row>
    <row r="886" spans="1:51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</row>
    <row r="887" spans="1:51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</row>
    <row r="888" spans="1:51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</row>
    <row r="889" spans="1:51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</row>
    <row r="890" spans="1:51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</row>
    <row r="891" spans="1:51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</row>
    <row r="892" spans="1:51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</row>
    <row r="893" spans="1:51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</row>
    <row r="894" spans="1:51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</row>
    <row r="895" spans="1:5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</row>
    <row r="896" spans="1:51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</row>
    <row r="897" spans="1:51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</row>
    <row r="898" spans="1:51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</row>
    <row r="899" spans="1:5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</row>
    <row r="900" spans="1:51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</row>
    <row r="901" spans="1:51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</row>
    <row r="902" spans="1:51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</row>
    <row r="903" spans="1:51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</row>
    <row r="904" spans="1:51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</row>
    <row r="905" spans="1:51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</row>
    <row r="906" spans="1:51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</row>
    <row r="907" spans="1:51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</row>
    <row r="909" spans="1:51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</row>
    <row r="910" spans="1:51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</row>
    <row r="911" spans="1:51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</row>
    <row r="912" spans="1:51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</row>
    <row r="913" spans="1:51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</row>
    <row r="914" spans="1:51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</row>
    <row r="915" spans="1:51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</row>
    <row r="916" spans="1:51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</row>
    <row r="917" spans="1:51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</row>
    <row r="918" spans="1:51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</row>
    <row r="919" spans="1:51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</row>
    <row r="920" spans="1:51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</row>
    <row r="921" spans="1:51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</row>
    <row r="922" spans="1:51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</row>
    <row r="923" spans="1:51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</row>
    <row r="925" spans="1:51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</row>
    <row r="926" spans="1:51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</row>
    <row r="927" spans="1:51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</row>
    <row r="928" spans="1:51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</row>
    <row r="929" spans="1:51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</row>
    <row r="930" spans="1:51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</row>
    <row r="931" spans="1:51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</row>
    <row r="932" spans="1:51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</row>
    <row r="933" spans="1:51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</row>
    <row r="934" spans="1:51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</row>
    <row r="935" spans="1:51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</row>
    <row r="936" spans="1:51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</row>
    <row r="937" spans="1:51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</row>
    <row r="939" spans="1:51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</row>
    <row r="940" spans="1:51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</row>
    <row r="941" spans="1:51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</row>
    <row r="942" spans="1:51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</row>
    <row r="943" spans="1:51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</row>
    <row r="944" spans="1:51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</row>
    <row r="945" spans="1:51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</row>
    <row r="946" spans="1:51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</row>
    <row r="947" spans="1:51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</row>
    <row r="948" spans="1:51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</row>
    <row r="949" spans="1:51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</row>
    <row r="950" spans="1:51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</row>
    <row r="951" spans="1:51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</row>
    <row r="952" spans="1:51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</row>
    <row r="953" spans="1:51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</row>
    <row r="954" spans="1:51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</row>
    <row r="955" spans="1:51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</row>
    <row r="956" spans="1:51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</row>
    <row r="957" spans="1:51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</row>
    <row r="958" spans="1:51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</row>
    <row r="959" spans="1:51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</row>
    <row r="960" spans="1:51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</row>
    <row r="961" spans="1:51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</row>
    <row r="962" spans="1:51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</row>
    <row r="963" spans="1:51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</row>
    <row r="964" spans="1:51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</row>
    <row r="965" spans="1:51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</row>
    <row r="966" spans="1:51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</row>
    <row r="967" spans="1:51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</row>
    <row r="968" spans="1:51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</row>
    <row r="969" spans="1:51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</row>
    <row r="970" spans="1:51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</row>
    <row r="971" spans="1:51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</row>
    <row r="972" spans="1:51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</row>
    <row r="973" spans="1:51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</row>
    <row r="974" spans="1:51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</row>
    <row r="975" spans="1:51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</row>
    <row r="976" spans="1:51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</row>
    <row r="977" spans="1:51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</row>
    <row r="978" spans="1:51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</row>
    <row r="979" spans="1:51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</row>
    <row r="980" spans="1:51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</row>
    <row r="982" spans="1:51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</row>
    <row r="983" spans="1:51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</row>
    <row r="984" spans="1:51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</row>
    <row r="985" spans="1:51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</row>
    <row r="986" spans="1:51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</row>
    <row r="987" spans="1:51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</row>
    <row r="988" spans="1:51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</row>
    <row r="989" spans="1:51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</row>
    <row r="990" spans="1:51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</row>
    <row r="991" spans="1:51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</row>
    <row r="992" spans="1:51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</row>
    <row r="993" spans="1:51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</row>
    <row r="994" spans="1:51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</row>
    <row r="995" spans="1:51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</row>
    <row r="996" spans="1:51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</row>
    <row r="997" spans="1:51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</row>
    <row r="998" spans="1:51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</row>
    <row r="999" spans="1:51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</row>
    <row r="1000" spans="1:51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</row>
  </sheetData>
  <pageMargins left="0.7" right="0.7" top="0.75" bottom="0.75" header="0" footer="0"/>
  <pageSetup orientation="landscape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6D838F-C6DF-4FF7-A9AB-3EE63F735ABF}">
          <x14:formula1>
            <xm:f>Description!$A$18:$A$19</xm:f>
          </x14:formula1>
          <xm:sqref>J24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AO1000"/>
  <sheetViews>
    <sheetView topLeftCell="I1" zoomScaleNormal="100" workbookViewId="0">
      <selection activeCell="J8" sqref="J8:J1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47" bestFit="1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16" customWidth="1"/>
    <col min="20" max="20" width="22" customWidth="1"/>
    <col min="21" max="21" width="23.85546875" customWidth="1"/>
    <col min="22" max="22" width="12.7109375" customWidth="1"/>
    <col min="23" max="23" width="19.42578125" customWidth="1"/>
    <col min="24" max="24" width="13.42578125" customWidth="1"/>
    <col min="25" max="25" width="8.85546875" customWidth="1"/>
    <col min="26" max="26" width="20.140625" customWidth="1"/>
    <col min="27" max="27" width="25" customWidth="1"/>
    <col min="28" max="28" width="12.85546875" customWidth="1"/>
    <col min="29" max="29" width="19" customWidth="1"/>
    <col min="30" max="30" width="4.7109375" customWidth="1"/>
    <col min="31" max="31" width="20.140625" customWidth="1"/>
    <col min="32" max="32" width="19.28515625" customWidth="1"/>
    <col min="33" max="33" width="11.28515625" customWidth="1"/>
    <col min="34" max="34" width="17.85546875" customWidth="1"/>
  </cols>
  <sheetData>
    <row r="1" spans="1:34" x14ac:dyDescent="0.25">
      <c r="A1" s="1" t="s">
        <v>0</v>
      </c>
      <c r="B1" s="2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1" t="s">
        <v>2</v>
      </c>
      <c r="B2" s="4">
        <f>U49</f>
        <v>434395.47976426099</v>
      </c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5">
      <c r="A3" s="3"/>
      <c r="B3" s="5">
        <f>B2/F41</f>
        <v>0.9032593357819616</v>
      </c>
      <c r="C3" s="1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1" t="s">
        <v>5</v>
      </c>
      <c r="B4" s="3"/>
      <c r="C4" s="3"/>
      <c r="D4" s="3"/>
      <c r="E4" s="6"/>
      <c r="F4" s="3"/>
      <c r="G4" s="3"/>
      <c r="H4" s="3"/>
      <c r="I4" s="3"/>
      <c r="J4" s="7"/>
      <c r="K4" s="3"/>
      <c r="L4" s="3"/>
      <c r="M4" s="3"/>
      <c r="N4" s="1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 t="s">
        <v>7</v>
      </c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3" t="s">
        <v>8</v>
      </c>
      <c r="B5" s="8">
        <v>10</v>
      </c>
      <c r="C5" s="3" t="s">
        <v>9</v>
      </c>
      <c r="D5" s="3"/>
      <c r="E5" s="3"/>
      <c r="F5" s="6"/>
      <c r="G5" s="3"/>
      <c r="H5" s="3"/>
      <c r="I5" s="3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A7" s="55" t="s">
        <v>11</v>
      </c>
      <c r="B7" s="56"/>
      <c r="C7" s="56"/>
      <c r="D7" s="56"/>
      <c r="E7" s="56"/>
      <c r="F7" s="56"/>
      <c r="G7" s="56"/>
      <c r="H7" s="57"/>
      <c r="I7" s="58" t="s">
        <v>12</v>
      </c>
      <c r="J7" s="56"/>
      <c r="K7" s="56"/>
      <c r="L7" s="11"/>
      <c r="M7" s="3"/>
      <c r="N7" s="13" t="s">
        <v>13</v>
      </c>
      <c r="O7" s="13" t="s">
        <v>14</v>
      </c>
      <c r="P7" s="13" t="s">
        <v>15</v>
      </c>
      <c r="Q7" s="13" t="s">
        <v>111</v>
      </c>
      <c r="R7" s="13" t="s">
        <v>112</v>
      </c>
      <c r="S7" s="13"/>
      <c r="T7" s="13" t="s">
        <v>21</v>
      </c>
      <c r="U7" s="14" t="s">
        <v>22</v>
      </c>
      <c r="V7" s="1"/>
      <c r="W7" s="3"/>
      <c r="X7" s="3"/>
      <c r="Y7" s="3"/>
      <c r="Z7" s="3" t="s">
        <v>23</v>
      </c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59" t="s">
        <v>24</v>
      </c>
      <c r="B8" s="60">
        <v>4043</v>
      </c>
      <c r="C8" s="61" t="s">
        <v>25</v>
      </c>
      <c r="D8" s="61"/>
      <c r="E8" s="61"/>
      <c r="F8" s="61"/>
      <c r="G8" s="61"/>
      <c r="H8" s="62"/>
      <c r="I8" s="17" t="s">
        <v>195</v>
      </c>
      <c r="J8" s="60">
        <v>412125161.2903226</v>
      </c>
      <c r="K8" s="61" t="s">
        <v>27</v>
      </c>
      <c r="L8" s="16"/>
      <c r="M8" s="3"/>
      <c r="N8" s="13">
        <v>0</v>
      </c>
      <c r="O8" s="18">
        <f>F31</f>
        <v>49234.838709677417</v>
      </c>
      <c r="P8" s="13"/>
      <c r="Q8" s="13"/>
      <c r="R8" s="13"/>
      <c r="S8" s="13"/>
      <c r="T8" s="13"/>
      <c r="U8" s="19">
        <f t="shared" ref="U8:U48" si="0">SUM(O8:T8)</f>
        <v>49234.838709677417</v>
      </c>
      <c r="V8" s="4"/>
      <c r="W8" s="8"/>
      <c r="X8" s="3"/>
      <c r="Y8" s="3"/>
      <c r="Z8" s="3" t="s">
        <v>177</v>
      </c>
      <c r="AA8" s="20">
        <f>F36</f>
        <v>1.0264654959188722</v>
      </c>
      <c r="AB8" s="3" t="s">
        <v>114</v>
      </c>
      <c r="AC8" s="3">
        <v>0.43870967741935485</v>
      </c>
      <c r="AD8" s="3"/>
      <c r="AE8" s="3"/>
      <c r="AF8" s="3"/>
      <c r="AG8" s="3"/>
      <c r="AH8" s="3"/>
    </row>
    <row r="9" spans="1:34" x14ac:dyDescent="0.25">
      <c r="A9" s="59"/>
      <c r="B9" s="61"/>
      <c r="C9" s="61"/>
      <c r="D9" s="61"/>
      <c r="E9" s="61"/>
      <c r="F9" s="64"/>
      <c r="G9" s="61"/>
      <c r="H9" s="62"/>
      <c r="I9" s="61"/>
      <c r="J9" s="61"/>
      <c r="K9" s="61"/>
      <c r="L9" s="16"/>
      <c r="M9" s="3"/>
      <c r="N9" s="13">
        <v>1</v>
      </c>
      <c r="O9" s="13"/>
      <c r="P9" s="21">
        <f t="shared" ref="P9:P48" si="1">IF(N9&gt;0,IF(N9&lt;=$J$15,(($F$32+$F$33)/$J$15)/((1+($F$11/100))^N9),0),0)</f>
        <v>32451.229247311829</v>
      </c>
      <c r="Q9" s="22">
        <f t="shared" ref="Q9:Q48" si="2">IF(N9&gt;0,($F$38*((1+($F$14/100))^(N9-1)))/((1+($F$11/100))^N9),0)</f>
        <v>23036.896693874183</v>
      </c>
      <c r="R9" s="22">
        <f t="shared" ref="R9:R48" si="3">IF(N9&gt;0,$J$31/((1+($F$11/100))^N9),0)</f>
        <v>9563.308445637962</v>
      </c>
      <c r="S9" s="22"/>
      <c r="T9" s="21">
        <f t="shared" ref="T9:T48" si="4">IF(N9=$B$5,((((1-$J$12/100)^N9)*$B$44)/((1+($F$11/100))^N9))*-1,0)</f>
        <v>0</v>
      </c>
      <c r="U9" s="19">
        <f t="shared" si="0"/>
        <v>65051.434386823967</v>
      </c>
      <c r="V9" s="4"/>
      <c r="W9" s="8"/>
      <c r="X9" s="3"/>
      <c r="Y9" s="3"/>
      <c r="Z9" s="3" t="s">
        <v>176</v>
      </c>
      <c r="AA9" s="24">
        <f>B47</f>
        <v>164116.12903225806</v>
      </c>
      <c r="AB9" s="3" t="s">
        <v>3</v>
      </c>
      <c r="AC9" s="3">
        <v>101935.48387096774</v>
      </c>
      <c r="AD9" s="8"/>
      <c r="AE9" s="3"/>
      <c r="AF9" s="3"/>
      <c r="AG9" s="3"/>
      <c r="AH9" s="3"/>
    </row>
    <row r="10" spans="1:34" x14ac:dyDescent="0.25">
      <c r="A10" s="65" t="s">
        <v>32</v>
      </c>
      <c r="B10" s="61"/>
      <c r="C10" s="61"/>
      <c r="D10" s="61"/>
      <c r="E10" s="66" t="s">
        <v>33</v>
      </c>
      <c r="F10" s="61"/>
      <c r="G10" s="61"/>
      <c r="H10" s="62"/>
      <c r="I10" s="63" t="s">
        <v>115</v>
      </c>
      <c r="J10" s="67">
        <v>0.49</v>
      </c>
      <c r="K10" s="61" t="s">
        <v>116</v>
      </c>
      <c r="L10" s="16"/>
      <c r="M10" s="3"/>
      <c r="N10" s="13">
        <f t="shared" ref="N10:N48" si="5">IF((N9+1)&gt;$B$5,,IF(N9=0,,N9+1))</f>
        <v>2</v>
      </c>
      <c r="O10" s="13"/>
      <c r="P10" s="21">
        <f t="shared" si="1"/>
        <v>30905.932616487455</v>
      </c>
      <c r="Q10" s="22">
        <f t="shared" si="2"/>
        <v>22159.300629345646</v>
      </c>
      <c r="R10" s="22">
        <f t="shared" si="3"/>
        <v>9107.9128053694876</v>
      </c>
      <c r="S10" s="22"/>
      <c r="T10" s="21">
        <f t="shared" si="4"/>
        <v>0</v>
      </c>
      <c r="U10" s="19">
        <f t="shared" si="0"/>
        <v>62173.146051202588</v>
      </c>
      <c r="V10" s="4"/>
      <c r="W10" s="8"/>
      <c r="X10" s="3"/>
      <c r="Y10" s="3"/>
      <c r="Z10" s="3" t="s">
        <v>40</v>
      </c>
      <c r="AA10" s="8">
        <f>F12</f>
        <v>48092</v>
      </c>
      <c r="AB10" s="3" t="s">
        <v>41</v>
      </c>
      <c r="AC10" s="3">
        <v>70353</v>
      </c>
      <c r="AD10" s="8"/>
      <c r="AE10" s="3"/>
      <c r="AF10" s="3"/>
      <c r="AG10" s="3"/>
      <c r="AH10" s="3"/>
    </row>
    <row r="11" spans="1:34" x14ac:dyDescent="0.25">
      <c r="A11" s="68" t="s">
        <v>167</v>
      </c>
      <c r="B11" s="61">
        <v>0</v>
      </c>
      <c r="C11" s="61" t="s">
        <v>36</v>
      </c>
      <c r="D11" s="61"/>
      <c r="E11" s="63" t="s">
        <v>37</v>
      </c>
      <c r="F11" s="61">
        <v>5</v>
      </c>
      <c r="G11" s="61" t="s">
        <v>36</v>
      </c>
      <c r="H11" s="62"/>
      <c r="I11" s="63" t="s">
        <v>50</v>
      </c>
      <c r="J11" s="61">
        <v>30</v>
      </c>
      <c r="K11" s="61" t="s">
        <v>51</v>
      </c>
      <c r="L11" s="16"/>
      <c r="M11" s="3"/>
      <c r="N11" s="13">
        <f t="shared" si="5"/>
        <v>3</v>
      </c>
      <c r="O11" s="13"/>
      <c r="P11" s="21">
        <f t="shared" si="1"/>
        <v>29434.221539511862</v>
      </c>
      <c r="Q11" s="22">
        <f t="shared" si="2"/>
        <v>21315.13679584676</v>
      </c>
      <c r="R11" s="22">
        <f t="shared" si="3"/>
        <v>8674.2026717804638</v>
      </c>
      <c r="S11" s="22"/>
      <c r="T11" s="21">
        <f t="shared" si="4"/>
        <v>0</v>
      </c>
      <c r="U11" s="19">
        <f t="shared" si="0"/>
        <v>59423.561007139084</v>
      </c>
      <c r="V11" s="4"/>
      <c r="W11" s="8"/>
      <c r="X11" s="3"/>
      <c r="Y11" s="3"/>
      <c r="Z11" s="17" t="s">
        <v>46</v>
      </c>
      <c r="AA11" s="8">
        <f>J35</f>
        <v>10003.135999999999</v>
      </c>
      <c r="AB11" s="3" t="s">
        <v>47</v>
      </c>
      <c r="AC11" s="3">
        <v>19063.393548387096</v>
      </c>
      <c r="AD11" s="8"/>
      <c r="AE11" s="3"/>
      <c r="AF11" s="3"/>
      <c r="AG11" s="3"/>
      <c r="AH11" s="3"/>
    </row>
    <row r="12" spans="1:34" x14ac:dyDescent="0.25">
      <c r="A12" s="68" t="s">
        <v>42</v>
      </c>
      <c r="B12" s="61">
        <v>0</v>
      </c>
      <c r="C12" s="61" t="s">
        <v>36</v>
      </c>
      <c r="D12" s="61"/>
      <c r="E12" s="63" t="s">
        <v>43</v>
      </c>
      <c r="F12" s="60">
        <v>48092</v>
      </c>
      <c r="G12" s="61" t="s">
        <v>41</v>
      </c>
      <c r="H12" s="62"/>
      <c r="I12" s="63" t="s">
        <v>58</v>
      </c>
      <c r="J12" s="61">
        <v>7.08</v>
      </c>
      <c r="K12" s="61" t="s">
        <v>59</v>
      </c>
      <c r="L12" s="16"/>
      <c r="M12" s="3"/>
      <c r="N12" s="13">
        <f t="shared" si="5"/>
        <v>4</v>
      </c>
      <c r="O12" s="13"/>
      <c r="P12" s="21">
        <f t="shared" si="1"/>
        <v>28032.59194239225</v>
      </c>
      <c r="Q12" s="22">
        <f t="shared" si="2"/>
        <v>20503.131584576407</v>
      </c>
      <c r="R12" s="22">
        <f t="shared" si="3"/>
        <v>8261.1454016956795</v>
      </c>
      <c r="S12" s="22"/>
      <c r="T12" s="21">
        <f t="shared" si="4"/>
        <v>0</v>
      </c>
      <c r="U12" s="19">
        <f t="shared" si="0"/>
        <v>56796.868928664335</v>
      </c>
      <c r="V12" s="4"/>
      <c r="W12" s="8"/>
      <c r="X12" s="3"/>
      <c r="Y12" s="3"/>
      <c r="Z12" s="61" t="s">
        <v>194</v>
      </c>
      <c r="AA12" s="67">
        <f>J10</f>
        <v>0.49</v>
      </c>
      <c r="AB12" s="61" t="s">
        <v>116</v>
      </c>
      <c r="AC12" s="3"/>
      <c r="AD12" s="8"/>
      <c r="AE12" s="3"/>
      <c r="AF12" s="3"/>
      <c r="AG12" s="3"/>
      <c r="AH12" s="3"/>
    </row>
    <row r="13" spans="1:34" x14ac:dyDescent="0.25">
      <c r="A13" s="68" t="s">
        <v>48</v>
      </c>
      <c r="B13" s="61">
        <v>10</v>
      </c>
      <c r="C13" s="61" t="s">
        <v>36</v>
      </c>
      <c r="D13" s="61"/>
      <c r="E13" s="63" t="s">
        <v>113</v>
      </c>
      <c r="F13" s="60">
        <v>4150</v>
      </c>
      <c r="G13" s="61" t="s">
        <v>117</v>
      </c>
      <c r="H13" s="62"/>
      <c r="I13" s="63"/>
      <c r="J13" s="60"/>
      <c r="K13" s="61"/>
      <c r="L13" s="16"/>
      <c r="M13" s="3"/>
      <c r="N13" s="13">
        <f t="shared" si="5"/>
        <v>5</v>
      </c>
      <c r="O13" s="13"/>
      <c r="P13" s="21">
        <f t="shared" si="1"/>
        <v>26697.706611802143</v>
      </c>
      <c r="Q13" s="22">
        <f t="shared" si="2"/>
        <v>19722.059905163973</v>
      </c>
      <c r="R13" s="22">
        <f t="shared" si="3"/>
        <v>7867.7575254244566</v>
      </c>
      <c r="S13" s="22"/>
      <c r="T13" s="21">
        <f t="shared" si="4"/>
        <v>0</v>
      </c>
      <c r="U13" s="19">
        <f t="shared" si="0"/>
        <v>54287.524042390578</v>
      </c>
      <c r="V13" s="4"/>
      <c r="W13" s="8"/>
      <c r="X13" s="3"/>
      <c r="Y13" s="3"/>
      <c r="Z13" s="61"/>
      <c r="AA13" s="67"/>
      <c r="AB13" s="61"/>
      <c r="AC13" s="3"/>
      <c r="AD13" s="8"/>
      <c r="AE13" s="3"/>
      <c r="AF13" s="3"/>
      <c r="AG13" s="3"/>
      <c r="AH13" s="3"/>
    </row>
    <row r="14" spans="1:34" x14ac:dyDescent="0.25">
      <c r="A14" s="68"/>
      <c r="B14" s="61"/>
      <c r="C14" s="61"/>
      <c r="D14" s="61"/>
      <c r="E14" s="63" t="s">
        <v>118</v>
      </c>
      <c r="F14" s="61">
        <v>1</v>
      </c>
      <c r="G14" s="61" t="s">
        <v>53</v>
      </c>
      <c r="H14" s="62"/>
      <c r="I14" s="66" t="s">
        <v>66</v>
      </c>
      <c r="J14" s="61"/>
      <c r="K14" s="61"/>
      <c r="L14" s="16"/>
      <c r="M14" s="3"/>
      <c r="N14" s="13">
        <f t="shared" si="5"/>
        <v>6</v>
      </c>
      <c r="O14" s="13"/>
      <c r="P14" s="21">
        <f t="shared" si="1"/>
        <v>0</v>
      </c>
      <c r="Q14" s="22">
        <f t="shared" si="2"/>
        <v>18970.743337348202</v>
      </c>
      <c r="R14" s="22">
        <f t="shared" si="3"/>
        <v>7493.1024051661498</v>
      </c>
      <c r="S14" s="22"/>
      <c r="T14" s="21">
        <f t="shared" si="4"/>
        <v>0</v>
      </c>
      <c r="U14" s="19">
        <f t="shared" si="0"/>
        <v>26463.84574251435</v>
      </c>
      <c r="V14" s="4"/>
      <c r="W14" s="8"/>
      <c r="X14" s="3"/>
      <c r="Y14" s="3"/>
      <c r="Z14" s="3"/>
      <c r="AA14" s="3"/>
      <c r="AB14" s="3"/>
      <c r="AC14" s="3"/>
      <c r="AD14" s="8"/>
      <c r="AE14" s="3"/>
      <c r="AF14" s="3"/>
      <c r="AG14" s="3"/>
      <c r="AH14" s="3"/>
    </row>
    <row r="15" spans="1:34" x14ac:dyDescent="0.25">
      <c r="A15" s="63" t="s">
        <v>55</v>
      </c>
      <c r="B15" s="61">
        <v>30</v>
      </c>
      <c r="C15" s="61" t="s">
        <v>36</v>
      </c>
      <c r="D15" s="61"/>
      <c r="E15" s="63" t="s">
        <v>119</v>
      </c>
      <c r="F15" s="61">
        <v>0</v>
      </c>
      <c r="G15" s="61" t="s">
        <v>57</v>
      </c>
      <c r="H15" s="62"/>
      <c r="I15" s="63" t="s">
        <v>72</v>
      </c>
      <c r="J15" s="61">
        <v>5</v>
      </c>
      <c r="K15" s="61" t="s">
        <v>51</v>
      </c>
      <c r="L15" s="16"/>
      <c r="M15" s="3"/>
      <c r="N15" s="13">
        <f t="shared" si="5"/>
        <v>7</v>
      </c>
      <c r="O15" s="13"/>
      <c r="P15" s="21">
        <f t="shared" si="1"/>
        <v>0</v>
      </c>
      <c r="Q15" s="22">
        <f t="shared" si="2"/>
        <v>18248.048353068272</v>
      </c>
      <c r="R15" s="22">
        <f t="shared" si="3"/>
        <v>7136.2880049201412</v>
      </c>
      <c r="S15" s="22"/>
      <c r="T15" s="21">
        <f t="shared" si="4"/>
        <v>0</v>
      </c>
      <c r="U15" s="19">
        <f t="shared" si="0"/>
        <v>25384.336357988414</v>
      </c>
      <c r="V15" s="4"/>
      <c r="W15" s="8"/>
      <c r="X15" s="3"/>
      <c r="Y15" s="3"/>
      <c r="Z15" s="3"/>
      <c r="AA15" s="3"/>
      <c r="AB15" s="3"/>
      <c r="AC15" s="3"/>
      <c r="AD15" s="8"/>
      <c r="AE15" s="3"/>
      <c r="AF15" s="3"/>
      <c r="AG15" s="3"/>
      <c r="AH15" s="3"/>
    </row>
    <row r="16" spans="1:34" x14ac:dyDescent="0.25">
      <c r="A16" s="68" t="s">
        <v>131</v>
      </c>
      <c r="B16" s="61">
        <v>15</v>
      </c>
      <c r="C16" s="61" t="s">
        <v>36</v>
      </c>
      <c r="D16" s="61"/>
      <c r="E16" s="63" t="s">
        <v>175</v>
      </c>
      <c r="F16" s="60">
        <v>155000</v>
      </c>
      <c r="G16" s="61" t="s">
        <v>57</v>
      </c>
      <c r="H16" s="62"/>
      <c r="I16" s="63" t="s">
        <v>75</v>
      </c>
      <c r="J16" s="61">
        <v>30</v>
      </c>
      <c r="K16" s="61" t="s">
        <v>76</v>
      </c>
      <c r="L16" s="16"/>
      <c r="M16" s="3"/>
      <c r="N16" s="13">
        <f t="shared" si="5"/>
        <v>8</v>
      </c>
      <c r="O16" s="13"/>
      <c r="P16" s="21">
        <f t="shared" si="1"/>
        <v>0</v>
      </c>
      <c r="Q16" s="22">
        <f t="shared" si="2"/>
        <v>17552.884606284715</v>
      </c>
      <c r="R16" s="22">
        <f t="shared" si="3"/>
        <v>6796.4647665906114</v>
      </c>
      <c r="S16" s="22"/>
      <c r="T16" s="21">
        <f t="shared" si="4"/>
        <v>0</v>
      </c>
      <c r="U16" s="19">
        <f t="shared" si="0"/>
        <v>24349.349372875327</v>
      </c>
      <c r="V16" s="4"/>
      <c r="W16" s="8"/>
      <c r="X16" s="3"/>
      <c r="Y16" s="3"/>
      <c r="Z16" s="3"/>
      <c r="AA16" s="3"/>
      <c r="AB16" s="3"/>
      <c r="AC16" s="3"/>
      <c r="AD16" s="8"/>
      <c r="AE16" s="3"/>
      <c r="AF16" s="3"/>
      <c r="AG16" s="3"/>
      <c r="AH16" s="3"/>
    </row>
    <row r="17" spans="1:41" x14ac:dyDescent="0.25">
      <c r="A17" s="68"/>
      <c r="B17" s="61"/>
      <c r="C17" s="61"/>
      <c r="D17" s="61"/>
      <c r="E17" s="63" t="s">
        <v>46</v>
      </c>
      <c r="F17" s="69">
        <v>840.94399999999996</v>
      </c>
      <c r="G17" s="61" t="s">
        <v>142</v>
      </c>
      <c r="H17" s="62"/>
      <c r="I17" s="61"/>
      <c r="J17" s="61"/>
      <c r="K17" s="61"/>
      <c r="L17" s="16"/>
      <c r="M17" s="3"/>
      <c r="N17" s="13">
        <f t="shared" si="5"/>
        <v>9</v>
      </c>
      <c r="O17" s="13"/>
      <c r="P17" s="21">
        <f t="shared" si="1"/>
        <v>0</v>
      </c>
      <c r="Q17" s="22">
        <f t="shared" si="2"/>
        <v>16884.203287950066</v>
      </c>
      <c r="R17" s="22">
        <f t="shared" si="3"/>
        <v>6472.8235872291534</v>
      </c>
      <c r="S17" s="22"/>
      <c r="T17" s="21">
        <f t="shared" si="4"/>
        <v>0</v>
      </c>
      <c r="U17" s="19">
        <f t="shared" si="0"/>
        <v>23357.026875179217</v>
      </c>
      <c r="V17" s="4"/>
      <c r="W17" s="8"/>
      <c r="X17" s="3"/>
      <c r="Y17" s="3"/>
      <c r="Z17" s="3"/>
      <c r="AA17" s="3"/>
      <c r="AB17" s="3"/>
      <c r="AC17" s="3"/>
      <c r="AD17" s="8"/>
      <c r="AE17" s="3"/>
      <c r="AF17" s="3"/>
      <c r="AG17" s="3"/>
      <c r="AH17" s="3"/>
    </row>
    <row r="18" spans="1:41" x14ac:dyDescent="0.25">
      <c r="A18" s="68"/>
      <c r="B18" s="60"/>
      <c r="C18" s="61"/>
      <c r="D18" s="61"/>
      <c r="E18" s="63" t="s">
        <v>71</v>
      </c>
      <c r="F18" s="61">
        <v>9.66</v>
      </c>
      <c r="G18" s="61" t="s">
        <v>59</v>
      </c>
      <c r="H18" s="62"/>
      <c r="I18" s="63"/>
      <c r="J18" s="61"/>
      <c r="K18" s="61"/>
      <c r="L18" s="16"/>
      <c r="M18" s="3"/>
      <c r="N18" s="13">
        <f t="shared" si="5"/>
        <v>10</v>
      </c>
      <c r="O18" s="13"/>
      <c r="P18" s="21">
        <f t="shared" si="1"/>
        <v>0</v>
      </c>
      <c r="Q18" s="22">
        <f t="shared" si="2"/>
        <v>16240.995543647205</v>
      </c>
      <c r="R18" s="22">
        <f t="shared" si="3"/>
        <v>6164.5938925991941</v>
      </c>
      <c r="S18" s="22"/>
      <c r="T18" s="21">
        <f t="shared" si="4"/>
        <v>-34532.041146440723</v>
      </c>
      <c r="U18" s="19">
        <f t="shared" si="0"/>
        <v>-12126.451710194324</v>
      </c>
      <c r="V18" s="4"/>
      <c r="W18" s="8"/>
      <c r="X18" s="3"/>
      <c r="Y18" s="3"/>
      <c r="Z18" s="3"/>
      <c r="AA18" s="3"/>
      <c r="AB18" s="3"/>
      <c r="AC18" s="3"/>
      <c r="AD18" s="8"/>
      <c r="AE18" s="3"/>
      <c r="AF18" s="3"/>
      <c r="AG18" s="3"/>
      <c r="AH18" s="3"/>
    </row>
    <row r="19" spans="1:41" x14ac:dyDescent="0.25">
      <c r="A19" s="68"/>
      <c r="B19" s="61"/>
      <c r="C19" s="61"/>
      <c r="D19" s="61"/>
      <c r="E19" s="61" t="s">
        <v>120</v>
      </c>
      <c r="F19" s="69"/>
      <c r="G19" s="61" t="s">
        <v>57</v>
      </c>
      <c r="H19" s="62"/>
      <c r="I19" s="61"/>
      <c r="J19" s="61"/>
      <c r="K19" s="61"/>
      <c r="L19" s="16"/>
      <c r="M19" s="3"/>
      <c r="N19" s="13">
        <f t="shared" si="5"/>
        <v>0</v>
      </c>
      <c r="O19" s="13"/>
      <c r="P19" s="21">
        <f t="shared" si="1"/>
        <v>0</v>
      </c>
      <c r="Q19" s="22">
        <f t="shared" si="2"/>
        <v>0</v>
      </c>
      <c r="R19" s="22">
        <f t="shared" si="3"/>
        <v>0</v>
      </c>
      <c r="S19" s="22"/>
      <c r="T19" s="21">
        <f t="shared" si="4"/>
        <v>0</v>
      </c>
      <c r="U19" s="19">
        <f t="shared" si="0"/>
        <v>0</v>
      </c>
      <c r="V19" s="4"/>
      <c r="W19" s="8"/>
      <c r="X19" s="3"/>
      <c r="Y19" s="3"/>
      <c r="Z19" s="3"/>
      <c r="AA19" s="3"/>
      <c r="AB19" s="3"/>
      <c r="AC19" s="3"/>
      <c r="AD19" s="8"/>
      <c r="AE19" s="3"/>
      <c r="AF19" s="3"/>
      <c r="AG19" s="3"/>
      <c r="AH19" s="3"/>
    </row>
    <row r="20" spans="1:41" x14ac:dyDescent="0.25">
      <c r="A20" s="68"/>
      <c r="B20" s="61"/>
      <c r="C20" s="61"/>
      <c r="D20" s="61"/>
      <c r="E20" s="87"/>
      <c r="F20" s="87"/>
      <c r="G20" s="87"/>
      <c r="H20" s="62"/>
      <c r="I20" s="61"/>
      <c r="J20" s="61"/>
      <c r="K20" s="61"/>
      <c r="L20" s="16"/>
      <c r="M20" s="3"/>
      <c r="N20" s="13">
        <f t="shared" si="5"/>
        <v>0</v>
      </c>
      <c r="O20" s="13"/>
      <c r="P20" s="21">
        <f t="shared" si="1"/>
        <v>0</v>
      </c>
      <c r="Q20" s="22">
        <f t="shared" si="2"/>
        <v>0</v>
      </c>
      <c r="R20" s="22">
        <f t="shared" si="3"/>
        <v>0</v>
      </c>
      <c r="S20" s="22"/>
      <c r="T20" s="21">
        <f t="shared" si="4"/>
        <v>0</v>
      </c>
      <c r="U20" s="19">
        <f t="shared" si="0"/>
        <v>0</v>
      </c>
      <c r="V20" s="4"/>
      <c r="W20" s="8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41" ht="15.75" customHeight="1" x14ac:dyDescent="0.25">
      <c r="A21" s="68"/>
      <c r="B21" s="61"/>
      <c r="C21" s="61"/>
      <c r="D21" s="61"/>
      <c r="E21" s="87"/>
      <c r="F21" s="87"/>
      <c r="G21" s="87"/>
      <c r="H21" s="62"/>
      <c r="I21" s="61"/>
      <c r="J21" s="61"/>
      <c r="K21" s="61"/>
      <c r="L21" s="16"/>
      <c r="M21" s="3"/>
      <c r="N21" s="13">
        <f t="shared" si="5"/>
        <v>0</v>
      </c>
      <c r="O21" s="13"/>
      <c r="P21" s="21">
        <f t="shared" si="1"/>
        <v>0</v>
      </c>
      <c r="Q21" s="22">
        <f t="shared" si="2"/>
        <v>0</v>
      </c>
      <c r="R21" s="22">
        <f t="shared" si="3"/>
        <v>0</v>
      </c>
      <c r="S21" s="22"/>
      <c r="T21" s="21">
        <f t="shared" si="4"/>
        <v>0</v>
      </c>
      <c r="U21" s="19">
        <f t="shared" si="0"/>
        <v>0</v>
      </c>
      <c r="V21" s="4"/>
      <c r="W21" s="8"/>
      <c r="X21" s="3"/>
      <c r="Y21" s="3"/>
      <c r="Z21" s="28" t="s">
        <v>113</v>
      </c>
      <c r="AA21" s="29"/>
      <c r="AB21" s="29"/>
      <c r="AC21" s="29"/>
      <c r="AD21" s="3"/>
      <c r="AE21" s="28" t="s">
        <v>26</v>
      </c>
      <c r="AF21" s="29"/>
      <c r="AG21" s="29"/>
      <c r="AH21" s="29"/>
      <c r="AJ21" s="116" t="s">
        <v>182</v>
      </c>
      <c r="AK21" s="116" t="s">
        <v>184</v>
      </c>
      <c r="AL21" s="116" t="s">
        <v>192</v>
      </c>
      <c r="AM21" s="116" t="s">
        <v>187</v>
      </c>
      <c r="AN21" s="116" t="s">
        <v>186</v>
      </c>
      <c r="AO21" s="123" t="str">
        <f>Z51</f>
        <v>Energy Efficiency</v>
      </c>
    </row>
    <row r="22" spans="1:41" ht="15.75" customHeight="1" x14ac:dyDescent="0.25">
      <c r="A22" s="68"/>
      <c r="B22" s="61"/>
      <c r="C22" s="61"/>
      <c r="D22" s="61"/>
      <c r="E22" s="87"/>
      <c r="F22" s="87"/>
      <c r="G22" s="87"/>
      <c r="H22" s="62"/>
      <c r="I22" s="61"/>
      <c r="J22" s="61"/>
      <c r="K22" s="61"/>
      <c r="L22" s="16"/>
      <c r="M22" s="3"/>
      <c r="N22" s="13">
        <f t="shared" si="5"/>
        <v>0</v>
      </c>
      <c r="O22" s="13"/>
      <c r="P22" s="21">
        <f t="shared" si="1"/>
        <v>0</v>
      </c>
      <c r="Q22" s="22">
        <f t="shared" si="2"/>
        <v>0</v>
      </c>
      <c r="R22" s="22">
        <f t="shared" si="3"/>
        <v>0</v>
      </c>
      <c r="S22" s="22"/>
      <c r="T22" s="21">
        <f t="shared" si="4"/>
        <v>0</v>
      </c>
      <c r="U22" s="19">
        <f t="shared" si="0"/>
        <v>0</v>
      </c>
      <c r="V22" s="4"/>
      <c r="W22" s="8"/>
      <c r="X22" s="3"/>
      <c r="Y22" s="3"/>
      <c r="Z22" s="29" t="s">
        <v>67</v>
      </c>
      <c r="AA22" s="29" t="s">
        <v>121</v>
      </c>
      <c r="AB22" s="29" t="s">
        <v>22</v>
      </c>
      <c r="AC22" s="29" t="s">
        <v>69</v>
      </c>
      <c r="AD22" s="3"/>
      <c r="AE22" s="29" t="s">
        <v>67</v>
      </c>
      <c r="AF22" s="29" t="s">
        <v>70</v>
      </c>
      <c r="AG22" s="29" t="s">
        <v>22</v>
      </c>
      <c r="AH22" s="29" t="s">
        <v>69</v>
      </c>
      <c r="AJ22" s="117">
        <v>-50</v>
      </c>
      <c r="AK22" s="118">
        <f>AH24</f>
        <v>-22.647164833984863</v>
      </c>
      <c r="AL22" s="118">
        <f>AC24</f>
        <v>-22.402788450138768</v>
      </c>
      <c r="AM22" s="119">
        <f t="shared" ref="AM22:AM32" si="6">AC39</f>
        <v>-8.8906961801840012</v>
      </c>
      <c r="AN22" s="119">
        <f t="shared" ref="AN22:AN32" si="7">AH39</f>
        <v>-31.293484630322745</v>
      </c>
      <c r="AO22" s="124">
        <f>AC54</f>
        <v>22.402788450138768</v>
      </c>
    </row>
    <row r="23" spans="1:41" ht="15.75" customHeight="1" x14ac:dyDescent="0.25">
      <c r="A23" s="61"/>
      <c r="B23" s="61"/>
      <c r="C23" s="61"/>
      <c r="D23" s="61"/>
      <c r="E23" s="61"/>
      <c r="F23" s="61"/>
      <c r="G23" s="61"/>
      <c r="H23" s="62"/>
      <c r="I23" s="61"/>
      <c r="J23" s="61"/>
      <c r="K23" s="61"/>
      <c r="L23" s="16"/>
      <c r="M23" s="3"/>
      <c r="N23" s="13">
        <f t="shared" si="5"/>
        <v>0</v>
      </c>
      <c r="O23" s="13"/>
      <c r="P23" s="21">
        <f t="shared" si="1"/>
        <v>0</v>
      </c>
      <c r="Q23" s="22">
        <f t="shared" si="2"/>
        <v>0</v>
      </c>
      <c r="R23" s="22">
        <f t="shared" si="3"/>
        <v>0</v>
      </c>
      <c r="S23" s="22"/>
      <c r="T23" s="21">
        <f t="shared" si="4"/>
        <v>0</v>
      </c>
      <c r="U23" s="19">
        <f t="shared" si="0"/>
        <v>0</v>
      </c>
      <c r="V23" s="4"/>
      <c r="W23" s="8"/>
      <c r="X23" s="3"/>
      <c r="Y23" s="3"/>
      <c r="Z23" s="29" t="s">
        <v>74</v>
      </c>
      <c r="AA23" s="30">
        <v>1.0264654959188722</v>
      </c>
      <c r="AB23" s="31">
        <f>U49</f>
        <v>434395.47976426099</v>
      </c>
      <c r="AC23" s="29"/>
      <c r="AD23" s="3"/>
      <c r="AE23" s="29" t="s">
        <v>74</v>
      </c>
      <c r="AF23" s="32">
        <v>164116.12903225806</v>
      </c>
      <c r="AG23" s="31">
        <f>U49</f>
        <v>434395.47976426099</v>
      </c>
      <c r="AH23" s="29"/>
      <c r="AJ23" s="117">
        <v>-40</v>
      </c>
      <c r="AK23" s="118">
        <f>AH25</f>
        <v>-18.117731867187889</v>
      </c>
      <c r="AL23" s="118">
        <f t="shared" ref="AL23:AL32" si="8">AC25</f>
        <v>-17.922230760111031</v>
      </c>
      <c r="AM23" s="119">
        <f t="shared" si="6"/>
        <v>-7.1125569441471743</v>
      </c>
      <c r="AN23" s="119">
        <f t="shared" si="7"/>
        <v>-25.034787704258193</v>
      </c>
      <c r="AO23" s="124">
        <f t="shared" ref="AO23:AO32" si="9">AC55</f>
        <v>17.922230760111006</v>
      </c>
    </row>
    <row r="24" spans="1:41" ht="15.75" customHeight="1" x14ac:dyDescent="0.25">
      <c r="A24" s="59"/>
      <c r="B24" s="61"/>
      <c r="C24" s="61"/>
      <c r="D24" s="61"/>
      <c r="E24" s="61"/>
      <c r="F24" s="61"/>
      <c r="G24" s="61"/>
      <c r="H24" s="62"/>
      <c r="I24" s="61"/>
      <c r="J24" s="61"/>
      <c r="K24" s="61"/>
      <c r="L24" s="16"/>
      <c r="M24" s="3"/>
      <c r="N24" s="13">
        <f t="shared" si="5"/>
        <v>0</v>
      </c>
      <c r="O24" s="13"/>
      <c r="P24" s="21">
        <f t="shared" si="1"/>
        <v>0</v>
      </c>
      <c r="Q24" s="22">
        <f t="shared" si="2"/>
        <v>0</v>
      </c>
      <c r="R24" s="22">
        <f t="shared" si="3"/>
        <v>0</v>
      </c>
      <c r="S24" s="22"/>
      <c r="T24" s="21">
        <f t="shared" si="4"/>
        <v>0</v>
      </c>
      <c r="U24" s="19">
        <f t="shared" si="0"/>
        <v>0</v>
      </c>
      <c r="V24" s="4"/>
      <c r="W24" s="8"/>
      <c r="X24" s="3"/>
      <c r="Y24" s="3"/>
      <c r="Z24" s="29">
        <f t="shared" ref="Z24:Z28" si="10">Z25-10</f>
        <v>-50</v>
      </c>
      <c r="AA24" s="30">
        <f t="shared" ref="AA24:AA34" si="11">$AA$23*(1+(Z24/100))</f>
        <v>0.51323274795943608</v>
      </c>
      <c r="AB24" s="31">
        <f t="dataTable" ref="AB24:AB34" dt2D="0" dtr="0" r1="F36" ca="1"/>
        <v>337078.77939570823</v>
      </c>
      <c r="AC24" s="34">
        <f t="shared" ref="AC24:AC34" si="12">100*((AB24-$AB$29)/$AB$29)</f>
        <v>-22.402788450138768</v>
      </c>
      <c r="AD24" s="3"/>
      <c r="AE24" s="29">
        <f t="shared" ref="AE24:AE28" si="13">AE25-10</f>
        <v>-50</v>
      </c>
      <c r="AF24" s="32">
        <f t="shared" ref="AF24:AF34" si="14">$AF$23*(1+(AE24/100))</f>
        <v>82058.06451612903</v>
      </c>
      <c r="AG24" s="31">
        <f t="dataTable" ref="AG24:AG34" dt2D="0" dtr="0" r1="B47" ca="1"/>
        <v>336017.21943066944</v>
      </c>
      <c r="AH24" s="34">
        <f t="shared" ref="AH24:AH34" si="15">100*((AG24-$AG$29)/$AG$29)</f>
        <v>-22.647164833984863</v>
      </c>
      <c r="AJ24" s="117">
        <v>-30</v>
      </c>
      <c r="AK24" s="118">
        <f t="shared" ref="AK24:AK32" si="16">AH26</f>
        <v>-13.588298900390928</v>
      </c>
      <c r="AL24" s="118">
        <f t="shared" si="8"/>
        <v>-13.441673070083269</v>
      </c>
      <c r="AM24" s="119">
        <f t="shared" si="6"/>
        <v>-5.3344177081104016</v>
      </c>
      <c r="AN24" s="119">
        <f t="shared" si="7"/>
        <v>-18.776090778193641</v>
      </c>
      <c r="AO24" s="124">
        <f t="shared" si="9"/>
        <v>13.441673070083226</v>
      </c>
    </row>
    <row r="25" spans="1:41" ht="15.75" customHeight="1" x14ac:dyDescent="0.25">
      <c r="A25" s="59"/>
      <c r="B25" s="61"/>
      <c r="C25" s="61"/>
      <c r="D25" s="61"/>
      <c r="E25" s="61"/>
      <c r="F25" s="61"/>
      <c r="G25" s="61"/>
      <c r="H25" s="62"/>
      <c r="I25" s="61"/>
      <c r="J25" s="61"/>
      <c r="K25" s="61"/>
      <c r="L25" s="16"/>
      <c r="M25" s="3"/>
      <c r="N25" s="13">
        <f t="shared" si="5"/>
        <v>0</v>
      </c>
      <c r="O25" s="13"/>
      <c r="P25" s="21">
        <f t="shared" si="1"/>
        <v>0</v>
      </c>
      <c r="Q25" s="22">
        <f t="shared" si="2"/>
        <v>0</v>
      </c>
      <c r="R25" s="22">
        <f t="shared" si="3"/>
        <v>0</v>
      </c>
      <c r="S25" s="22"/>
      <c r="T25" s="21">
        <f t="shared" si="4"/>
        <v>0</v>
      </c>
      <c r="U25" s="19">
        <f t="shared" si="0"/>
        <v>0</v>
      </c>
      <c r="V25" s="4"/>
      <c r="W25" s="8"/>
      <c r="X25" s="3"/>
      <c r="Y25" s="3"/>
      <c r="Z25" s="29">
        <f t="shared" si="10"/>
        <v>-40</v>
      </c>
      <c r="AA25" s="30">
        <f t="shared" si="11"/>
        <v>0.61587929755132331</v>
      </c>
      <c r="AB25" s="31">
        <v>356542.11946941871</v>
      </c>
      <c r="AC25" s="34">
        <f t="shared" si="12"/>
        <v>-17.922230760111031</v>
      </c>
      <c r="AD25" s="3"/>
      <c r="AE25" s="29">
        <f t="shared" si="13"/>
        <v>-40</v>
      </c>
      <c r="AF25" s="32">
        <f t="shared" si="14"/>
        <v>98469.677419354834</v>
      </c>
      <c r="AG25" s="31">
        <v>355692.87149738776</v>
      </c>
      <c r="AH25" s="34">
        <f t="shared" si="15"/>
        <v>-18.117731867187889</v>
      </c>
      <c r="AJ25" s="117">
        <v>-20</v>
      </c>
      <c r="AK25" s="118">
        <f t="shared" si="16"/>
        <v>-9.0588659335939496</v>
      </c>
      <c r="AL25" s="118">
        <f t="shared" si="8"/>
        <v>-8.961115380055503</v>
      </c>
      <c r="AM25" s="119">
        <f t="shared" si="6"/>
        <v>-3.5562784720735734</v>
      </c>
      <c r="AN25" s="119">
        <f t="shared" si="7"/>
        <v>-12.517393852129091</v>
      </c>
      <c r="AO25" s="124">
        <f t="shared" si="9"/>
        <v>8.961115380055503</v>
      </c>
    </row>
    <row r="26" spans="1:41" ht="15.75" customHeight="1" x14ac:dyDescent="0.25">
      <c r="A26" s="36"/>
      <c r="B26" s="37"/>
      <c r="C26" s="37"/>
      <c r="D26" s="37"/>
      <c r="E26" s="37"/>
      <c r="F26" s="37"/>
      <c r="G26" s="37"/>
      <c r="H26" s="38"/>
      <c r="I26" s="37"/>
      <c r="J26" s="37"/>
      <c r="K26" s="37"/>
      <c r="L26" s="38"/>
      <c r="M26" s="3"/>
      <c r="N26" s="13">
        <f t="shared" si="5"/>
        <v>0</v>
      </c>
      <c r="O26" s="13"/>
      <c r="P26" s="21">
        <f t="shared" si="1"/>
        <v>0</v>
      </c>
      <c r="Q26" s="22">
        <f t="shared" si="2"/>
        <v>0</v>
      </c>
      <c r="R26" s="22">
        <f t="shared" si="3"/>
        <v>0</v>
      </c>
      <c r="S26" s="22"/>
      <c r="T26" s="21">
        <f t="shared" si="4"/>
        <v>0</v>
      </c>
      <c r="U26" s="19">
        <f t="shared" si="0"/>
        <v>0</v>
      </c>
      <c r="V26" s="4"/>
      <c r="W26" s="8"/>
      <c r="X26" s="3"/>
      <c r="Y26" s="3"/>
      <c r="Z26" s="29">
        <f t="shared" si="10"/>
        <v>-30</v>
      </c>
      <c r="AA26" s="30">
        <f t="shared" si="11"/>
        <v>0.71852584714321044</v>
      </c>
      <c r="AB26" s="31">
        <v>376005.45954312931</v>
      </c>
      <c r="AC26" s="34">
        <f t="shared" si="12"/>
        <v>-13.441673070083269</v>
      </c>
      <c r="AD26" s="3"/>
      <c r="AE26" s="29">
        <f t="shared" si="13"/>
        <v>-30</v>
      </c>
      <c r="AF26" s="32">
        <f t="shared" si="14"/>
        <v>114881.29032258064</v>
      </c>
      <c r="AG26" s="31">
        <v>375368.52356410603</v>
      </c>
      <c r="AH26" s="34">
        <f t="shared" si="15"/>
        <v>-13.588298900390928</v>
      </c>
      <c r="AJ26" s="117">
        <v>-10</v>
      </c>
      <c r="AK26" s="118">
        <f t="shared" si="16"/>
        <v>-4.5294329667969748</v>
      </c>
      <c r="AL26" s="118">
        <f t="shared" si="8"/>
        <v>-4.4805576900277515</v>
      </c>
      <c r="AM26" s="119">
        <f t="shared" si="6"/>
        <v>-1.7781392360368138</v>
      </c>
      <c r="AN26" s="119">
        <f t="shared" si="7"/>
        <v>-6.2586969260645793</v>
      </c>
      <c r="AO26" s="124">
        <f t="shared" si="9"/>
        <v>4.4805576900277648</v>
      </c>
    </row>
    <row r="27" spans="1:4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8"/>
      <c r="K27" s="3"/>
      <c r="L27" s="3"/>
      <c r="M27" s="3"/>
      <c r="N27" s="13">
        <f t="shared" si="5"/>
        <v>0</v>
      </c>
      <c r="O27" s="13"/>
      <c r="P27" s="21">
        <f t="shared" si="1"/>
        <v>0</v>
      </c>
      <c r="Q27" s="22">
        <f t="shared" si="2"/>
        <v>0</v>
      </c>
      <c r="R27" s="22">
        <f t="shared" si="3"/>
        <v>0</v>
      </c>
      <c r="S27" s="22"/>
      <c r="T27" s="21">
        <f t="shared" si="4"/>
        <v>0</v>
      </c>
      <c r="U27" s="19">
        <f t="shared" si="0"/>
        <v>0</v>
      </c>
      <c r="V27" s="4"/>
      <c r="W27" s="8"/>
      <c r="X27" s="3"/>
      <c r="Y27" s="3"/>
      <c r="Z27" s="29">
        <f t="shared" si="10"/>
        <v>-20</v>
      </c>
      <c r="AA27" s="30">
        <f t="shared" si="11"/>
        <v>0.82117239673509779</v>
      </c>
      <c r="AB27" s="31">
        <v>395468.79961683991</v>
      </c>
      <c r="AC27" s="34">
        <f t="shared" si="12"/>
        <v>-8.961115380055503</v>
      </c>
      <c r="AD27" s="3"/>
      <c r="AE27" s="29">
        <f t="shared" si="13"/>
        <v>-20</v>
      </c>
      <c r="AF27" s="32">
        <f t="shared" si="14"/>
        <v>131292.90322580645</v>
      </c>
      <c r="AG27" s="31">
        <v>395044.17563082435</v>
      </c>
      <c r="AH27" s="34">
        <f t="shared" si="15"/>
        <v>-9.0588659335939496</v>
      </c>
      <c r="AJ27" s="117">
        <v>0</v>
      </c>
      <c r="AK27" s="118">
        <f t="shared" si="16"/>
        <v>0</v>
      </c>
      <c r="AL27" s="118">
        <f t="shared" si="8"/>
        <v>0</v>
      </c>
      <c r="AM27" s="119">
        <f t="shared" si="6"/>
        <v>0</v>
      </c>
      <c r="AN27" s="119">
        <f t="shared" si="7"/>
        <v>0</v>
      </c>
      <c r="AO27" s="124">
        <f t="shared" si="9"/>
        <v>0</v>
      </c>
    </row>
    <row r="28" spans="1:41" ht="15.75" customHeight="1" x14ac:dyDescent="0.25">
      <c r="A28" s="1" t="s">
        <v>77</v>
      </c>
      <c r="B28" s="3"/>
      <c r="C28" s="3"/>
      <c r="D28" s="3"/>
      <c r="E28" s="3"/>
      <c r="F28" s="3"/>
      <c r="G28" s="3"/>
      <c r="H28" s="3"/>
      <c r="I28" s="3"/>
      <c r="J28" s="8"/>
      <c r="K28" s="3"/>
      <c r="L28" s="3"/>
      <c r="M28" s="3"/>
      <c r="N28" s="13">
        <f t="shared" si="5"/>
        <v>0</v>
      </c>
      <c r="O28" s="13"/>
      <c r="P28" s="21">
        <f t="shared" si="1"/>
        <v>0</v>
      </c>
      <c r="Q28" s="22">
        <f t="shared" si="2"/>
        <v>0</v>
      </c>
      <c r="R28" s="22">
        <f t="shared" si="3"/>
        <v>0</v>
      </c>
      <c r="S28" s="22"/>
      <c r="T28" s="21">
        <f t="shared" si="4"/>
        <v>0</v>
      </c>
      <c r="U28" s="19">
        <f t="shared" si="0"/>
        <v>0</v>
      </c>
      <c r="V28" s="4"/>
      <c r="W28" s="8"/>
      <c r="X28" s="3"/>
      <c r="Y28" s="3"/>
      <c r="Z28" s="29">
        <f t="shared" si="10"/>
        <v>-10</v>
      </c>
      <c r="AA28" s="30">
        <f t="shared" si="11"/>
        <v>0.92381894632698491</v>
      </c>
      <c r="AB28" s="31">
        <v>414932.13969055045</v>
      </c>
      <c r="AC28" s="34">
        <f t="shared" si="12"/>
        <v>-4.4805576900277515</v>
      </c>
      <c r="AD28" s="3"/>
      <c r="AE28" s="29">
        <f t="shared" si="13"/>
        <v>-10</v>
      </c>
      <c r="AF28" s="32">
        <f t="shared" si="14"/>
        <v>147704.51612903227</v>
      </c>
      <c r="AG28" s="31">
        <v>414719.82769754267</v>
      </c>
      <c r="AH28" s="34">
        <f t="shared" si="15"/>
        <v>-4.5294329667969748</v>
      </c>
      <c r="AJ28" s="117">
        <v>10</v>
      </c>
      <c r="AK28" s="118">
        <f t="shared" si="16"/>
        <v>4.5294329667969615</v>
      </c>
      <c r="AL28" s="118">
        <f t="shared" si="8"/>
        <v>4.4805576900277648</v>
      </c>
      <c r="AM28" s="119">
        <f t="shared" si="6"/>
        <v>1.7781392360368002</v>
      </c>
      <c r="AN28" s="119">
        <f t="shared" si="7"/>
        <v>6.2586969260645651</v>
      </c>
      <c r="AO28" s="124">
        <f t="shared" si="9"/>
        <v>-4.4805576900277515</v>
      </c>
    </row>
    <row r="29" spans="1:4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8"/>
      <c r="K29" s="3"/>
      <c r="L29" s="3"/>
      <c r="M29" s="3"/>
      <c r="N29" s="13">
        <f t="shared" si="5"/>
        <v>0</v>
      </c>
      <c r="O29" s="13"/>
      <c r="P29" s="21">
        <f t="shared" si="1"/>
        <v>0</v>
      </c>
      <c r="Q29" s="22">
        <f t="shared" si="2"/>
        <v>0</v>
      </c>
      <c r="R29" s="22">
        <f t="shared" si="3"/>
        <v>0</v>
      </c>
      <c r="S29" s="22"/>
      <c r="T29" s="21">
        <f t="shared" si="4"/>
        <v>0</v>
      </c>
      <c r="U29" s="19">
        <f t="shared" si="0"/>
        <v>0</v>
      </c>
      <c r="V29" s="4"/>
      <c r="W29" s="8"/>
      <c r="X29" s="3"/>
      <c r="Y29" s="3"/>
      <c r="Z29" s="39">
        <v>0</v>
      </c>
      <c r="AA29" s="51">
        <f t="shared" si="11"/>
        <v>1.0264654959188722</v>
      </c>
      <c r="AB29" s="40">
        <v>434395.47976426099</v>
      </c>
      <c r="AC29" s="52">
        <f t="shared" si="12"/>
        <v>0</v>
      </c>
      <c r="AD29" s="3"/>
      <c r="AE29" s="39">
        <v>0</v>
      </c>
      <c r="AF29" s="45">
        <f t="shared" si="14"/>
        <v>164116.12903225806</v>
      </c>
      <c r="AG29" s="40">
        <v>434395.47976426099</v>
      </c>
      <c r="AH29" s="52">
        <f t="shared" si="15"/>
        <v>0</v>
      </c>
      <c r="AJ29" s="117">
        <v>20</v>
      </c>
      <c r="AK29" s="118">
        <f t="shared" si="16"/>
        <v>9.0588659335939372</v>
      </c>
      <c r="AL29" s="118">
        <f t="shared" si="8"/>
        <v>8.961115380055503</v>
      </c>
      <c r="AM29" s="119">
        <f t="shared" si="6"/>
        <v>3.5562784720735872</v>
      </c>
      <c r="AN29" s="119">
        <f t="shared" si="7"/>
        <v>12.517393852129102</v>
      </c>
      <c r="AO29" s="124">
        <f t="shared" si="9"/>
        <v>-8.961115380055503</v>
      </c>
    </row>
    <row r="30" spans="1:41" ht="15.75" customHeight="1" x14ac:dyDescent="0.25">
      <c r="A30" s="9" t="s">
        <v>78</v>
      </c>
      <c r="B30" s="10"/>
      <c r="C30" s="10"/>
      <c r="D30" s="10"/>
      <c r="E30" s="12" t="s">
        <v>79</v>
      </c>
      <c r="F30" s="10"/>
      <c r="G30" s="10"/>
      <c r="H30" s="10"/>
      <c r="I30" s="12"/>
      <c r="J30" s="41"/>
      <c r="K30" s="10"/>
      <c r="L30" s="11"/>
      <c r="M30" s="3"/>
      <c r="N30" s="13">
        <f t="shared" si="5"/>
        <v>0</v>
      </c>
      <c r="O30" s="13"/>
      <c r="P30" s="21">
        <f t="shared" si="1"/>
        <v>0</v>
      </c>
      <c r="Q30" s="22">
        <f t="shared" si="2"/>
        <v>0</v>
      </c>
      <c r="R30" s="22">
        <f t="shared" si="3"/>
        <v>0</v>
      </c>
      <c r="S30" s="22"/>
      <c r="T30" s="21">
        <f t="shared" si="4"/>
        <v>0</v>
      </c>
      <c r="U30" s="19">
        <f t="shared" si="0"/>
        <v>0</v>
      </c>
      <c r="V30" s="4"/>
      <c r="W30" s="8"/>
      <c r="X30" s="3"/>
      <c r="Y30" s="3"/>
      <c r="Z30" s="29">
        <f t="shared" ref="Z30:Z34" si="17">Z29+10</f>
        <v>10</v>
      </c>
      <c r="AA30" s="30">
        <f t="shared" si="11"/>
        <v>1.1291120455107595</v>
      </c>
      <c r="AB30" s="31">
        <v>453858.81983797159</v>
      </c>
      <c r="AC30" s="34">
        <f t="shared" si="12"/>
        <v>4.4805576900277648</v>
      </c>
      <c r="AD30" s="3"/>
      <c r="AE30" s="29">
        <f t="shared" ref="AE30:AE34" si="18">AE29+10</f>
        <v>10</v>
      </c>
      <c r="AF30" s="32">
        <f t="shared" si="14"/>
        <v>180527.74193548388</v>
      </c>
      <c r="AG30" s="31">
        <v>454071.13183097926</v>
      </c>
      <c r="AH30" s="34">
        <f t="shared" si="15"/>
        <v>4.5294329667969615</v>
      </c>
      <c r="AJ30" s="117">
        <v>30</v>
      </c>
      <c r="AK30" s="118">
        <f t="shared" si="16"/>
        <v>13.588298900390914</v>
      </c>
      <c r="AL30" s="118">
        <f t="shared" si="8"/>
        <v>13.441673070083226</v>
      </c>
      <c r="AM30" s="119">
        <f t="shared" si="6"/>
        <v>5.3344177081103741</v>
      </c>
      <c r="AN30" s="119">
        <f t="shared" si="7"/>
        <v>18.776090778193641</v>
      </c>
      <c r="AO30" s="124">
        <f t="shared" si="9"/>
        <v>-13.441673070083269</v>
      </c>
    </row>
    <row r="31" spans="1:41" ht="15.75" customHeight="1" x14ac:dyDescent="0.25">
      <c r="A31" s="25" t="s">
        <v>167</v>
      </c>
      <c r="B31" s="8">
        <f t="shared" ref="B31:B32" si="19">IF(B11=0,0,-(B11/100)*$B$45)</f>
        <v>0</v>
      </c>
      <c r="C31" s="3" t="s">
        <v>3</v>
      </c>
      <c r="D31" s="3"/>
      <c r="E31" s="17" t="s">
        <v>81</v>
      </c>
      <c r="F31" s="24">
        <f>(J16/100)*B47</f>
        <v>49234.838709677417</v>
      </c>
      <c r="G31" s="3" t="s">
        <v>3</v>
      </c>
      <c r="H31" s="3"/>
      <c r="I31" s="1" t="s">
        <v>179</v>
      </c>
      <c r="J31" s="43">
        <f>SUM(J32:J35)</f>
        <v>10041.47386791986</v>
      </c>
      <c r="K31" s="1" t="s">
        <v>47</v>
      </c>
      <c r="L31" s="16"/>
      <c r="M31" s="3"/>
      <c r="N31" s="13">
        <f t="shared" si="5"/>
        <v>0</v>
      </c>
      <c r="O31" s="13"/>
      <c r="P31" s="21">
        <f t="shared" si="1"/>
        <v>0</v>
      </c>
      <c r="Q31" s="22">
        <f t="shared" si="2"/>
        <v>0</v>
      </c>
      <c r="R31" s="22">
        <f t="shared" si="3"/>
        <v>0</v>
      </c>
      <c r="S31" s="22"/>
      <c r="T31" s="21">
        <f t="shared" si="4"/>
        <v>0</v>
      </c>
      <c r="U31" s="19">
        <f t="shared" si="0"/>
        <v>0</v>
      </c>
      <c r="V31" s="4"/>
      <c r="W31" s="8"/>
      <c r="X31" s="3"/>
      <c r="Y31" s="3"/>
      <c r="Z31" s="29">
        <f t="shared" si="17"/>
        <v>20</v>
      </c>
      <c r="AA31" s="30">
        <f t="shared" si="11"/>
        <v>1.2317585951026466</v>
      </c>
      <c r="AB31" s="31">
        <v>473322.15991168207</v>
      </c>
      <c r="AC31" s="34">
        <f t="shared" si="12"/>
        <v>8.961115380055503</v>
      </c>
      <c r="AD31" s="3"/>
      <c r="AE31" s="29">
        <f t="shared" si="18"/>
        <v>20</v>
      </c>
      <c r="AF31" s="32">
        <f t="shared" si="14"/>
        <v>196939.35483870967</v>
      </c>
      <c r="AG31" s="31">
        <v>473746.78389769758</v>
      </c>
      <c r="AH31" s="34">
        <f t="shared" si="15"/>
        <v>9.0588659335939372</v>
      </c>
      <c r="AJ31" s="117">
        <v>40</v>
      </c>
      <c r="AK31" s="118">
        <f t="shared" si="16"/>
        <v>18.11773186718786</v>
      </c>
      <c r="AL31" s="118">
        <f t="shared" si="8"/>
        <v>17.922230760111006</v>
      </c>
      <c r="AM31" s="119">
        <f t="shared" si="6"/>
        <v>7.1125569441471743</v>
      </c>
      <c r="AN31" s="119">
        <f t="shared" si="7"/>
        <v>25.034787704258193</v>
      </c>
      <c r="AO31" s="124">
        <f t="shared" si="9"/>
        <v>-17.922230760111031</v>
      </c>
    </row>
    <row r="32" spans="1:41" ht="15.75" customHeight="1" x14ac:dyDescent="0.25">
      <c r="A32" s="25" t="s">
        <v>42</v>
      </c>
      <c r="B32" s="8">
        <f t="shared" si="19"/>
        <v>0</v>
      </c>
      <c r="C32" s="3" t="s">
        <v>3</v>
      </c>
      <c r="D32" s="3"/>
      <c r="E32" s="17" t="s">
        <v>83</v>
      </c>
      <c r="F32" s="8">
        <f>B47-F31</f>
        <v>114881.29032258064</v>
      </c>
      <c r="G32" s="3" t="s">
        <v>3</v>
      </c>
      <c r="H32" s="3"/>
      <c r="I32" s="17" t="s">
        <v>175</v>
      </c>
      <c r="J32" s="27">
        <f>F16/$B$8</f>
        <v>38.337867919861488</v>
      </c>
      <c r="K32" s="3" t="s">
        <v>47</v>
      </c>
      <c r="L32" s="16"/>
      <c r="M32" s="3"/>
      <c r="N32" s="13">
        <f t="shared" si="5"/>
        <v>0</v>
      </c>
      <c r="O32" s="13"/>
      <c r="P32" s="21">
        <f t="shared" si="1"/>
        <v>0</v>
      </c>
      <c r="Q32" s="22">
        <f t="shared" si="2"/>
        <v>0</v>
      </c>
      <c r="R32" s="22">
        <f t="shared" si="3"/>
        <v>0</v>
      </c>
      <c r="S32" s="22"/>
      <c r="T32" s="21">
        <f t="shared" si="4"/>
        <v>0</v>
      </c>
      <c r="U32" s="19">
        <f t="shared" si="0"/>
        <v>0</v>
      </c>
      <c r="V32" s="4"/>
      <c r="W32" s="8"/>
      <c r="X32" s="3"/>
      <c r="Y32" s="3"/>
      <c r="Z32" s="29">
        <f t="shared" si="17"/>
        <v>30</v>
      </c>
      <c r="AA32" s="30">
        <f t="shared" si="11"/>
        <v>1.3344051446945338</v>
      </c>
      <c r="AB32" s="31">
        <v>492785.4999853925</v>
      </c>
      <c r="AC32" s="34">
        <f t="shared" si="12"/>
        <v>13.441673070083226</v>
      </c>
      <c r="AD32" s="3"/>
      <c r="AE32" s="29">
        <f t="shared" si="18"/>
        <v>30</v>
      </c>
      <c r="AF32" s="32">
        <f t="shared" si="14"/>
        <v>213350.96774193548</v>
      </c>
      <c r="AG32" s="31">
        <v>493422.4359644159</v>
      </c>
      <c r="AH32" s="34">
        <f t="shared" si="15"/>
        <v>13.588298900390914</v>
      </c>
      <c r="AJ32" s="117">
        <v>50</v>
      </c>
      <c r="AK32" s="118">
        <f t="shared" si="16"/>
        <v>22.647164833984839</v>
      </c>
      <c r="AL32" s="118">
        <f t="shared" si="8"/>
        <v>22.402788450138768</v>
      </c>
      <c r="AM32" s="119">
        <f t="shared" si="6"/>
        <v>8.8906961801839746</v>
      </c>
      <c r="AN32" s="119">
        <f t="shared" si="7"/>
        <v>31.293484630322759</v>
      </c>
      <c r="AO32" s="124">
        <f t="shared" si="9"/>
        <v>-22.402788450138768</v>
      </c>
    </row>
    <row r="33" spans="1:34" ht="15.75" customHeight="1" x14ac:dyDescent="0.25">
      <c r="A33" s="25" t="s">
        <v>48</v>
      </c>
      <c r="B33" s="8">
        <f>IF(B13=0,0,(B13/100)*$B$44)</f>
        <v>11722.58064516129</v>
      </c>
      <c r="C33" s="3" t="s">
        <v>3</v>
      </c>
      <c r="D33" s="3"/>
      <c r="E33" s="17" t="s">
        <v>84</v>
      </c>
      <c r="F33" s="24">
        <f>F32*(F18/100)*J15</f>
        <v>55487.663225806456</v>
      </c>
      <c r="G33" s="3" t="s">
        <v>3</v>
      </c>
      <c r="H33" s="3"/>
      <c r="I33" s="17" t="s">
        <v>119</v>
      </c>
      <c r="J33" s="27">
        <f>F15/$B$8</f>
        <v>0</v>
      </c>
      <c r="K33" s="3" t="s">
        <v>47</v>
      </c>
      <c r="L33" s="16"/>
      <c r="M33" s="3"/>
      <c r="N33" s="13">
        <f t="shared" si="5"/>
        <v>0</v>
      </c>
      <c r="O33" s="13"/>
      <c r="P33" s="21">
        <f t="shared" si="1"/>
        <v>0</v>
      </c>
      <c r="Q33" s="22">
        <f t="shared" si="2"/>
        <v>0</v>
      </c>
      <c r="R33" s="22">
        <f t="shared" si="3"/>
        <v>0</v>
      </c>
      <c r="S33" s="22"/>
      <c r="T33" s="21">
        <f t="shared" si="4"/>
        <v>0</v>
      </c>
      <c r="U33" s="19">
        <f t="shared" si="0"/>
        <v>0</v>
      </c>
      <c r="V33" s="4"/>
      <c r="W33" s="8"/>
      <c r="X33" s="3"/>
      <c r="Y33" s="3"/>
      <c r="Z33" s="29">
        <f t="shared" si="17"/>
        <v>40</v>
      </c>
      <c r="AA33" s="30">
        <f t="shared" si="11"/>
        <v>1.4370516942864209</v>
      </c>
      <c r="AB33" s="31">
        <v>512248.84005910315</v>
      </c>
      <c r="AC33" s="34">
        <f t="shared" si="12"/>
        <v>17.922230760111006</v>
      </c>
      <c r="AD33" s="3"/>
      <c r="AE33" s="29">
        <f t="shared" si="18"/>
        <v>40</v>
      </c>
      <c r="AF33" s="32">
        <f t="shared" si="14"/>
        <v>229762.58064516127</v>
      </c>
      <c r="AG33" s="31">
        <v>513098.0880311341</v>
      </c>
      <c r="AH33" s="34">
        <f t="shared" si="15"/>
        <v>18.11773186718786</v>
      </c>
    </row>
    <row r="34" spans="1:34" ht="15.75" customHeight="1" x14ac:dyDescent="0.25">
      <c r="A34" s="25"/>
      <c r="B34" s="8"/>
      <c r="C34" s="3"/>
      <c r="D34" s="3"/>
      <c r="E34" s="3"/>
      <c r="F34" s="33"/>
      <c r="G34" s="3"/>
      <c r="H34" s="3"/>
      <c r="I34" s="87"/>
      <c r="J34" s="87"/>
      <c r="K34" s="87"/>
      <c r="L34" s="16"/>
      <c r="M34" s="3"/>
      <c r="N34" s="13">
        <f t="shared" si="5"/>
        <v>0</v>
      </c>
      <c r="O34" s="13"/>
      <c r="P34" s="21">
        <f t="shared" si="1"/>
        <v>0</v>
      </c>
      <c r="Q34" s="22">
        <f t="shared" si="2"/>
        <v>0</v>
      </c>
      <c r="R34" s="22">
        <f t="shared" si="3"/>
        <v>0</v>
      </c>
      <c r="S34" s="22"/>
      <c r="T34" s="21">
        <f t="shared" si="4"/>
        <v>0</v>
      </c>
      <c r="U34" s="19">
        <f t="shared" si="0"/>
        <v>0</v>
      </c>
      <c r="V34" s="4"/>
      <c r="W34" s="8"/>
      <c r="X34" s="3"/>
      <c r="Y34" s="3"/>
      <c r="Z34" s="29">
        <f t="shared" si="17"/>
        <v>50</v>
      </c>
      <c r="AA34" s="30">
        <f t="shared" si="11"/>
        <v>1.5396982438783082</v>
      </c>
      <c r="AB34" s="31">
        <v>531712.18013281375</v>
      </c>
      <c r="AC34" s="34">
        <f t="shared" si="12"/>
        <v>22.402788450138768</v>
      </c>
      <c r="AD34" s="3"/>
      <c r="AE34" s="29">
        <f t="shared" si="18"/>
        <v>50</v>
      </c>
      <c r="AF34" s="32">
        <f t="shared" si="14"/>
        <v>246174.19354838709</v>
      </c>
      <c r="AG34" s="31">
        <v>532773.74009785242</v>
      </c>
      <c r="AH34" s="34">
        <f t="shared" si="15"/>
        <v>22.647164833984839</v>
      </c>
    </row>
    <row r="35" spans="1:34" ht="15.75" customHeight="1" x14ac:dyDescent="0.25">
      <c r="A35" s="53" t="s">
        <v>55</v>
      </c>
      <c r="B35" s="7">
        <f>IF(B15=0,0,(B15/100)*$B$44)</f>
        <v>35167.741935483864</v>
      </c>
      <c r="C35" s="3" t="s">
        <v>3</v>
      </c>
      <c r="D35" s="3"/>
      <c r="E35" s="1" t="s">
        <v>87</v>
      </c>
      <c r="F35" s="3"/>
      <c r="G35" s="3"/>
      <c r="H35" s="3"/>
      <c r="I35" s="17" t="s">
        <v>46</v>
      </c>
      <c r="J35" s="6">
        <f>F17*F12/$B$8</f>
        <v>10003.135999999999</v>
      </c>
      <c r="K35" s="3" t="s">
        <v>47</v>
      </c>
      <c r="L35" s="16"/>
      <c r="M35" s="3"/>
      <c r="N35" s="13">
        <f t="shared" si="5"/>
        <v>0</v>
      </c>
      <c r="O35" s="13"/>
      <c r="P35" s="21">
        <f t="shared" si="1"/>
        <v>0</v>
      </c>
      <c r="Q35" s="22">
        <f t="shared" si="2"/>
        <v>0</v>
      </c>
      <c r="R35" s="22">
        <f t="shared" si="3"/>
        <v>0</v>
      </c>
      <c r="S35" s="22"/>
      <c r="T35" s="21">
        <f t="shared" si="4"/>
        <v>0</v>
      </c>
      <c r="U35" s="19">
        <f t="shared" si="0"/>
        <v>0</v>
      </c>
      <c r="V35" s="4"/>
      <c r="W35" s="8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.75" customHeight="1" x14ac:dyDescent="0.25">
      <c r="A36" s="25"/>
      <c r="B36" s="8"/>
      <c r="C36" s="3"/>
      <c r="D36" s="3"/>
      <c r="E36" s="17" t="s">
        <v>171</v>
      </c>
      <c r="F36" s="20">
        <f>F13/$B$8</f>
        <v>1.0264654959188722</v>
      </c>
      <c r="G36" s="3" t="s">
        <v>114</v>
      </c>
      <c r="H36" s="3"/>
      <c r="I36" s="87"/>
      <c r="J36" s="87"/>
      <c r="K36" s="87"/>
      <c r="L36" s="16"/>
      <c r="M36" s="3"/>
      <c r="N36" s="13">
        <f t="shared" si="5"/>
        <v>0</v>
      </c>
      <c r="O36" s="13"/>
      <c r="P36" s="21">
        <f t="shared" si="1"/>
        <v>0</v>
      </c>
      <c r="Q36" s="22">
        <f t="shared" si="2"/>
        <v>0</v>
      </c>
      <c r="R36" s="22">
        <f t="shared" si="3"/>
        <v>0</v>
      </c>
      <c r="S36" s="22"/>
      <c r="T36" s="21">
        <f t="shared" si="4"/>
        <v>0</v>
      </c>
      <c r="U36" s="19">
        <f t="shared" si="0"/>
        <v>0</v>
      </c>
      <c r="V36" s="4"/>
      <c r="W36" s="8"/>
      <c r="X36" s="3"/>
      <c r="Y36" s="3"/>
      <c r="Z36" s="28" t="s">
        <v>46</v>
      </c>
      <c r="AA36" s="29"/>
      <c r="AB36" s="29"/>
      <c r="AC36" s="29"/>
      <c r="AD36" s="3"/>
      <c r="AE36" s="28" t="s">
        <v>88</v>
      </c>
      <c r="AF36" s="29"/>
      <c r="AG36" s="29"/>
      <c r="AH36" s="29"/>
    </row>
    <row r="37" spans="1:34" ht="15.75" customHeight="1" x14ac:dyDescent="0.25">
      <c r="A37" s="25"/>
      <c r="B37" s="8"/>
      <c r="C37" s="3"/>
      <c r="D37" s="3"/>
      <c r="E37" s="17" t="s">
        <v>172</v>
      </c>
      <c r="F37" s="42">
        <f>F36*J10</f>
        <v>0.50296809300024736</v>
      </c>
      <c r="G37" s="3" t="s">
        <v>4</v>
      </c>
      <c r="H37" s="3"/>
      <c r="I37" s="3"/>
      <c r="J37" s="3"/>
      <c r="K37" s="3"/>
      <c r="L37" s="16"/>
      <c r="M37" s="3"/>
      <c r="N37" s="13">
        <f t="shared" si="5"/>
        <v>0</v>
      </c>
      <c r="O37" s="13"/>
      <c r="P37" s="21">
        <f t="shared" si="1"/>
        <v>0</v>
      </c>
      <c r="Q37" s="22">
        <f t="shared" si="2"/>
        <v>0</v>
      </c>
      <c r="R37" s="22">
        <f t="shared" si="3"/>
        <v>0</v>
      </c>
      <c r="S37" s="22"/>
      <c r="T37" s="21">
        <f t="shared" si="4"/>
        <v>0</v>
      </c>
      <c r="U37" s="19">
        <f t="shared" si="0"/>
        <v>0</v>
      </c>
      <c r="V37" s="4"/>
      <c r="W37" s="8"/>
      <c r="X37" s="3"/>
      <c r="Y37" s="3"/>
      <c r="Z37" s="29" t="s">
        <v>67</v>
      </c>
      <c r="AA37" s="29" t="s">
        <v>105</v>
      </c>
      <c r="AB37" s="29" t="s">
        <v>22</v>
      </c>
      <c r="AC37" s="29" t="s">
        <v>69</v>
      </c>
      <c r="AD37" s="3"/>
      <c r="AE37" s="29" t="s">
        <v>67</v>
      </c>
      <c r="AF37" s="29" t="s">
        <v>92</v>
      </c>
      <c r="AG37" s="29" t="s">
        <v>22</v>
      </c>
      <c r="AH37" s="29" t="s">
        <v>69</v>
      </c>
    </row>
    <row r="38" spans="1:34" ht="15.75" customHeight="1" x14ac:dyDescent="0.25">
      <c r="A38" s="25"/>
      <c r="B38" s="8"/>
      <c r="C38" s="3"/>
      <c r="D38" s="3"/>
      <c r="E38" s="17" t="s">
        <v>122</v>
      </c>
      <c r="F38" s="33">
        <f>F37*F12</f>
        <v>24188.741528567894</v>
      </c>
      <c r="G38" s="54" t="s">
        <v>47</v>
      </c>
      <c r="H38" s="3"/>
      <c r="I38" s="3"/>
      <c r="J38" s="3"/>
      <c r="K38" s="3"/>
      <c r="L38" s="16"/>
      <c r="M38" s="3"/>
      <c r="N38" s="13">
        <f t="shared" si="5"/>
        <v>0</v>
      </c>
      <c r="O38" s="13"/>
      <c r="P38" s="21">
        <f t="shared" si="1"/>
        <v>0</v>
      </c>
      <c r="Q38" s="22">
        <f t="shared" si="2"/>
        <v>0</v>
      </c>
      <c r="R38" s="22">
        <f t="shared" si="3"/>
        <v>0</v>
      </c>
      <c r="S38" s="22"/>
      <c r="T38" s="21">
        <f t="shared" si="4"/>
        <v>0</v>
      </c>
      <c r="U38" s="19">
        <f t="shared" si="0"/>
        <v>0</v>
      </c>
      <c r="V38" s="4"/>
      <c r="W38" s="8"/>
      <c r="X38" s="3"/>
      <c r="Y38" s="3"/>
      <c r="Z38" s="29" t="s">
        <v>74</v>
      </c>
      <c r="AA38" s="30">
        <v>10003.135999999999</v>
      </c>
      <c r="AB38" s="31">
        <f>U49</f>
        <v>434395.47976426099</v>
      </c>
      <c r="AC38" s="29"/>
      <c r="AD38" s="3"/>
      <c r="AE38" s="29" t="s">
        <v>74</v>
      </c>
      <c r="AF38" s="32">
        <v>48092</v>
      </c>
      <c r="AG38" s="31">
        <f>U49</f>
        <v>434395.47976426099</v>
      </c>
      <c r="AH38" s="29"/>
    </row>
    <row r="39" spans="1:34" ht="15.75" customHeight="1" x14ac:dyDescent="0.25">
      <c r="A39" s="25"/>
      <c r="B39" s="8"/>
      <c r="C39" s="3"/>
      <c r="D39" s="3"/>
      <c r="E39" s="3"/>
      <c r="F39" s="3"/>
      <c r="G39" s="3"/>
      <c r="H39" s="3"/>
      <c r="I39" s="3"/>
      <c r="J39" s="3"/>
      <c r="K39" s="3"/>
      <c r="L39" s="16"/>
      <c r="M39" s="3"/>
      <c r="N39" s="13">
        <f t="shared" si="5"/>
        <v>0</v>
      </c>
      <c r="O39" s="13"/>
      <c r="P39" s="21">
        <f t="shared" si="1"/>
        <v>0</v>
      </c>
      <c r="Q39" s="22">
        <f t="shared" si="2"/>
        <v>0</v>
      </c>
      <c r="R39" s="22">
        <f t="shared" si="3"/>
        <v>0</v>
      </c>
      <c r="S39" s="22"/>
      <c r="T39" s="21">
        <f t="shared" si="4"/>
        <v>0</v>
      </c>
      <c r="U39" s="19">
        <f t="shared" si="0"/>
        <v>0</v>
      </c>
      <c r="V39" s="4"/>
      <c r="W39" s="8"/>
      <c r="X39" s="3"/>
      <c r="Y39" s="3"/>
      <c r="Z39" s="29">
        <f t="shared" ref="Z39:Z43" si="20">Z40-10</f>
        <v>-50</v>
      </c>
      <c r="AA39" s="30">
        <f t="shared" ref="AA39:AA49" si="21">$AA$38*(1+(Z39/100))</f>
        <v>5001.5679999999993</v>
      </c>
      <c r="AB39" s="31">
        <f t="dataTable" ref="AB39:AB49" dt2D="0" dtr="0" r1="J35" ca="1"/>
        <v>395774.69743796787</v>
      </c>
      <c r="AC39" s="34">
        <f t="shared" ref="AC39:AC49" si="22">100*((AB39-$AB$44)/$AB$44)</f>
        <v>-8.8906961801840012</v>
      </c>
      <c r="AD39" s="3"/>
      <c r="AE39" s="29">
        <f t="shared" ref="AE39:AE43" si="23">AE40-10</f>
        <v>-50</v>
      </c>
      <c r="AF39" s="32">
        <f t="shared" ref="AF39:AF49" si="24">$AF$38*(1+(AE39/100))</f>
        <v>24046</v>
      </c>
      <c r="AG39" s="31">
        <f t="dataTable" ref="AG39:AG49" dt2D="0" dtr="0" r1="F12" ca="1"/>
        <v>298457.99706941523</v>
      </c>
      <c r="AH39" s="34">
        <f t="shared" ref="AH39:AH49" si="25">100*((AG39-$AG$44)/$AG$44)</f>
        <v>-31.293484630322745</v>
      </c>
    </row>
    <row r="40" spans="1:34" ht="15.75" customHeight="1" x14ac:dyDescent="0.25">
      <c r="A40" s="25"/>
      <c r="B40" s="8"/>
      <c r="C40" s="3"/>
      <c r="D40" s="3"/>
      <c r="E40" s="3"/>
      <c r="F40" s="3"/>
      <c r="G40" s="3"/>
      <c r="H40" s="3"/>
      <c r="I40" s="3"/>
      <c r="J40" s="3"/>
      <c r="K40" s="3"/>
      <c r="L40" s="16"/>
      <c r="M40" s="3"/>
      <c r="N40" s="13">
        <f t="shared" si="5"/>
        <v>0</v>
      </c>
      <c r="O40" s="13"/>
      <c r="P40" s="21">
        <f t="shared" si="1"/>
        <v>0</v>
      </c>
      <c r="Q40" s="22">
        <f t="shared" si="2"/>
        <v>0</v>
      </c>
      <c r="R40" s="22">
        <f t="shared" si="3"/>
        <v>0</v>
      </c>
      <c r="S40" s="22"/>
      <c r="T40" s="21">
        <f t="shared" si="4"/>
        <v>0</v>
      </c>
      <c r="U40" s="19">
        <f t="shared" si="0"/>
        <v>0</v>
      </c>
      <c r="V40" s="4"/>
      <c r="W40" s="8"/>
      <c r="X40" s="3"/>
      <c r="Y40" s="3"/>
      <c r="Z40" s="29">
        <f t="shared" si="20"/>
        <v>-40</v>
      </c>
      <c r="AA40" s="30">
        <f t="shared" si="21"/>
        <v>6001.8815999999988</v>
      </c>
      <c r="AB40" s="31">
        <v>403498.85390322661</v>
      </c>
      <c r="AC40" s="34">
        <f t="shared" si="22"/>
        <v>-7.1125569441471743</v>
      </c>
      <c r="AD40" s="3"/>
      <c r="AE40" s="29">
        <f t="shared" si="23"/>
        <v>-40</v>
      </c>
      <c r="AF40" s="32">
        <f t="shared" si="24"/>
        <v>28855.200000000001</v>
      </c>
      <c r="AG40" s="31">
        <v>325645.49360838439</v>
      </c>
      <c r="AH40" s="34">
        <f t="shared" si="25"/>
        <v>-25.034787704258193</v>
      </c>
    </row>
    <row r="41" spans="1:34" ht="15.75" customHeight="1" x14ac:dyDescent="0.25">
      <c r="A41" s="3"/>
      <c r="B41" s="3"/>
      <c r="C41" s="3"/>
      <c r="D41" s="3"/>
      <c r="E41" s="17" t="s">
        <v>85</v>
      </c>
      <c r="F41" s="8">
        <f>F12*B5</f>
        <v>480920</v>
      </c>
      <c r="G41" s="3" t="s">
        <v>86</v>
      </c>
      <c r="H41" s="3"/>
      <c r="I41" s="3"/>
      <c r="J41" s="3"/>
      <c r="K41" s="3"/>
      <c r="L41" s="16"/>
      <c r="M41" s="3"/>
      <c r="N41" s="13">
        <f t="shared" si="5"/>
        <v>0</v>
      </c>
      <c r="O41" s="13"/>
      <c r="P41" s="21">
        <f t="shared" si="1"/>
        <v>0</v>
      </c>
      <c r="Q41" s="22">
        <f t="shared" si="2"/>
        <v>0</v>
      </c>
      <c r="R41" s="22">
        <f t="shared" si="3"/>
        <v>0</v>
      </c>
      <c r="S41" s="22"/>
      <c r="T41" s="21">
        <f t="shared" si="4"/>
        <v>0</v>
      </c>
      <c r="U41" s="19">
        <f t="shared" si="0"/>
        <v>0</v>
      </c>
      <c r="V41" s="4"/>
      <c r="W41" s="8"/>
      <c r="X41" s="3"/>
      <c r="Y41" s="3"/>
      <c r="Z41" s="29">
        <f t="shared" si="20"/>
        <v>-30</v>
      </c>
      <c r="AA41" s="30">
        <f t="shared" si="21"/>
        <v>7002.1951999999983</v>
      </c>
      <c r="AB41" s="31">
        <v>411223.01036848512</v>
      </c>
      <c r="AC41" s="34">
        <f t="shared" si="22"/>
        <v>-5.3344177081104016</v>
      </c>
      <c r="AD41" s="3"/>
      <c r="AE41" s="29">
        <f t="shared" si="23"/>
        <v>-30</v>
      </c>
      <c r="AF41" s="32">
        <f t="shared" si="24"/>
        <v>33664.400000000001</v>
      </c>
      <c r="AG41" s="31">
        <v>352832.99014735356</v>
      </c>
      <c r="AH41" s="34">
        <f t="shared" si="25"/>
        <v>-18.776090778193641</v>
      </c>
    </row>
    <row r="42" spans="1:34" ht="15.75" customHeight="1" x14ac:dyDescent="0.25">
      <c r="A42" s="23" t="s">
        <v>96</v>
      </c>
      <c r="B42" s="4"/>
      <c r="C42" s="1"/>
      <c r="D42" s="3"/>
      <c r="E42" s="17"/>
      <c r="F42" s="27"/>
      <c r="G42" s="3"/>
      <c r="H42" s="3"/>
      <c r="I42" s="1"/>
      <c r="J42" s="3"/>
      <c r="K42" s="3"/>
      <c r="L42" s="16"/>
      <c r="M42" s="3"/>
      <c r="N42" s="13">
        <f t="shared" si="5"/>
        <v>0</v>
      </c>
      <c r="O42" s="13"/>
      <c r="P42" s="21">
        <f t="shared" si="1"/>
        <v>0</v>
      </c>
      <c r="Q42" s="22">
        <f t="shared" si="2"/>
        <v>0</v>
      </c>
      <c r="R42" s="22">
        <f t="shared" si="3"/>
        <v>0</v>
      </c>
      <c r="S42" s="22"/>
      <c r="T42" s="21">
        <f t="shared" si="4"/>
        <v>0</v>
      </c>
      <c r="U42" s="19">
        <f t="shared" si="0"/>
        <v>0</v>
      </c>
      <c r="V42" s="4"/>
      <c r="W42" s="8"/>
      <c r="X42" s="3"/>
      <c r="Y42" s="3"/>
      <c r="Z42" s="29">
        <f t="shared" si="20"/>
        <v>-20</v>
      </c>
      <c r="AA42" s="30">
        <f t="shared" si="21"/>
        <v>8002.5087999999996</v>
      </c>
      <c r="AB42" s="31">
        <v>418947.16683374386</v>
      </c>
      <c r="AC42" s="34">
        <f t="shared" si="22"/>
        <v>-3.5562784720735734</v>
      </c>
      <c r="AD42" s="3"/>
      <c r="AE42" s="29">
        <f t="shared" si="23"/>
        <v>-20</v>
      </c>
      <c r="AF42" s="32">
        <f t="shared" si="24"/>
        <v>38473.599999999999</v>
      </c>
      <c r="AG42" s="31">
        <v>380020.48668632272</v>
      </c>
      <c r="AH42" s="34">
        <f t="shared" si="25"/>
        <v>-12.517393852129091</v>
      </c>
    </row>
    <row r="43" spans="1:34" ht="15.75" customHeight="1" x14ac:dyDescent="0.25">
      <c r="A43" s="17" t="s">
        <v>161</v>
      </c>
      <c r="B43" s="8">
        <f>J8/B8</f>
        <v>101935.48387096774</v>
      </c>
      <c r="C43" s="3" t="s">
        <v>3</v>
      </c>
      <c r="D43" s="3"/>
      <c r="E43" s="3"/>
      <c r="F43" s="3"/>
      <c r="G43" s="3"/>
      <c r="H43" s="3"/>
      <c r="I43" s="17"/>
      <c r="J43" s="6"/>
      <c r="K43" s="3"/>
      <c r="L43" s="16"/>
      <c r="M43" s="3"/>
      <c r="N43" s="13">
        <f t="shared" si="5"/>
        <v>0</v>
      </c>
      <c r="O43" s="13"/>
      <c r="P43" s="21">
        <f t="shared" si="1"/>
        <v>0</v>
      </c>
      <c r="Q43" s="22">
        <f t="shared" si="2"/>
        <v>0</v>
      </c>
      <c r="R43" s="22">
        <f t="shared" si="3"/>
        <v>0</v>
      </c>
      <c r="S43" s="22"/>
      <c r="T43" s="21">
        <f t="shared" si="4"/>
        <v>0</v>
      </c>
      <c r="U43" s="19">
        <f t="shared" si="0"/>
        <v>0</v>
      </c>
      <c r="V43" s="4"/>
      <c r="W43" s="8"/>
      <c r="X43" s="3"/>
      <c r="Y43" s="3"/>
      <c r="Z43" s="29">
        <f t="shared" si="20"/>
        <v>-10</v>
      </c>
      <c r="AA43" s="30">
        <f t="shared" si="21"/>
        <v>9002.8223999999991</v>
      </c>
      <c r="AB43" s="31">
        <v>426671.32329900231</v>
      </c>
      <c r="AC43" s="34">
        <f t="shared" si="22"/>
        <v>-1.7781392360368138</v>
      </c>
      <c r="AD43" s="3"/>
      <c r="AE43" s="29">
        <f t="shared" si="23"/>
        <v>-10</v>
      </c>
      <c r="AF43" s="32">
        <f t="shared" si="24"/>
        <v>43282.8</v>
      </c>
      <c r="AG43" s="31">
        <v>407207.98322529171</v>
      </c>
      <c r="AH43" s="34">
        <f t="shared" si="25"/>
        <v>-6.2586969260645793</v>
      </c>
    </row>
    <row r="44" spans="1:34" ht="15.75" customHeight="1" x14ac:dyDescent="0.25">
      <c r="A44" s="3" t="s">
        <v>100</v>
      </c>
      <c r="B44" s="24">
        <f>(1+B16/100)*B43</f>
        <v>117225.80645161289</v>
      </c>
      <c r="C44" s="3" t="s">
        <v>3</v>
      </c>
      <c r="D44" s="3"/>
      <c r="E44" s="3"/>
      <c r="F44" s="3"/>
      <c r="G44" s="3"/>
      <c r="H44" s="3"/>
      <c r="I44" s="3"/>
      <c r="J44" s="3"/>
      <c r="K44" s="3"/>
      <c r="L44" s="16"/>
      <c r="M44" s="3"/>
      <c r="N44" s="13">
        <f t="shared" si="5"/>
        <v>0</v>
      </c>
      <c r="O44" s="13"/>
      <c r="P44" s="21">
        <f t="shared" si="1"/>
        <v>0</v>
      </c>
      <c r="Q44" s="22">
        <f t="shared" si="2"/>
        <v>0</v>
      </c>
      <c r="R44" s="22">
        <f t="shared" si="3"/>
        <v>0</v>
      </c>
      <c r="S44" s="22"/>
      <c r="T44" s="21">
        <f t="shared" si="4"/>
        <v>0</v>
      </c>
      <c r="U44" s="19">
        <f t="shared" si="0"/>
        <v>0</v>
      </c>
      <c r="V44" s="4"/>
      <c r="W44" s="8"/>
      <c r="X44" s="3"/>
      <c r="Y44" s="3"/>
      <c r="Z44" s="39">
        <v>0</v>
      </c>
      <c r="AA44" s="51">
        <f t="shared" si="21"/>
        <v>10003.135999999999</v>
      </c>
      <c r="AB44" s="40">
        <v>434395.47976426099</v>
      </c>
      <c r="AC44" s="74">
        <f t="shared" si="22"/>
        <v>0</v>
      </c>
      <c r="AD44" s="3"/>
      <c r="AE44" s="39">
        <v>0</v>
      </c>
      <c r="AF44" s="45">
        <f t="shared" si="24"/>
        <v>48092</v>
      </c>
      <c r="AG44" s="40">
        <v>434395.47976426099</v>
      </c>
      <c r="AH44" s="52">
        <f t="shared" si="25"/>
        <v>0</v>
      </c>
    </row>
    <row r="45" spans="1:34" ht="15.75" customHeight="1" x14ac:dyDescent="0.25">
      <c r="A45" s="25" t="s">
        <v>123</v>
      </c>
      <c r="B45" s="8">
        <f>SUM(B33:B40)+B44</f>
        <v>164116.12903225806</v>
      </c>
      <c r="C45" s="3" t="s">
        <v>3</v>
      </c>
      <c r="D45" s="3"/>
      <c r="E45" s="3"/>
      <c r="F45" s="3"/>
      <c r="G45" s="3"/>
      <c r="H45" s="3"/>
      <c r="I45" s="3"/>
      <c r="J45" s="3"/>
      <c r="K45" s="3"/>
      <c r="L45" s="16"/>
      <c r="M45" s="3"/>
      <c r="N45" s="13">
        <f t="shared" si="5"/>
        <v>0</v>
      </c>
      <c r="O45" s="13"/>
      <c r="P45" s="21">
        <f t="shared" si="1"/>
        <v>0</v>
      </c>
      <c r="Q45" s="22">
        <f t="shared" si="2"/>
        <v>0</v>
      </c>
      <c r="R45" s="22">
        <f t="shared" si="3"/>
        <v>0</v>
      </c>
      <c r="S45" s="22"/>
      <c r="T45" s="21">
        <f t="shared" si="4"/>
        <v>0</v>
      </c>
      <c r="U45" s="19">
        <f t="shared" si="0"/>
        <v>0</v>
      </c>
      <c r="V45" s="4"/>
      <c r="W45" s="8"/>
      <c r="X45" s="3"/>
      <c r="Y45" s="3"/>
      <c r="Z45" s="29">
        <f t="shared" ref="Z45:Z49" si="26">Z44+10</f>
        <v>10</v>
      </c>
      <c r="AA45" s="30">
        <f t="shared" si="21"/>
        <v>11003.4496</v>
      </c>
      <c r="AB45" s="31">
        <v>442119.63622951962</v>
      </c>
      <c r="AC45" s="34">
        <f t="shared" si="22"/>
        <v>1.7781392360368002</v>
      </c>
      <c r="AD45" s="3"/>
      <c r="AE45" s="29">
        <f t="shared" ref="AE45:AE49" si="27">AE44+10</f>
        <v>10</v>
      </c>
      <c r="AF45" s="32">
        <f t="shared" si="24"/>
        <v>52901.200000000004</v>
      </c>
      <c r="AG45" s="31">
        <v>461582.97630323021</v>
      </c>
      <c r="AH45" s="34">
        <f t="shared" si="25"/>
        <v>6.2586969260645651</v>
      </c>
    </row>
    <row r="46" spans="1:34" ht="15.75" customHeight="1" x14ac:dyDescent="0.25">
      <c r="A46" s="25" t="s">
        <v>168</v>
      </c>
      <c r="B46" s="8">
        <f>SUM(B31:B32)</f>
        <v>0</v>
      </c>
      <c r="C46" s="3" t="s">
        <v>3</v>
      </c>
      <c r="D46" s="3"/>
      <c r="E46" s="3"/>
      <c r="F46" s="3"/>
      <c r="G46" s="3"/>
      <c r="H46" s="3"/>
      <c r="I46" s="3"/>
      <c r="J46" s="3"/>
      <c r="K46" s="3"/>
      <c r="L46" s="16"/>
      <c r="M46" s="3"/>
      <c r="N46" s="13">
        <f t="shared" si="5"/>
        <v>0</v>
      </c>
      <c r="O46" s="13"/>
      <c r="P46" s="21">
        <f t="shared" si="1"/>
        <v>0</v>
      </c>
      <c r="Q46" s="22">
        <f t="shared" si="2"/>
        <v>0</v>
      </c>
      <c r="R46" s="22">
        <f t="shared" si="3"/>
        <v>0</v>
      </c>
      <c r="S46" s="22"/>
      <c r="T46" s="21">
        <f t="shared" si="4"/>
        <v>0</v>
      </c>
      <c r="U46" s="19">
        <f t="shared" si="0"/>
        <v>0</v>
      </c>
      <c r="V46" s="4"/>
      <c r="W46" s="8"/>
      <c r="X46" s="3"/>
      <c r="Y46" s="3"/>
      <c r="Z46" s="29">
        <f t="shared" si="26"/>
        <v>20</v>
      </c>
      <c r="AA46" s="30">
        <f t="shared" si="21"/>
        <v>12003.763199999998</v>
      </c>
      <c r="AB46" s="31">
        <v>449843.79269477818</v>
      </c>
      <c r="AC46" s="34">
        <f t="shared" si="22"/>
        <v>3.5562784720735872</v>
      </c>
      <c r="AD46" s="3"/>
      <c r="AE46" s="29">
        <f t="shared" si="27"/>
        <v>20</v>
      </c>
      <c r="AF46" s="32">
        <f t="shared" si="24"/>
        <v>57710.400000000001</v>
      </c>
      <c r="AG46" s="31">
        <v>488770.47284219932</v>
      </c>
      <c r="AH46" s="34">
        <f t="shared" si="25"/>
        <v>12.517393852129102</v>
      </c>
    </row>
    <row r="47" spans="1:34" ht="15.75" customHeight="1" x14ac:dyDescent="0.25">
      <c r="A47" s="25" t="s">
        <v>164</v>
      </c>
      <c r="B47" s="8">
        <f>SUM(B45:B46)</f>
        <v>164116.12903225806</v>
      </c>
      <c r="C47" s="3" t="s">
        <v>3</v>
      </c>
      <c r="D47" s="3"/>
      <c r="E47" s="3"/>
      <c r="F47" s="3"/>
      <c r="G47" s="3"/>
      <c r="H47" s="3"/>
      <c r="I47" s="3"/>
      <c r="J47" s="3"/>
      <c r="K47" s="3"/>
      <c r="L47" s="16"/>
      <c r="M47" s="3"/>
      <c r="N47" s="13">
        <f t="shared" si="5"/>
        <v>0</v>
      </c>
      <c r="O47" s="13"/>
      <c r="P47" s="21">
        <f t="shared" si="1"/>
        <v>0</v>
      </c>
      <c r="Q47" s="22">
        <f t="shared" si="2"/>
        <v>0</v>
      </c>
      <c r="R47" s="22">
        <f t="shared" si="3"/>
        <v>0</v>
      </c>
      <c r="S47" s="22"/>
      <c r="T47" s="21">
        <f t="shared" si="4"/>
        <v>0</v>
      </c>
      <c r="U47" s="19">
        <f t="shared" si="0"/>
        <v>0</v>
      </c>
      <c r="V47" s="4"/>
      <c r="W47" s="8"/>
      <c r="X47" s="3"/>
      <c r="Y47" s="3"/>
      <c r="Z47" s="29">
        <f t="shared" si="26"/>
        <v>30</v>
      </c>
      <c r="AA47" s="30">
        <f t="shared" si="21"/>
        <v>13004.076799999999</v>
      </c>
      <c r="AB47" s="31">
        <v>457567.94916003675</v>
      </c>
      <c r="AC47" s="34">
        <f t="shared" si="22"/>
        <v>5.3344177081103741</v>
      </c>
      <c r="AD47" s="3"/>
      <c r="AE47" s="29">
        <f t="shared" si="27"/>
        <v>30</v>
      </c>
      <c r="AF47" s="32">
        <f t="shared" si="24"/>
        <v>62519.6</v>
      </c>
      <c r="AG47" s="31">
        <v>515957.96938116843</v>
      </c>
      <c r="AH47" s="34">
        <f t="shared" si="25"/>
        <v>18.776090778193641</v>
      </c>
    </row>
    <row r="48" spans="1:34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6"/>
      <c r="M48" s="3"/>
      <c r="N48" s="13">
        <f t="shared" si="5"/>
        <v>0</v>
      </c>
      <c r="O48" s="13"/>
      <c r="P48" s="21">
        <f t="shared" si="1"/>
        <v>0</v>
      </c>
      <c r="Q48" s="22">
        <f t="shared" si="2"/>
        <v>0</v>
      </c>
      <c r="R48" s="22">
        <f t="shared" si="3"/>
        <v>0</v>
      </c>
      <c r="S48" s="22"/>
      <c r="T48" s="21">
        <f t="shared" si="4"/>
        <v>0</v>
      </c>
      <c r="U48" s="19">
        <f t="shared" si="0"/>
        <v>0</v>
      </c>
      <c r="V48" s="4"/>
      <c r="W48" s="8"/>
      <c r="X48" s="3"/>
      <c r="Y48" s="3"/>
      <c r="Z48" s="29">
        <f t="shared" si="26"/>
        <v>40</v>
      </c>
      <c r="AA48" s="30">
        <f t="shared" si="21"/>
        <v>14004.390399999997</v>
      </c>
      <c r="AB48" s="31">
        <v>465292.10562529537</v>
      </c>
      <c r="AC48" s="34">
        <f t="shared" si="22"/>
        <v>7.1125569441471743</v>
      </c>
      <c r="AD48" s="3"/>
      <c r="AE48" s="29">
        <f t="shared" si="27"/>
        <v>40</v>
      </c>
      <c r="AF48" s="32">
        <f t="shared" si="24"/>
        <v>67328.800000000003</v>
      </c>
      <c r="AG48" s="31">
        <v>543145.46592013759</v>
      </c>
      <c r="AH48" s="34">
        <f t="shared" si="25"/>
        <v>25.034787704258193</v>
      </c>
    </row>
    <row r="49" spans="1:34" ht="15.75" customHeight="1" x14ac:dyDescent="0.25">
      <c r="A49" s="15"/>
      <c r="B49" s="7"/>
      <c r="C49" s="3"/>
      <c r="D49" s="3"/>
      <c r="E49" s="3"/>
      <c r="F49" s="3"/>
      <c r="G49" s="3"/>
      <c r="H49" s="3"/>
      <c r="I49" s="3"/>
      <c r="J49" s="3"/>
      <c r="K49" s="3"/>
      <c r="L49" s="16"/>
      <c r="M49" s="3"/>
      <c r="N49" s="14" t="s">
        <v>102</v>
      </c>
      <c r="O49" s="19">
        <f t="shared" ref="O49:R49" si="28">SUM(O8:O48)</f>
        <v>49234.838709677417</v>
      </c>
      <c r="P49" s="19">
        <f t="shared" si="28"/>
        <v>147521.68195750553</v>
      </c>
      <c r="Q49" s="19">
        <f t="shared" si="28"/>
        <v>194633.40073710546</v>
      </c>
      <c r="R49" s="19">
        <f t="shared" si="28"/>
        <v>77537.599506413302</v>
      </c>
      <c r="S49" s="19"/>
      <c r="T49" s="19">
        <f t="shared" ref="T49:U49" si="29">SUM(T8:T48)</f>
        <v>-34532.041146440723</v>
      </c>
      <c r="U49" s="19">
        <f t="shared" si="29"/>
        <v>434395.47976426099</v>
      </c>
      <c r="V49" s="4"/>
      <c r="W49" s="4"/>
      <c r="X49" s="3"/>
      <c r="Y49" s="3"/>
      <c r="Z49" s="29">
        <f t="shared" si="26"/>
        <v>50</v>
      </c>
      <c r="AA49" s="30">
        <f t="shared" si="21"/>
        <v>15004.703999999998</v>
      </c>
      <c r="AB49" s="31">
        <v>473016.262090554</v>
      </c>
      <c r="AC49" s="34">
        <f t="shared" si="22"/>
        <v>8.8906961801839746</v>
      </c>
      <c r="AD49" s="3"/>
      <c r="AE49" s="29">
        <f t="shared" si="27"/>
        <v>50</v>
      </c>
      <c r="AF49" s="32">
        <f t="shared" si="24"/>
        <v>72138</v>
      </c>
      <c r="AG49" s="31">
        <v>570332.96245910681</v>
      </c>
      <c r="AH49" s="34">
        <f t="shared" si="25"/>
        <v>31.293484630322759</v>
      </c>
    </row>
    <row r="50" spans="1:34" ht="15.75" customHeight="1" x14ac:dyDescent="0.25">
      <c r="A50" s="3"/>
      <c r="B50" s="33"/>
      <c r="C50" s="3"/>
      <c r="D50" s="3"/>
      <c r="E50" s="3"/>
      <c r="F50" s="3"/>
      <c r="G50" s="3"/>
      <c r="H50" s="3"/>
      <c r="I50" s="3"/>
      <c r="J50" s="3"/>
      <c r="K50" s="3"/>
      <c r="L50" s="16"/>
      <c r="M50" s="3"/>
      <c r="N50" s="3"/>
      <c r="O50" s="3"/>
      <c r="P50" s="3"/>
      <c r="Q50" s="3"/>
      <c r="R50" s="24">
        <f>SUM(R49:S49)</f>
        <v>77537.599506413302</v>
      </c>
      <c r="S50" s="3"/>
      <c r="T50" s="3"/>
      <c r="U50" s="3"/>
      <c r="V50" s="3"/>
      <c r="W50" s="3"/>
      <c r="X50" s="24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96" t="s">
        <v>194</v>
      </c>
      <c r="AA51" s="97"/>
      <c r="AB51" s="97"/>
      <c r="AC51" s="97"/>
      <c r="AD51" s="3"/>
      <c r="AE51" s="3"/>
      <c r="AF51" s="3"/>
      <c r="AG51" s="3"/>
      <c r="AH51" s="3"/>
    </row>
    <row r="52" spans="1:34" ht="15.75" customHeight="1" x14ac:dyDescent="0.25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1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97" t="s">
        <v>67</v>
      </c>
      <c r="AA52" s="97" t="s">
        <v>194</v>
      </c>
      <c r="AB52" s="97" t="s">
        <v>22</v>
      </c>
      <c r="AC52" s="97" t="s">
        <v>69</v>
      </c>
      <c r="AD52" s="3"/>
      <c r="AE52" s="3"/>
      <c r="AF52" s="3"/>
      <c r="AG52" s="3"/>
      <c r="AH52" s="3"/>
    </row>
    <row r="53" spans="1:34" ht="15.75" customHeight="1" x14ac:dyDescent="0.2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"/>
      <c r="N53" s="3"/>
      <c r="O53" s="1"/>
      <c r="P53" s="1"/>
      <c r="Q53" s="3"/>
      <c r="R53" s="3"/>
      <c r="S53" s="3"/>
      <c r="T53" s="3"/>
      <c r="U53" s="3"/>
      <c r="V53" s="3"/>
      <c r="W53" s="3"/>
      <c r="X53" s="33"/>
      <c r="Y53" s="3"/>
      <c r="Z53" s="97" t="s">
        <v>74</v>
      </c>
      <c r="AA53" s="121">
        <v>0.49</v>
      </c>
      <c r="AB53" s="99">
        <f>U49</f>
        <v>434395.47976426099</v>
      </c>
      <c r="AC53" s="97"/>
      <c r="AD53" s="3"/>
      <c r="AE53" s="3"/>
      <c r="AF53" s="3"/>
      <c r="AG53" s="3"/>
      <c r="AH53" s="3"/>
    </row>
    <row r="54" spans="1:34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6"/>
      <c r="O54" s="47" t="s">
        <v>106</v>
      </c>
      <c r="P54" s="2" t="str">
        <f>B1</f>
        <v>Cambodia</v>
      </c>
      <c r="Q54" s="46"/>
      <c r="R54" s="46"/>
      <c r="S54" s="46"/>
      <c r="T54" s="46"/>
      <c r="U54" s="3"/>
      <c r="V54" s="3"/>
      <c r="W54" s="3"/>
      <c r="X54" s="33"/>
      <c r="Y54" s="3"/>
      <c r="Z54" s="97">
        <f t="shared" ref="Z54:Z58" si="30">Z55-10</f>
        <v>-50</v>
      </c>
      <c r="AA54" s="121">
        <f>$AA$53*(1-(Z54/100))</f>
        <v>0.73499999999999999</v>
      </c>
      <c r="AB54" s="99">
        <f t="dataTable" ref="AB54:AB64" dt2D="0" dtr="0" r1="J10"/>
        <v>531712.18013281375</v>
      </c>
      <c r="AC54" s="100">
        <f>100*((AB54-$AB$59)/$AB$59)</f>
        <v>22.402788450138768</v>
      </c>
      <c r="AD54" s="3"/>
      <c r="AE54" s="3"/>
      <c r="AF54" s="3"/>
      <c r="AG54" s="3"/>
      <c r="AH54" s="3"/>
    </row>
    <row r="55" spans="1:34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107</v>
      </c>
      <c r="P55" s="24">
        <f>SUM(O49:P49)</f>
        <v>196756.52066718295</v>
      </c>
      <c r="Q55" s="3" t="s">
        <v>3</v>
      </c>
      <c r="R55" s="49">
        <f t="shared" ref="R55:R58" si="31">P55/$F$41</f>
        <v>0.40912526130579502</v>
      </c>
      <c r="S55" s="3" t="s">
        <v>4</v>
      </c>
      <c r="T55" s="3"/>
      <c r="U55" s="3"/>
      <c r="V55" s="3"/>
      <c r="W55" s="3"/>
      <c r="X55" s="33"/>
      <c r="Y55" s="3"/>
      <c r="Z55" s="97">
        <f t="shared" si="30"/>
        <v>-40</v>
      </c>
      <c r="AA55" s="121">
        <f t="shared" ref="AA55:AA58" si="32">$AA$53*(1-(Z55/100))</f>
        <v>0.68599999999999994</v>
      </c>
      <c r="AB55" s="99">
        <v>512248.84005910315</v>
      </c>
      <c r="AC55" s="100">
        <f t="shared" ref="AC55:AC64" si="33">100*((AB55-$AB$59)/$AB$59)</f>
        <v>17.922230760111006</v>
      </c>
      <c r="AD55" s="3"/>
      <c r="AE55" s="3"/>
      <c r="AF55" s="3"/>
      <c r="AG55" s="3"/>
      <c r="AH55" s="3"/>
    </row>
    <row r="56" spans="1:34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87</v>
      </c>
      <c r="P56" s="24">
        <f>SUM(Q49)</f>
        <v>194633.40073710546</v>
      </c>
      <c r="Q56" s="3" t="s">
        <v>3</v>
      </c>
      <c r="R56" s="49">
        <f t="shared" si="31"/>
        <v>0.40471055630272285</v>
      </c>
      <c r="S56" s="3" t="s">
        <v>4</v>
      </c>
      <c r="T56" s="3"/>
      <c r="U56" s="3"/>
      <c r="V56" s="3"/>
      <c r="W56" s="3"/>
      <c r="X56" s="33"/>
      <c r="Y56" s="3"/>
      <c r="Z56" s="97">
        <f t="shared" si="30"/>
        <v>-30</v>
      </c>
      <c r="AA56" s="121">
        <f t="shared" si="32"/>
        <v>0.63700000000000001</v>
      </c>
      <c r="AB56" s="99">
        <v>492785.4999853925</v>
      </c>
      <c r="AC56" s="100">
        <f t="shared" si="33"/>
        <v>13.441673070083226</v>
      </c>
      <c r="AD56" s="3"/>
      <c r="AE56" s="3"/>
      <c r="AF56" s="3"/>
      <c r="AG56" s="3"/>
      <c r="AH56" s="3"/>
    </row>
    <row r="57" spans="1:34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108</v>
      </c>
      <c r="P57" s="24">
        <f>SUM(R49:S49)</f>
        <v>77537.599506413302</v>
      </c>
      <c r="Q57" s="3" t="s">
        <v>3</v>
      </c>
      <c r="R57" s="49">
        <f t="shared" si="31"/>
        <v>0.16122764598355924</v>
      </c>
      <c r="S57" s="3" t="s">
        <v>4</v>
      </c>
      <c r="T57" s="3"/>
      <c r="U57" s="3"/>
      <c r="V57" s="3"/>
      <c r="W57" s="3"/>
      <c r="X57" s="33"/>
      <c r="Y57" s="3"/>
      <c r="Z57" s="97">
        <f t="shared" si="30"/>
        <v>-20</v>
      </c>
      <c r="AA57" s="121">
        <f t="shared" si="32"/>
        <v>0.58799999999999997</v>
      </c>
      <c r="AB57" s="99">
        <v>473322.15991168207</v>
      </c>
      <c r="AC57" s="100">
        <f t="shared" si="33"/>
        <v>8.961115380055503</v>
      </c>
      <c r="AD57" s="3"/>
      <c r="AE57" s="3"/>
      <c r="AF57" s="3"/>
      <c r="AG57" s="3"/>
      <c r="AH57" s="3"/>
    </row>
    <row r="58" spans="1:34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110</v>
      </c>
      <c r="P58" s="24">
        <f>T49</f>
        <v>-34532.041146440723</v>
      </c>
      <c r="Q58" s="3" t="s">
        <v>3</v>
      </c>
      <c r="R58" s="49">
        <f t="shared" si="31"/>
        <v>-7.1804127810115456E-2</v>
      </c>
      <c r="S58" s="3" t="s">
        <v>4</v>
      </c>
      <c r="T58" s="3"/>
      <c r="U58" s="3"/>
      <c r="V58" s="3"/>
      <c r="W58" s="3"/>
      <c r="X58" s="33"/>
      <c r="Y58" s="3"/>
      <c r="Z58" s="97">
        <f t="shared" si="30"/>
        <v>-10</v>
      </c>
      <c r="AA58" s="121">
        <f t="shared" si="32"/>
        <v>0.53900000000000003</v>
      </c>
      <c r="AB58" s="99">
        <v>453858.81983797159</v>
      </c>
      <c r="AC58" s="100">
        <f t="shared" si="33"/>
        <v>4.4805576900277648</v>
      </c>
      <c r="AD58" s="3"/>
      <c r="AE58" s="3"/>
      <c r="AF58" s="3"/>
      <c r="AG58" s="3"/>
      <c r="AH58" s="3"/>
    </row>
    <row r="59" spans="1:34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3"/>
      <c r="Y59" s="3"/>
      <c r="Z59" s="101">
        <v>0</v>
      </c>
      <c r="AA59" s="122">
        <f t="shared" ref="AA59" si="34">$AA$53*(1+(Z59/100))</f>
        <v>0.49</v>
      </c>
      <c r="AB59" s="103">
        <v>434395.47976426099</v>
      </c>
      <c r="AC59" s="104">
        <f t="shared" si="33"/>
        <v>0</v>
      </c>
      <c r="AD59" s="3"/>
      <c r="AE59" s="3"/>
      <c r="AF59" s="3"/>
      <c r="AG59" s="3"/>
      <c r="AH59" s="3"/>
    </row>
    <row r="60" spans="1:34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" t="s">
        <v>2</v>
      </c>
      <c r="P60" s="4">
        <f>SUM(P55:P58)</f>
        <v>434395.47976426099</v>
      </c>
      <c r="Q60" s="1" t="s">
        <v>3</v>
      </c>
      <c r="R60" s="44">
        <f>SUM(R55:R58)</f>
        <v>0.9032593357819616</v>
      </c>
      <c r="S60" s="1" t="s">
        <v>4</v>
      </c>
      <c r="T60" s="3"/>
      <c r="U60" s="3"/>
      <c r="V60" s="3"/>
      <c r="W60" s="3"/>
      <c r="X60" s="33"/>
      <c r="Y60" s="3"/>
      <c r="Z60" s="97">
        <f t="shared" ref="Z60:Z64" si="35">Z59+10</f>
        <v>10</v>
      </c>
      <c r="AA60" s="121">
        <f t="shared" ref="AA60:AA64" si="36">$AA$53*(1-(Z60/100))</f>
        <v>0.441</v>
      </c>
      <c r="AB60" s="99">
        <v>414932.13969055045</v>
      </c>
      <c r="AC60" s="100">
        <f t="shared" si="33"/>
        <v>-4.4805576900277515</v>
      </c>
      <c r="AD60" s="3"/>
      <c r="AE60" s="3"/>
      <c r="AF60" s="3"/>
      <c r="AG60" s="3"/>
      <c r="AH60" s="3"/>
    </row>
    <row r="61" spans="1:34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3"/>
      <c r="Y61" s="3"/>
      <c r="Z61" s="97">
        <f t="shared" si="35"/>
        <v>20</v>
      </c>
      <c r="AA61" s="121">
        <f t="shared" si="36"/>
        <v>0.39200000000000002</v>
      </c>
      <c r="AB61" s="99">
        <v>395468.79961683991</v>
      </c>
      <c r="AC61" s="100">
        <f t="shared" si="33"/>
        <v>-8.961115380055503</v>
      </c>
      <c r="AD61" s="3"/>
      <c r="AE61" s="3"/>
      <c r="AF61" s="3"/>
      <c r="AG61" s="3"/>
      <c r="AH61" s="3"/>
    </row>
    <row r="62" spans="1:34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3"/>
      <c r="Y62" s="3"/>
      <c r="Z62" s="97">
        <f t="shared" si="35"/>
        <v>30</v>
      </c>
      <c r="AA62" s="121">
        <f t="shared" si="36"/>
        <v>0.34299999999999997</v>
      </c>
      <c r="AB62" s="99">
        <v>376005.45954312931</v>
      </c>
      <c r="AC62" s="100">
        <f t="shared" si="33"/>
        <v>-13.441673070083269</v>
      </c>
      <c r="AD62" s="3"/>
      <c r="AE62" s="3"/>
      <c r="AF62" s="3"/>
      <c r="AG62" s="3"/>
      <c r="AH62" s="3"/>
    </row>
    <row r="63" spans="1:34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3"/>
      <c r="Y63" s="3"/>
      <c r="Z63" s="97">
        <f t="shared" si="35"/>
        <v>40</v>
      </c>
      <c r="AA63" s="121">
        <f t="shared" si="36"/>
        <v>0.29399999999999998</v>
      </c>
      <c r="AB63" s="99">
        <v>356542.11946941871</v>
      </c>
      <c r="AC63" s="100">
        <f t="shared" si="33"/>
        <v>-17.922230760111031</v>
      </c>
      <c r="AD63" s="3"/>
      <c r="AE63" s="3"/>
      <c r="AF63" s="3"/>
      <c r="AG63" s="3"/>
      <c r="AH63" s="3"/>
    </row>
    <row r="64" spans="1:34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3"/>
      <c r="Y64" s="3"/>
      <c r="Z64" s="97">
        <f t="shared" si="35"/>
        <v>50</v>
      </c>
      <c r="AA64" s="121">
        <f t="shared" si="36"/>
        <v>0.245</v>
      </c>
      <c r="AB64" s="99">
        <v>337078.77939570823</v>
      </c>
      <c r="AC64" s="100">
        <f t="shared" si="33"/>
        <v>-22.402788450138768</v>
      </c>
      <c r="AD64" s="3"/>
      <c r="AE64" s="3"/>
      <c r="AF64" s="3"/>
      <c r="AG64" s="3"/>
      <c r="AH64" s="3"/>
    </row>
    <row r="65" spans="1:34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AY1000"/>
  <sheetViews>
    <sheetView topLeftCell="B1" zoomScale="81" zoomScaleNormal="70" workbookViewId="0">
      <selection activeCell="J8" sqref="J8:J2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50.7109375" bestFit="1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19" width="16.5703125" customWidth="1"/>
    <col min="20" max="20" width="11.140625" customWidth="1"/>
    <col min="21" max="22" width="31.28515625" customWidth="1"/>
    <col min="23" max="23" width="23.85546875" customWidth="1"/>
    <col min="24" max="25" width="13.42578125" customWidth="1"/>
    <col min="26" max="26" width="19.5703125" customWidth="1"/>
    <col min="27" max="27" width="12.28515625" customWidth="1"/>
    <col min="28" max="28" width="20.140625" customWidth="1"/>
    <col min="29" max="29" width="25.28515625" customWidth="1"/>
    <col min="30" max="30" width="12.85546875" customWidth="1"/>
    <col min="31" max="31" width="19" customWidth="1"/>
    <col min="32" max="32" width="4.7109375" customWidth="1"/>
    <col min="33" max="33" width="20.140625" customWidth="1"/>
    <col min="34" max="34" width="19.28515625" customWidth="1"/>
    <col min="35" max="35" width="11.28515625" customWidth="1"/>
    <col min="36" max="36" width="17.85546875" customWidth="1"/>
    <col min="37" max="38" width="8.85546875" customWidth="1"/>
    <col min="39" max="39" width="17.5703125" customWidth="1"/>
    <col min="40" max="40" width="9.7109375" customWidth="1"/>
    <col min="41" max="41" width="15.5703125" customWidth="1"/>
    <col min="42" max="42" width="8.85546875" customWidth="1"/>
    <col min="43" max="44" width="12.7109375" customWidth="1"/>
    <col min="45" max="51" width="8.85546875" customWidth="1"/>
  </cols>
  <sheetData>
    <row r="1" spans="1:51" x14ac:dyDescent="0.25">
      <c r="A1" s="1" t="s">
        <v>0</v>
      </c>
      <c r="B1" s="2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5">
      <c r="A2" s="1" t="s">
        <v>2</v>
      </c>
      <c r="B2" s="4">
        <f>X49</f>
        <v>98643.956375704976</v>
      </c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25">
      <c r="A3" s="3"/>
      <c r="B3" s="5">
        <f>B2/J34</f>
        <v>0.24660989093926244</v>
      </c>
      <c r="C3" s="1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25">
      <c r="A4" s="1" t="s">
        <v>5</v>
      </c>
      <c r="B4" s="3"/>
      <c r="C4" s="3"/>
      <c r="D4" s="3"/>
      <c r="E4" s="6"/>
      <c r="F4" s="3"/>
      <c r="G4" s="3"/>
      <c r="H4" s="3"/>
      <c r="I4" s="3"/>
      <c r="J4" s="7"/>
      <c r="K4" s="3"/>
      <c r="L4" s="3"/>
      <c r="M4" s="3"/>
      <c r="N4" s="1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" t="s">
        <v>7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25">
      <c r="A5" s="3" t="s">
        <v>8</v>
      </c>
      <c r="B5" s="8">
        <v>10</v>
      </c>
      <c r="C5" s="3" t="s">
        <v>9</v>
      </c>
      <c r="D5" s="3"/>
      <c r="E5" s="3"/>
      <c r="F5" s="6"/>
      <c r="G5" s="3"/>
      <c r="H5" s="3"/>
      <c r="I5" s="3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25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16</v>
      </c>
      <c r="R7" s="13" t="s">
        <v>17</v>
      </c>
      <c r="S7" s="13" t="s">
        <v>18</v>
      </c>
      <c r="T7" s="13"/>
      <c r="U7" s="13" t="s">
        <v>19</v>
      </c>
      <c r="V7" s="13" t="s">
        <v>20</v>
      </c>
      <c r="W7" s="13" t="s">
        <v>21</v>
      </c>
      <c r="X7" s="14" t="s">
        <v>22</v>
      </c>
      <c r="Y7" s="1"/>
      <c r="Z7" s="3"/>
      <c r="AA7" s="3"/>
      <c r="AB7" s="3" t="s">
        <v>23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25">
      <c r="A8" s="15" t="s">
        <v>24</v>
      </c>
      <c r="B8" s="8">
        <v>4043</v>
      </c>
      <c r="C8" s="3" t="s">
        <v>25</v>
      </c>
      <c r="D8" s="3"/>
      <c r="E8" s="3"/>
      <c r="F8" s="3"/>
      <c r="G8" s="3"/>
      <c r="H8" s="16"/>
      <c r="I8" s="17" t="s">
        <v>195</v>
      </c>
      <c r="J8" s="8">
        <v>172153548.38709679</v>
      </c>
      <c r="K8" s="3" t="s">
        <v>27</v>
      </c>
      <c r="L8" s="16"/>
      <c r="M8" s="3"/>
      <c r="N8" s="13">
        <v>0</v>
      </c>
      <c r="O8" s="18">
        <f>F31</f>
        <v>18038.341306451613</v>
      </c>
      <c r="P8" s="13"/>
      <c r="Q8" s="13"/>
      <c r="R8" s="13"/>
      <c r="S8" s="13"/>
      <c r="T8" s="13"/>
      <c r="U8" s="13"/>
      <c r="V8" s="13"/>
      <c r="W8" s="13"/>
      <c r="X8" s="19">
        <f t="shared" ref="X8:X48" si="0">SUM(O8:W8)</f>
        <v>18038.341306451613</v>
      </c>
      <c r="Y8" s="4"/>
      <c r="Z8" s="8"/>
      <c r="AA8" s="3"/>
      <c r="AB8" s="3" t="s">
        <v>28</v>
      </c>
      <c r="AC8" s="20">
        <f>F36</f>
        <v>0.18</v>
      </c>
      <c r="AD8" s="3" t="s">
        <v>29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25">
      <c r="A9" s="15"/>
      <c r="B9" s="3"/>
      <c r="C9" s="3"/>
      <c r="D9" s="3"/>
      <c r="E9" s="3"/>
      <c r="F9" s="6"/>
      <c r="G9" s="3"/>
      <c r="H9" s="16"/>
      <c r="I9" s="17" t="s">
        <v>30</v>
      </c>
      <c r="J9" s="8">
        <v>105</v>
      </c>
      <c r="K9" s="3" t="s">
        <v>29</v>
      </c>
      <c r="L9" s="16"/>
      <c r="M9" s="3"/>
      <c r="N9" s="13">
        <v>1</v>
      </c>
      <c r="O9" s="13"/>
      <c r="P9" s="21">
        <f t="shared" ref="P9:P48" si="1">IF(N9&gt;0,IF(N9&lt;=$J$20,(($F$32+$F$33)/$J$20)/((1+($F$11/100))^N9),0),0)</f>
        <v>11889.271181096774</v>
      </c>
      <c r="Q9" s="22">
        <f t="shared" ref="Q9:Q48" si="2">IF(N9&gt;0,($F$41*((1+($F$14/100))^(N9-1)))/((1+($F$11/100))^N9),0)</f>
        <v>1302.8571428571429</v>
      </c>
      <c r="R9" s="22">
        <f t="shared" ref="R9:R48" si="3">IF(N9&gt;0,$F$40/((1+($F$11/100))^N9),0)</f>
        <v>0</v>
      </c>
      <c r="S9" s="22">
        <f t="shared" ref="S9:S48" si="4">IF(N9&gt;0,$J$37/((1+($F$11/100))^N9),0)</f>
        <v>2322.2265408760582</v>
      </c>
      <c r="T9" s="21"/>
      <c r="U9" s="22">
        <f t="shared" ref="U9:U48" si="5">IF(AND(MOD(N9,$J$31)=0,N9&gt;0),$B$46/((1+($F$11/100))^N9),0)</f>
        <v>0</v>
      </c>
      <c r="V9" s="22">
        <f t="shared" ref="V9:V48" si="6">IF(N9&gt;0,$J$32/((1+($F$11/100))^N9),0)</f>
        <v>0</v>
      </c>
      <c r="W9" s="21">
        <f t="shared" ref="W9:W18" si="7">IF(N9=$B$5,((((1-$J$15/100)^N9)*$B$47+((1-$J$16/100)^N9)*$B$48)/((1+($F$11/100))^N9))*-1,0)</f>
        <v>0</v>
      </c>
      <c r="X9" s="19">
        <f t="shared" si="0"/>
        <v>15514.354864829975</v>
      </c>
      <c r="Y9" s="4"/>
      <c r="Z9" s="8"/>
      <c r="AA9" s="3"/>
      <c r="AB9" s="3" t="s">
        <v>31</v>
      </c>
      <c r="AC9" s="7">
        <f>B48</f>
        <v>9100.35</v>
      </c>
      <c r="AD9" s="3" t="s">
        <v>3</v>
      </c>
      <c r="AE9" s="3"/>
      <c r="AF9" s="8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25">
      <c r="A10" s="23" t="s">
        <v>32</v>
      </c>
      <c r="B10" s="3"/>
      <c r="C10" s="3"/>
      <c r="D10" s="3"/>
      <c r="E10" s="1" t="s">
        <v>33</v>
      </c>
      <c r="F10" s="3"/>
      <c r="G10" s="3"/>
      <c r="H10" s="16"/>
      <c r="I10" s="17" t="s">
        <v>34</v>
      </c>
      <c r="J10" s="8">
        <v>81</v>
      </c>
      <c r="K10" s="3" t="s">
        <v>35</v>
      </c>
      <c r="L10" s="16"/>
      <c r="M10" s="3"/>
      <c r="N10" s="13">
        <f t="shared" ref="N10:N48" si="8">IF((N9+1)&gt;$B$5,,IF(N9=0,,N9+1))</f>
        <v>2</v>
      </c>
      <c r="O10" s="13"/>
      <c r="P10" s="21">
        <f t="shared" si="1"/>
        <v>11323.115410568356</v>
      </c>
      <c r="Q10" s="22">
        <f t="shared" si="2"/>
        <v>1253.2244897959183</v>
      </c>
      <c r="R10" s="22">
        <f t="shared" si="3"/>
        <v>0</v>
      </c>
      <c r="S10" s="22">
        <f t="shared" si="4"/>
        <v>2211.6443246438653</v>
      </c>
      <c r="T10" s="22"/>
      <c r="U10" s="22">
        <f t="shared" si="5"/>
        <v>0</v>
      </c>
      <c r="V10" s="22">
        <f t="shared" si="6"/>
        <v>0</v>
      </c>
      <c r="W10" s="21">
        <f t="shared" si="7"/>
        <v>0</v>
      </c>
      <c r="X10" s="19">
        <f t="shared" si="0"/>
        <v>14787.98422500814</v>
      </c>
      <c r="Y10" s="4"/>
      <c r="Z10" s="8"/>
      <c r="AA10" s="3"/>
      <c r="AB10" s="3" t="s">
        <v>176</v>
      </c>
      <c r="AC10" s="24">
        <f>B52</f>
        <v>60127.804354838714</v>
      </c>
      <c r="AD10" s="3" t="s">
        <v>3</v>
      </c>
      <c r="AE10" s="3"/>
      <c r="AF10" s="8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25">
      <c r="A11" s="25" t="s">
        <v>167</v>
      </c>
      <c r="B11" s="26">
        <v>0</v>
      </c>
      <c r="C11" s="3" t="s">
        <v>36</v>
      </c>
      <c r="D11" s="3"/>
      <c r="E11" s="17" t="s">
        <v>37</v>
      </c>
      <c r="F11" s="3">
        <v>5</v>
      </c>
      <c r="G11" s="3" t="s">
        <v>36</v>
      </c>
      <c r="H11" s="16"/>
      <c r="I11" s="17" t="s">
        <v>38</v>
      </c>
      <c r="J11" s="8">
        <v>900</v>
      </c>
      <c r="K11" s="3" t="s">
        <v>39</v>
      </c>
      <c r="L11" s="16"/>
      <c r="M11" s="3"/>
      <c r="N11" s="13">
        <f t="shared" si="8"/>
        <v>3</v>
      </c>
      <c r="O11" s="13"/>
      <c r="P11" s="21">
        <f t="shared" si="1"/>
        <v>10783.919438636529</v>
      </c>
      <c r="Q11" s="22">
        <f t="shared" si="2"/>
        <v>1205.4826044703595</v>
      </c>
      <c r="R11" s="22">
        <f t="shared" si="3"/>
        <v>0</v>
      </c>
      <c r="S11" s="22">
        <f t="shared" si="4"/>
        <v>2106.3279282322524</v>
      </c>
      <c r="T11" s="22"/>
      <c r="U11" s="22">
        <f t="shared" si="5"/>
        <v>0</v>
      </c>
      <c r="V11" s="22">
        <f t="shared" si="6"/>
        <v>0</v>
      </c>
      <c r="W11" s="21">
        <f t="shared" si="7"/>
        <v>0</v>
      </c>
      <c r="X11" s="19">
        <f t="shared" si="0"/>
        <v>14095.729971339142</v>
      </c>
      <c r="Y11" s="4"/>
      <c r="Z11" s="8"/>
      <c r="AA11" s="3"/>
      <c r="AB11" s="3" t="s">
        <v>40</v>
      </c>
      <c r="AC11" s="8">
        <f>F12</f>
        <v>40000</v>
      </c>
      <c r="AD11" s="3" t="s">
        <v>41</v>
      </c>
      <c r="AE11" s="3"/>
      <c r="AF11" s="8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25">
      <c r="A12" s="25" t="s">
        <v>42</v>
      </c>
      <c r="B12" s="3">
        <v>0</v>
      </c>
      <c r="C12" s="3" t="s">
        <v>36</v>
      </c>
      <c r="D12" s="3"/>
      <c r="E12" s="17" t="s">
        <v>43</v>
      </c>
      <c r="F12" s="8">
        <v>40000</v>
      </c>
      <c r="G12" s="3" t="s">
        <v>41</v>
      </c>
      <c r="H12" s="16"/>
      <c r="I12" s="17" t="s">
        <v>44</v>
      </c>
      <c r="J12" s="8">
        <v>200</v>
      </c>
      <c r="K12" s="3" t="s">
        <v>45</v>
      </c>
      <c r="L12" s="16"/>
      <c r="M12" s="3"/>
      <c r="N12" s="13">
        <f t="shared" si="8"/>
        <v>4</v>
      </c>
      <c r="O12" s="13"/>
      <c r="P12" s="21">
        <f t="shared" si="1"/>
        <v>10270.399465368124</v>
      </c>
      <c r="Q12" s="22">
        <f t="shared" si="2"/>
        <v>1159.5594576333933</v>
      </c>
      <c r="R12" s="22">
        <f t="shared" si="3"/>
        <v>0</v>
      </c>
      <c r="S12" s="22">
        <f t="shared" si="4"/>
        <v>2006.0265983164309</v>
      </c>
      <c r="T12" s="22"/>
      <c r="U12" s="22">
        <f t="shared" si="5"/>
        <v>0</v>
      </c>
      <c r="V12" s="22">
        <f t="shared" si="6"/>
        <v>0</v>
      </c>
      <c r="W12" s="21">
        <f t="shared" si="7"/>
        <v>0</v>
      </c>
      <c r="X12" s="19">
        <f t="shared" si="0"/>
        <v>13435.985521317947</v>
      </c>
      <c r="Y12" s="4"/>
      <c r="Z12" s="8"/>
      <c r="AA12" s="3"/>
      <c r="AB12" s="17" t="s">
        <v>46</v>
      </c>
      <c r="AC12" s="24">
        <f>J41</f>
        <v>2400</v>
      </c>
      <c r="AD12" s="3" t="s">
        <v>47</v>
      </c>
      <c r="AE12" s="3"/>
      <c r="AF12" s="8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25">
      <c r="A13" s="25" t="s">
        <v>48</v>
      </c>
      <c r="B13" s="3">
        <v>10</v>
      </c>
      <c r="C13" s="3" t="s">
        <v>36</v>
      </c>
      <c r="D13" s="3"/>
      <c r="E13" s="17" t="s">
        <v>28</v>
      </c>
      <c r="F13" s="8">
        <v>727.74</v>
      </c>
      <c r="G13" s="3" t="s">
        <v>49</v>
      </c>
      <c r="H13" s="16"/>
      <c r="I13" s="17" t="s">
        <v>50</v>
      </c>
      <c r="J13" s="3">
        <v>30</v>
      </c>
      <c r="K13" s="3" t="s">
        <v>51</v>
      </c>
      <c r="L13" s="16"/>
      <c r="M13" s="3"/>
      <c r="N13" s="13">
        <f t="shared" si="8"/>
        <v>5</v>
      </c>
      <c r="O13" s="13"/>
      <c r="P13" s="21">
        <f t="shared" si="1"/>
        <v>9781.3328241601157</v>
      </c>
      <c r="Q13" s="22">
        <f t="shared" si="2"/>
        <v>1115.385764009264</v>
      </c>
      <c r="R13" s="22">
        <f t="shared" si="3"/>
        <v>0</v>
      </c>
      <c r="S13" s="22">
        <f t="shared" si="4"/>
        <v>1910.5015222061245</v>
      </c>
      <c r="T13" s="22"/>
      <c r="U13" s="22">
        <f t="shared" si="5"/>
        <v>6663.8900458142434</v>
      </c>
      <c r="V13" s="22">
        <f t="shared" si="6"/>
        <v>0</v>
      </c>
      <c r="W13" s="21">
        <f t="shared" si="7"/>
        <v>0</v>
      </c>
      <c r="X13" s="19">
        <f t="shared" si="0"/>
        <v>19471.110156189749</v>
      </c>
      <c r="Y13" s="4"/>
      <c r="Z13" s="8"/>
      <c r="AA13" s="3"/>
      <c r="AB13" s="70" t="s">
        <v>160</v>
      </c>
      <c r="AC13" s="91">
        <f>J26</f>
        <v>100</v>
      </c>
      <c r="AD13" s="70" t="s">
        <v>151</v>
      </c>
      <c r="AE13" s="3"/>
      <c r="AF13" s="8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25">
      <c r="A14" s="25"/>
      <c r="B14" s="3"/>
      <c r="C14" s="3"/>
      <c r="D14" s="3"/>
      <c r="E14" s="17" t="s">
        <v>52</v>
      </c>
      <c r="F14" s="3">
        <v>1</v>
      </c>
      <c r="G14" s="3" t="s">
        <v>53</v>
      </c>
      <c r="H14" s="16"/>
      <c r="I14" s="17" t="s">
        <v>54</v>
      </c>
      <c r="J14" s="7">
        <v>20</v>
      </c>
      <c r="K14" s="3" t="s">
        <v>36</v>
      </c>
      <c r="L14" s="16"/>
      <c r="M14" s="3"/>
      <c r="N14" s="13">
        <f t="shared" si="8"/>
        <v>6</v>
      </c>
      <c r="O14" s="13"/>
      <c r="P14" s="21">
        <f t="shared" si="1"/>
        <v>0</v>
      </c>
      <c r="Q14" s="22">
        <f t="shared" si="2"/>
        <v>1072.894877761292</v>
      </c>
      <c r="R14" s="22">
        <f t="shared" si="3"/>
        <v>0</v>
      </c>
      <c r="S14" s="22">
        <f t="shared" si="4"/>
        <v>1819.5252592439283</v>
      </c>
      <c r="T14" s="22"/>
      <c r="U14" s="22">
        <f t="shared" si="5"/>
        <v>0</v>
      </c>
      <c r="V14" s="22">
        <f t="shared" si="6"/>
        <v>0</v>
      </c>
      <c r="W14" s="21">
        <f t="shared" si="7"/>
        <v>0</v>
      </c>
      <c r="X14" s="19">
        <f t="shared" si="0"/>
        <v>2892.4201370052206</v>
      </c>
      <c r="Y14" s="4"/>
      <c r="Z14" s="8"/>
      <c r="AA14" s="3"/>
      <c r="AB14" s="70" t="s">
        <v>194</v>
      </c>
      <c r="AC14" s="95">
        <f>J17</f>
        <v>0.19</v>
      </c>
      <c r="AD14" s="70" t="s">
        <v>62</v>
      </c>
      <c r="AE14" s="3"/>
      <c r="AF14" s="8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x14ac:dyDescent="0.25">
      <c r="A15" s="17" t="s">
        <v>55</v>
      </c>
      <c r="B15" s="3"/>
      <c r="C15" s="3" t="s">
        <v>36</v>
      </c>
      <c r="D15" s="3"/>
      <c r="E15" s="17" t="s">
        <v>56</v>
      </c>
      <c r="F15" s="3">
        <v>0</v>
      </c>
      <c r="G15" s="3" t="s">
        <v>57</v>
      </c>
      <c r="H15" s="16"/>
      <c r="I15" s="17" t="s">
        <v>58</v>
      </c>
      <c r="J15" s="3">
        <v>7.08</v>
      </c>
      <c r="K15" s="3" t="s">
        <v>59</v>
      </c>
      <c r="L15" s="16"/>
      <c r="M15" s="3"/>
      <c r="N15" s="13">
        <f t="shared" si="8"/>
        <v>7</v>
      </c>
      <c r="O15" s="13"/>
      <c r="P15" s="21">
        <f t="shared" si="1"/>
        <v>0</v>
      </c>
      <c r="Q15" s="22">
        <f t="shared" si="2"/>
        <v>1032.0226919418144</v>
      </c>
      <c r="R15" s="22">
        <f t="shared" si="3"/>
        <v>0</v>
      </c>
      <c r="S15" s="22">
        <f t="shared" si="4"/>
        <v>1732.8811992799315</v>
      </c>
      <c r="T15" s="22"/>
      <c r="U15" s="22">
        <f t="shared" si="5"/>
        <v>0</v>
      </c>
      <c r="V15" s="22">
        <f t="shared" si="6"/>
        <v>0</v>
      </c>
      <c r="W15" s="21">
        <f t="shared" si="7"/>
        <v>0</v>
      </c>
      <c r="X15" s="19">
        <f t="shared" si="0"/>
        <v>2764.9038912217457</v>
      </c>
      <c r="Y15" s="4"/>
      <c r="Z15" s="8"/>
      <c r="AA15" s="3"/>
      <c r="AB15" s="3"/>
      <c r="AC15" s="3"/>
      <c r="AD15" s="3"/>
      <c r="AE15" s="3"/>
      <c r="AF15" s="8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25">
      <c r="A16" s="25" t="s">
        <v>131</v>
      </c>
      <c r="B16" s="3">
        <v>7</v>
      </c>
      <c r="C16" s="3" t="s">
        <v>36</v>
      </c>
      <c r="D16" s="3"/>
      <c r="E16" s="17" t="s">
        <v>175</v>
      </c>
      <c r="F16" s="8">
        <v>155000</v>
      </c>
      <c r="G16" s="3" t="s">
        <v>57</v>
      </c>
      <c r="H16" s="16"/>
      <c r="I16" s="17" t="s">
        <v>60</v>
      </c>
      <c r="J16" s="3">
        <v>11</v>
      </c>
      <c r="K16" s="3" t="s">
        <v>59</v>
      </c>
      <c r="L16" s="16"/>
      <c r="M16" s="3"/>
      <c r="N16" s="13">
        <f t="shared" si="8"/>
        <v>8</v>
      </c>
      <c r="O16" s="13"/>
      <c r="P16" s="21">
        <f t="shared" si="1"/>
        <v>0</v>
      </c>
      <c r="Q16" s="22">
        <f t="shared" si="2"/>
        <v>992.70754177260233</v>
      </c>
      <c r="R16" s="22">
        <f t="shared" si="3"/>
        <v>0</v>
      </c>
      <c r="S16" s="22">
        <f t="shared" si="4"/>
        <v>1650.3630469332682</v>
      </c>
      <c r="T16" s="22"/>
      <c r="U16" s="22">
        <f t="shared" si="5"/>
        <v>0</v>
      </c>
      <c r="V16" s="22">
        <f t="shared" si="6"/>
        <v>0</v>
      </c>
      <c r="W16" s="21">
        <f t="shared" si="7"/>
        <v>0</v>
      </c>
      <c r="X16" s="19">
        <f t="shared" si="0"/>
        <v>2643.0705887058703</v>
      </c>
      <c r="Y16" s="4"/>
      <c r="Z16" s="8"/>
      <c r="AA16" s="3"/>
      <c r="AB16" s="3"/>
      <c r="AC16" s="3"/>
      <c r="AD16" s="3"/>
      <c r="AE16" s="3"/>
      <c r="AF16" s="8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x14ac:dyDescent="0.25">
      <c r="A17" s="25"/>
      <c r="B17" s="3"/>
      <c r="C17" s="3"/>
      <c r="D17" s="3"/>
      <c r="E17" s="17" t="s">
        <v>64</v>
      </c>
      <c r="F17" s="8">
        <v>0</v>
      </c>
      <c r="G17" s="3" t="s">
        <v>65</v>
      </c>
      <c r="H17" s="16"/>
      <c r="I17" s="17" t="s">
        <v>61</v>
      </c>
      <c r="J17" s="27">
        <v>0.19</v>
      </c>
      <c r="K17" s="3" t="s">
        <v>62</v>
      </c>
      <c r="L17" s="16"/>
      <c r="M17" s="3"/>
      <c r="N17" s="13">
        <f t="shared" si="8"/>
        <v>9</v>
      </c>
      <c r="O17" s="13"/>
      <c r="P17" s="21">
        <f t="shared" si="1"/>
        <v>0</v>
      </c>
      <c r="Q17" s="22">
        <f t="shared" si="2"/>
        <v>954.89011160983659</v>
      </c>
      <c r="R17" s="22">
        <f t="shared" si="3"/>
        <v>0</v>
      </c>
      <c r="S17" s="22">
        <f t="shared" si="4"/>
        <v>1571.7743304126363</v>
      </c>
      <c r="T17" s="22"/>
      <c r="U17" s="22">
        <f t="shared" si="5"/>
        <v>0</v>
      </c>
      <c r="V17" s="22">
        <f t="shared" si="6"/>
        <v>0</v>
      </c>
      <c r="W17" s="21">
        <f t="shared" si="7"/>
        <v>0</v>
      </c>
      <c r="X17" s="19">
        <f t="shared" si="0"/>
        <v>2526.6644420224729</v>
      </c>
      <c r="Y17" s="4"/>
      <c r="Z17" s="8"/>
      <c r="AA17" s="3"/>
      <c r="AB17" s="3"/>
      <c r="AC17" s="3"/>
      <c r="AD17" s="3"/>
      <c r="AE17" s="3"/>
      <c r="AF17" s="8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x14ac:dyDescent="0.25">
      <c r="A18" s="25"/>
      <c r="B18" s="8"/>
      <c r="C18" s="3"/>
      <c r="D18" s="3"/>
      <c r="E18" s="17" t="s">
        <v>46</v>
      </c>
      <c r="F18" s="7">
        <v>242.57999999999998</v>
      </c>
      <c r="G18" s="70" t="s">
        <v>142</v>
      </c>
      <c r="H18" s="16"/>
      <c r="I18" s="3"/>
      <c r="J18" s="3"/>
      <c r="K18" s="3"/>
      <c r="L18" s="16"/>
      <c r="M18" s="3"/>
      <c r="N18" s="13">
        <f t="shared" si="8"/>
        <v>10</v>
      </c>
      <c r="O18" s="13"/>
      <c r="P18" s="21">
        <f t="shared" si="1"/>
        <v>0</v>
      </c>
      <c r="Q18" s="22">
        <f t="shared" si="2"/>
        <v>918.51334545327154</v>
      </c>
      <c r="R18" s="22">
        <f t="shared" si="3"/>
        <v>0</v>
      </c>
      <c r="S18" s="22">
        <f t="shared" si="4"/>
        <v>1496.9279337263204</v>
      </c>
      <c r="T18" s="22"/>
      <c r="U18" s="22">
        <f t="shared" si="5"/>
        <v>5221.3322213641577</v>
      </c>
      <c r="V18" s="22">
        <f t="shared" si="6"/>
        <v>0</v>
      </c>
      <c r="W18" s="21">
        <f t="shared" si="7"/>
        <v>-15163.382228930663</v>
      </c>
      <c r="X18" s="19">
        <f t="shared" si="0"/>
        <v>-7526.6087283869128</v>
      </c>
      <c r="Y18" s="4"/>
      <c r="Z18" s="8"/>
      <c r="AA18" s="3"/>
      <c r="AB18" s="3"/>
      <c r="AC18" s="3"/>
      <c r="AD18" s="3"/>
      <c r="AE18" s="3"/>
      <c r="AF18" s="8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x14ac:dyDescent="0.25">
      <c r="A19" s="25"/>
      <c r="B19" s="3"/>
      <c r="C19" s="3"/>
      <c r="D19" s="3"/>
      <c r="E19" s="17" t="s">
        <v>71</v>
      </c>
      <c r="F19" s="3">
        <v>9.66</v>
      </c>
      <c r="G19" s="3" t="s">
        <v>59</v>
      </c>
      <c r="H19" s="16"/>
      <c r="I19" s="1" t="s">
        <v>66</v>
      </c>
      <c r="J19" s="3"/>
      <c r="K19" s="3"/>
      <c r="L19" s="16"/>
      <c r="M19" s="3"/>
      <c r="N19" s="13">
        <f t="shared" si="8"/>
        <v>0</v>
      </c>
      <c r="O19" s="13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4"/>
        <v>0</v>
      </c>
      <c r="T19" s="22"/>
      <c r="U19" s="22">
        <f t="shared" si="5"/>
        <v>0</v>
      </c>
      <c r="V19" s="22">
        <f t="shared" si="6"/>
        <v>0</v>
      </c>
      <c r="W19" s="21">
        <f t="shared" ref="W19:W48" si="9">IF(N19=$B$5,((((1-$J$15/100)^N19)*$B$52+((1-$J$16/100)^N19)*$B$48)/((1+($F$11/100))^N19))*-1,0)</f>
        <v>0</v>
      </c>
      <c r="X19" s="19">
        <f t="shared" si="0"/>
        <v>0</v>
      </c>
      <c r="Y19" s="4"/>
      <c r="Z19" s="8"/>
      <c r="AA19" s="3"/>
      <c r="AB19" s="3"/>
      <c r="AC19" s="3"/>
      <c r="AD19" s="3"/>
      <c r="AE19" s="3"/>
      <c r="AF19" s="8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x14ac:dyDescent="0.25">
      <c r="A20" s="25"/>
      <c r="B20" s="3"/>
      <c r="C20" s="3"/>
      <c r="D20" s="3"/>
      <c r="E20" s="17"/>
      <c r="F20" s="8"/>
      <c r="G20" s="3"/>
      <c r="H20" s="16"/>
      <c r="I20" s="17" t="s">
        <v>72</v>
      </c>
      <c r="J20" s="3">
        <v>5</v>
      </c>
      <c r="K20" s="3" t="s">
        <v>51</v>
      </c>
      <c r="L20" s="16"/>
      <c r="M20" s="3"/>
      <c r="N20" s="13">
        <f t="shared" si="8"/>
        <v>0</v>
      </c>
      <c r="O20" s="13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4"/>
        <v>0</v>
      </c>
      <c r="T20" s="22"/>
      <c r="U20" s="22">
        <f t="shared" si="5"/>
        <v>0</v>
      </c>
      <c r="V20" s="22">
        <f t="shared" si="6"/>
        <v>0</v>
      </c>
      <c r="W20" s="21">
        <f t="shared" si="9"/>
        <v>0</v>
      </c>
      <c r="X20" s="19">
        <f t="shared" si="0"/>
        <v>0</v>
      </c>
      <c r="Y20" s="4"/>
      <c r="Z20" s="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 ht="15.75" customHeight="1" x14ac:dyDescent="0.25">
      <c r="A21" s="25"/>
      <c r="B21" s="3"/>
      <c r="C21" s="3"/>
      <c r="D21" s="3"/>
      <c r="E21" s="87"/>
      <c r="F21" s="87"/>
      <c r="G21" s="87"/>
      <c r="H21" s="16"/>
      <c r="I21" s="17" t="s">
        <v>75</v>
      </c>
      <c r="J21" s="3">
        <v>30</v>
      </c>
      <c r="K21" s="3" t="s">
        <v>76</v>
      </c>
      <c r="L21" s="16"/>
      <c r="M21" s="3"/>
      <c r="N21" s="13">
        <f t="shared" si="8"/>
        <v>0</v>
      </c>
      <c r="O21" s="13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4"/>
        <v>0</v>
      </c>
      <c r="T21" s="22"/>
      <c r="U21" s="22">
        <f t="shared" si="5"/>
        <v>0</v>
      </c>
      <c r="V21" s="22">
        <f t="shared" si="6"/>
        <v>0</v>
      </c>
      <c r="W21" s="21">
        <f t="shared" si="9"/>
        <v>0</v>
      </c>
      <c r="X21" s="19">
        <f t="shared" si="0"/>
        <v>0</v>
      </c>
      <c r="Y21" s="4"/>
      <c r="Z21" s="8"/>
      <c r="AA21" s="3"/>
      <c r="AB21" s="28" t="s">
        <v>28</v>
      </c>
      <c r="AC21" s="29"/>
      <c r="AD21" s="29"/>
      <c r="AE21" s="29"/>
      <c r="AF21" s="3"/>
      <c r="AG21" s="28" t="s">
        <v>26</v>
      </c>
      <c r="AH21" s="29"/>
      <c r="AI21" s="29"/>
      <c r="AJ21" s="29"/>
      <c r="AK21" s="3"/>
      <c r="AL21" s="116" t="s">
        <v>182</v>
      </c>
      <c r="AM21" s="116" t="s">
        <v>184</v>
      </c>
      <c r="AN21" s="116" t="s">
        <v>185</v>
      </c>
      <c r="AO21" s="116" t="s">
        <v>31</v>
      </c>
      <c r="AP21" s="116" t="s">
        <v>186</v>
      </c>
      <c r="AQ21" s="116" t="s">
        <v>187</v>
      </c>
      <c r="AR21" s="123" t="str">
        <f>AB66</f>
        <v>Energy Efficiency</v>
      </c>
      <c r="AS21" s="3"/>
      <c r="AT21" s="3"/>
      <c r="AU21" s="3"/>
      <c r="AV21" s="3"/>
      <c r="AW21" s="3"/>
      <c r="AX21" s="3"/>
      <c r="AY21" s="3"/>
    </row>
    <row r="22" spans="1:51" ht="15.75" customHeight="1" x14ac:dyDescent="0.25">
      <c r="A22" s="25"/>
      <c r="B22" s="3"/>
      <c r="C22" s="3"/>
      <c r="D22" s="3"/>
      <c r="E22" s="87"/>
      <c r="F22" s="87"/>
      <c r="G22" s="87"/>
      <c r="H22" s="16"/>
      <c r="I22" s="87"/>
      <c r="J22" s="87"/>
      <c r="K22" s="87"/>
      <c r="L22" s="16"/>
      <c r="M22" s="3"/>
      <c r="N22" s="13">
        <f t="shared" si="8"/>
        <v>0</v>
      </c>
      <c r="O22" s="13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4"/>
        <v>0</v>
      </c>
      <c r="T22" s="22"/>
      <c r="U22" s="22">
        <f t="shared" si="5"/>
        <v>0</v>
      </c>
      <c r="V22" s="22">
        <f t="shared" si="6"/>
        <v>0</v>
      </c>
      <c r="W22" s="21">
        <f t="shared" si="9"/>
        <v>0</v>
      </c>
      <c r="X22" s="19">
        <f t="shared" si="0"/>
        <v>0</v>
      </c>
      <c r="Y22" s="4"/>
      <c r="Z22" s="8"/>
      <c r="AA22" s="3"/>
      <c r="AB22" s="29" t="s">
        <v>67</v>
      </c>
      <c r="AC22" s="29" t="s">
        <v>68</v>
      </c>
      <c r="AD22" s="29" t="s">
        <v>22</v>
      </c>
      <c r="AE22" s="29" t="s">
        <v>69</v>
      </c>
      <c r="AF22" s="3"/>
      <c r="AG22" s="29" t="s">
        <v>67</v>
      </c>
      <c r="AH22" s="29" t="s">
        <v>70</v>
      </c>
      <c r="AI22" s="29" t="s">
        <v>22</v>
      </c>
      <c r="AJ22" s="29" t="s">
        <v>69</v>
      </c>
      <c r="AK22" s="3"/>
      <c r="AL22" s="117">
        <v>-50</v>
      </c>
      <c r="AM22" s="118">
        <f>AJ24</f>
        <v>-36.538670119701159</v>
      </c>
      <c r="AN22" s="118">
        <f>AE24</f>
        <v>-5.5794284980726756</v>
      </c>
      <c r="AO22" s="119">
        <f t="shared" ref="AO22:AO32" si="10">AE39</f>
        <v>-5.2001369358462588</v>
      </c>
      <c r="AP22" s="119">
        <f t="shared" ref="AP22:AP32" si="11">AJ39</f>
        <v>-21.46373193181746</v>
      </c>
      <c r="AQ22" s="119">
        <f>AE54</f>
        <v>-9.3934613487420044</v>
      </c>
      <c r="AR22" s="124">
        <f>AE69</f>
        <v>5.5794284980726614</v>
      </c>
      <c r="AS22" s="3"/>
      <c r="AT22" s="3"/>
      <c r="AU22" s="3"/>
      <c r="AV22" s="3"/>
      <c r="AW22" s="3"/>
      <c r="AX22" s="3"/>
      <c r="AY22" s="3"/>
    </row>
    <row r="23" spans="1:51" ht="15.75" customHeight="1" x14ac:dyDescent="0.25">
      <c r="A23" s="3"/>
      <c r="B23" s="3"/>
      <c r="C23" s="3"/>
      <c r="D23" s="3"/>
      <c r="E23" s="87"/>
      <c r="F23" s="87"/>
      <c r="G23" s="87"/>
      <c r="H23" s="16"/>
      <c r="I23" s="79" t="s">
        <v>146</v>
      </c>
      <c r="J23" s="80"/>
      <c r="K23" s="80"/>
      <c r="L23" s="81"/>
      <c r="M23" s="3"/>
      <c r="N23" s="13">
        <f t="shared" si="8"/>
        <v>0</v>
      </c>
      <c r="O23" s="13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4"/>
        <v>0</v>
      </c>
      <c r="T23" s="22"/>
      <c r="U23" s="22">
        <f t="shared" si="5"/>
        <v>0</v>
      </c>
      <c r="V23" s="22">
        <f t="shared" si="6"/>
        <v>0</v>
      </c>
      <c r="W23" s="21">
        <f t="shared" si="9"/>
        <v>0</v>
      </c>
      <c r="X23" s="19">
        <f t="shared" si="0"/>
        <v>0</v>
      </c>
      <c r="Y23" s="4"/>
      <c r="Z23" s="8"/>
      <c r="AA23" s="3"/>
      <c r="AB23" s="29" t="s">
        <v>73</v>
      </c>
      <c r="AC23" s="30">
        <v>0.18</v>
      </c>
      <c r="AD23" s="31">
        <f>X49</f>
        <v>98643.956375704976</v>
      </c>
      <c r="AE23" s="29"/>
      <c r="AF23" s="3"/>
      <c r="AG23" s="29" t="s">
        <v>73</v>
      </c>
      <c r="AH23" s="32">
        <v>60127.804354838714</v>
      </c>
      <c r="AI23" s="31">
        <f>X49</f>
        <v>98643.956375704976</v>
      </c>
      <c r="AJ23" s="29"/>
      <c r="AK23" s="3"/>
      <c r="AL23" s="117">
        <v>-40</v>
      </c>
      <c r="AM23" s="118">
        <f>AJ25</f>
        <v>-29.230936095760928</v>
      </c>
      <c r="AN23" s="118">
        <f t="shared" ref="AN23:AN32" si="12">AE25</f>
        <v>-4.4635427984581488</v>
      </c>
      <c r="AO23" s="119">
        <f t="shared" si="10"/>
        <v>-4.1601095486770152</v>
      </c>
      <c r="AP23" s="119">
        <f t="shared" si="11"/>
        <v>-18.191265735245178</v>
      </c>
      <c r="AQ23" s="119">
        <f t="shared" ref="AQ23:AQ32" si="13">AE55</f>
        <v>-7.5147690789936163</v>
      </c>
      <c r="AR23" s="124">
        <f t="shared" ref="AR23:AR32" si="14">AE70</f>
        <v>4.4635427984581053</v>
      </c>
      <c r="AS23" s="33"/>
      <c r="AT23" s="33"/>
      <c r="AU23" s="33"/>
      <c r="AV23" s="33"/>
      <c r="AW23" s="33"/>
      <c r="AX23" s="33"/>
      <c r="AY23" s="33"/>
    </row>
    <row r="24" spans="1:51" ht="15.75" customHeight="1" x14ac:dyDescent="0.25">
      <c r="A24" s="15"/>
      <c r="B24" s="3"/>
      <c r="C24" s="3"/>
      <c r="D24" s="3"/>
      <c r="E24" s="3"/>
      <c r="F24" s="7"/>
      <c r="G24" s="3"/>
      <c r="H24" s="16"/>
      <c r="I24" s="80" t="s">
        <v>147</v>
      </c>
      <c r="J24" s="82" t="s">
        <v>145</v>
      </c>
      <c r="K24" s="80"/>
      <c r="L24" s="81"/>
      <c r="M24" s="3"/>
      <c r="N24" s="13">
        <f t="shared" si="8"/>
        <v>0</v>
      </c>
      <c r="O24" s="13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4"/>
        <v>0</v>
      </c>
      <c r="T24" s="22"/>
      <c r="U24" s="22">
        <f t="shared" si="5"/>
        <v>0</v>
      </c>
      <c r="V24" s="22">
        <f t="shared" si="6"/>
        <v>0</v>
      </c>
      <c r="W24" s="21">
        <f t="shared" si="9"/>
        <v>0</v>
      </c>
      <c r="X24" s="19">
        <f t="shared" si="0"/>
        <v>0</v>
      </c>
      <c r="Y24" s="4"/>
      <c r="Z24" s="8"/>
      <c r="AA24" s="3"/>
      <c r="AB24" s="29">
        <f t="shared" ref="AB24:AB28" si="15">AB25-10</f>
        <v>-50</v>
      </c>
      <c r="AC24" s="30">
        <f t="shared" ref="AC24:AC34" si="16">$AC$23*(1+(AB24/100))</f>
        <v>0.09</v>
      </c>
      <c r="AD24" s="31">
        <f t="dataTable" ref="AD24:AD34" dt2D="0" dtr="0" r1="F36" ca="1"/>
        <v>93140.187362052515</v>
      </c>
      <c r="AE24" s="34">
        <f t="shared" ref="AE24:AE34" si="17">100*((AD24-$AD$29)/$AD$29)</f>
        <v>-5.5794284980726756</v>
      </c>
      <c r="AF24" s="3"/>
      <c r="AG24" s="29">
        <f t="shared" ref="AG24:AG28" si="18">AG25-10</f>
        <v>-50</v>
      </c>
      <c r="AH24" s="32">
        <f t="shared" ref="AH24:AH34" si="19">$AH$23*(1+(AG24/100))</f>
        <v>30063.902177419357</v>
      </c>
      <c r="AI24" s="31">
        <f t="dataTable" ref="AI24:AI34" dt2D="0" dtr="0" r1="B52" ca="1"/>
        <v>62600.766562564211</v>
      </c>
      <c r="AJ24" s="34">
        <f t="shared" ref="AJ24:AJ34" si="20">100*((AI24-$AI$29)/$AI$29)</f>
        <v>-36.538670119701159</v>
      </c>
      <c r="AK24" s="3"/>
      <c r="AL24" s="117">
        <v>-30</v>
      </c>
      <c r="AM24" s="118">
        <f t="shared" ref="AM24:AM32" si="21">AJ26</f>
        <v>-21.923202071820675</v>
      </c>
      <c r="AN24" s="118">
        <f t="shared" si="12"/>
        <v>-3.3476570988436087</v>
      </c>
      <c r="AO24" s="119">
        <f t="shared" si="10"/>
        <v>-3.1200821615077583</v>
      </c>
      <c r="AP24" s="119">
        <f t="shared" si="11"/>
        <v>-14.904905127312402</v>
      </c>
      <c r="AQ24" s="119">
        <f t="shared" si="13"/>
        <v>-5.6360768092452123</v>
      </c>
      <c r="AR24" s="124">
        <f t="shared" si="14"/>
        <v>3.347657098843579</v>
      </c>
      <c r="AS24" s="33"/>
      <c r="AT24" s="33"/>
      <c r="AU24" s="33"/>
      <c r="AV24" s="33"/>
      <c r="AW24" s="33"/>
      <c r="AX24" s="33"/>
      <c r="AY24" s="33"/>
    </row>
    <row r="25" spans="1:51" ht="15.75" customHeight="1" x14ac:dyDescent="0.25">
      <c r="A25" s="15"/>
      <c r="B25" s="3"/>
      <c r="C25" s="3"/>
      <c r="D25" s="3"/>
      <c r="E25" s="3"/>
      <c r="F25" s="3"/>
      <c r="G25" s="3"/>
      <c r="H25" s="16"/>
      <c r="I25" s="83" t="s">
        <v>148</v>
      </c>
      <c r="J25" s="83">
        <v>1.3</v>
      </c>
      <c r="K25" s="83" t="s">
        <v>149</v>
      </c>
      <c r="L25" s="81"/>
      <c r="M25" s="3"/>
      <c r="N25" s="13">
        <f t="shared" si="8"/>
        <v>0</v>
      </c>
      <c r="O25" s="13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4"/>
        <v>0</v>
      </c>
      <c r="T25" s="22"/>
      <c r="U25" s="22">
        <f t="shared" si="5"/>
        <v>0</v>
      </c>
      <c r="V25" s="22">
        <f t="shared" si="6"/>
        <v>0</v>
      </c>
      <c r="W25" s="21">
        <f t="shared" si="9"/>
        <v>0</v>
      </c>
      <c r="X25" s="19">
        <f t="shared" si="0"/>
        <v>0</v>
      </c>
      <c r="Y25" s="4"/>
      <c r="Z25" s="8"/>
      <c r="AA25" s="3"/>
      <c r="AB25" s="29">
        <f t="shared" si="15"/>
        <v>-40</v>
      </c>
      <c r="AC25" s="30">
        <f t="shared" si="16"/>
        <v>0.108</v>
      </c>
      <c r="AD25" s="31">
        <v>94240.941164782998</v>
      </c>
      <c r="AE25" s="34">
        <f t="shared" si="17"/>
        <v>-4.4635427984581488</v>
      </c>
      <c r="AF25" s="3"/>
      <c r="AG25" s="29">
        <f t="shared" si="18"/>
        <v>-40</v>
      </c>
      <c r="AH25" s="32">
        <f t="shared" si="19"/>
        <v>36076.682612903227</v>
      </c>
      <c r="AI25" s="31">
        <v>69809.404525192367</v>
      </c>
      <c r="AJ25" s="34">
        <f t="shared" si="20"/>
        <v>-29.230936095760928</v>
      </c>
      <c r="AK25" s="3"/>
      <c r="AL25" s="117">
        <v>-20</v>
      </c>
      <c r="AM25" s="118">
        <f t="shared" si="21"/>
        <v>-14.615468047880443</v>
      </c>
      <c r="AN25" s="118">
        <f t="shared" si="12"/>
        <v>-2.2317713992290673</v>
      </c>
      <c r="AO25" s="119">
        <f t="shared" si="10"/>
        <v>-2.0800547743385005</v>
      </c>
      <c r="AP25" s="119">
        <f t="shared" si="11"/>
        <v>-11.603955387451188</v>
      </c>
      <c r="AQ25" s="119">
        <f t="shared" si="13"/>
        <v>-3.7573845394968228</v>
      </c>
      <c r="AR25" s="124">
        <f t="shared" si="14"/>
        <v>2.2317713992290527</v>
      </c>
      <c r="AS25" s="33"/>
      <c r="AT25" s="33"/>
      <c r="AU25" s="33"/>
      <c r="AV25" s="33"/>
      <c r="AW25" s="33"/>
      <c r="AX25" s="33"/>
      <c r="AY25" s="33"/>
    </row>
    <row r="26" spans="1:51" ht="15.75" customHeight="1" x14ac:dyDescent="0.25">
      <c r="A26" s="36"/>
      <c r="B26" s="37"/>
      <c r="C26" s="37"/>
      <c r="D26" s="37"/>
      <c r="E26" s="37"/>
      <c r="F26" s="37"/>
      <c r="G26" s="37"/>
      <c r="H26" s="38"/>
      <c r="I26" s="84" t="s">
        <v>150</v>
      </c>
      <c r="J26" s="85">
        <f>J12/2</f>
        <v>100</v>
      </c>
      <c r="K26" s="84" t="s">
        <v>151</v>
      </c>
      <c r="L26" s="86"/>
      <c r="M26" s="3"/>
      <c r="N26" s="13">
        <f t="shared" si="8"/>
        <v>0</v>
      </c>
      <c r="O26" s="13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4"/>
        <v>0</v>
      </c>
      <c r="T26" s="22"/>
      <c r="U26" s="22">
        <f t="shared" si="5"/>
        <v>0</v>
      </c>
      <c r="V26" s="22">
        <f t="shared" si="6"/>
        <v>0</v>
      </c>
      <c r="W26" s="21">
        <f t="shared" si="9"/>
        <v>0</v>
      </c>
      <c r="X26" s="19">
        <f t="shared" si="0"/>
        <v>0</v>
      </c>
      <c r="Y26" s="4"/>
      <c r="Z26" s="8"/>
      <c r="AA26" s="3"/>
      <c r="AB26" s="29">
        <f t="shared" si="15"/>
        <v>-30</v>
      </c>
      <c r="AC26" s="30">
        <f t="shared" si="16"/>
        <v>0.126</v>
      </c>
      <c r="AD26" s="31">
        <v>95341.694967513497</v>
      </c>
      <c r="AE26" s="34">
        <f t="shared" si="17"/>
        <v>-3.3476570988436087</v>
      </c>
      <c r="AF26" s="3"/>
      <c r="AG26" s="29">
        <f t="shared" si="18"/>
        <v>-30</v>
      </c>
      <c r="AH26" s="32">
        <f t="shared" si="19"/>
        <v>42089.463048387101</v>
      </c>
      <c r="AI26" s="31">
        <v>77018.042487820538</v>
      </c>
      <c r="AJ26" s="34">
        <f t="shared" si="20"/>
        <v>-21.923202071820675</v>
      </c>
      <c r="AK26" s="3"/>
      <c r="AL26" s="117">
        <v>-10</v>
      </c>
      <c r="AM26" s="118">
        <f t="shared" si="21"/>
        <v>-7.3077340239402364</v>
      </c>
      <c r="AN26" s="118">
        <f t="shared" si="12"/>
        <v>-1.115885699614541</v>
      </c>
      <c r="AO26" s="119">
        <f t="shared" si="10"/>
        <v>-1.0400273871692725</v>
      </c>
      <c r="AP26" s="119">
        <f t="shared" si="11"/>
        <v>-2.9945779693629304</v>
      </c>
      <c r="AQ26" s="119">
        <f t="shared" si="13"/>
        <v>-1.878692269748419</v>
      </c>
      <c r="AR26" s="124">
        <f t="shared" si="14"/>
        <v>1.1158856996145263</v>
      </c>
      <c r="AS26" s="33"/>
      <c r="AT26" s="33"/>
      <c r="AU26" s="33"/>
      <c r="AV26" s="33"/>
      <c r="AW26" s="33"/>
      <c r="AX26" s="33"/>
      <c r="AY26" s="33"/>
    </row>
    <row r="27" spans="1:5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8"/>
      <c r="K27" s="3"/>
      <c r="L27" s="3"/>
      <c r="M27" s="3"/>
      <c r="N27" s="13">
        <f t="shared" si="8"/>
        <v>0</v>
      </c>
      <c r="O27" s="13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4"/>
        <v>0</v>
      </c>
      <c r="T27" s="22"/>
      <c r="U27" s="22">
        <f t="shared" si="5"/>
        <v>0</v>
      </c>
      <c r="V27" s="22">
        <f t="shared" si="6"/>
        <v>0</v>
      </c>
      <c r="W27" s="21">
        <f t="shared" si="9"/>
        <v>0</v>
      </c>
      <c r="X27" s="19">
        <f t="shared" si="0"/>
        <v>0</v>
      </c>
      <c r="Y27" s="4"/>
      <c r="Z27" s="8"/>
      <c r="AA27" s="3"/>
      <c r="AB27" s="29">
        <f t="shared" si="15"/>
        <v>-20</v>
      </c>
      <c r="AC27" s="30">
        <f t="shared" si="16"/>
        <v>0.14399999999999999</v>
      </c>
      <c r="AD27" s="31">
        <v>96442.448770243995</v>
      </c>
      <c r="AE27" s="34">
        <f t="shared" si="17"/>
        <v>-2.2317713992290673</v>
      </c>
      <c r="AF27" s="3"/>
      <c r="AG27" s="29">
        <f t="shared" si="18"/>
        <v>-20</v>
      </c>
      <c r="AH27" s="32">
        <f t="shared" si="19"/>
        <v>48102.243483870974</v>
      </c>
      <c r="AI27" s="31">
        <v>84226.680450448694</v>
      </c>
      <c r="AJ27" s="34">
        <f t="shared" si="20"/>
        <v>-14.615468047880443</v>
      </c>
      <c r="AK27" s="3"/>
      <c r="AL27" s="117">
        <v>0</v>
      </c>
      <c r="AM27" s="118">
        <f t="shared" si="21"/>
        <v>0</v>
      </c>
      <c r="AN27" s="118">
        <f t="shared" si="12"/>
        <v>0</v>
      </c>
      <c r="AO27" s="119">
        <f t="shared" si="10"/>
        <v>0</v>
      </c>
      <c r="AP27" s="119">
        <f t="shared" si="11"/>
        <v>0</v>
      </c>
      <c r="AQ27" s="119">
        <f t="shared" si="13"/>
        <v>0</v>
      </c>
      <c r="AR27" s="124">
        <f t="shared" si="14"/>
        <v>0</v>
      </c>
      <c r="AS27" s="33"/>
      <c r="AT27" s="33"/>
      <c r="AU27" s="33"/>
      <c r="AV27" s="33"/>
      <c r="AW27" s="33"/>
      <c r="AX27" s="33"/>
      <c r="AY27" s="33"/>
    </row>
    <row r="28" spans="1:51" ht="15.75" customHeight="1" x14ac:dyDescent="0.25">
      <c r="A28" s="1" t="s">
        <v>77</v>
      </c>
      <c r="B28" s="3"/>
      <c r="C28" s="3"/>
      <c r="D28" s="3"/>
      <c r="E28" s="3"/>
      <c r="F28" s="3"/>
      <c r="G28" s="3"/>
      <c r="H28" s="3"/>
      <c r="I28" s="3"/>
      <c r="J28" s="8"/>
      <c r="K28" s="3"/>
      <c r="L28" s="3"/>
      <c r="M28" s="3"/>
      <c r="N28" s="13">
        <f t="shared" si="8"/>
        <v>0</v>
      </c>
      <c r="O28" s="13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4"/>
        <v>0</v>
      </c>
      <c r="T28" s="22"/>
      <c r="U28" s="22">
        <f t="shared" si="5"/>
        <v>0</v>
      </c>
      <c r="V28" s="22">
        <f t="shared" si="6"/>
        <v>0</v>
      </c>
      <c r="W28" s="21">
        <f t="shared" si="9"/>
        <v>0</v>
      </c>
      <c r="X28" s="19">
        <f t="shared" si="0"/>
        <v>0</v>
      </c>
      <c r="Y28" s="4"/>
      <c r="Z28" s="8"/>
      <c r="AA28" s="3"/>
      <c r="AB28" s="29">
        <f t="shared" si="15"/>
        <v>-10</v>
      </c>
      <c r="AC28" s="30">
        <f t="shared" si="16"/>
        <v>0.16200000000000001</v>
      </c>
      <c r="AD28" s="31">
        <v>97543.202572974478</v>
      </c>
      <c r="AE28" s="34">
        <f t="shared" si="17"/>
        <v>-1.115885699614541</v>
      </c>
      <c r="AF28" s="3"/>
      <c r="AG28" s="29">
        <f t="shared" si="18"/>
        <v>-10</v>
      </c>
      <c r="AH28" s="32">
        <f t="shared" si="19"/>
        <v>54115.02391935484</v>
      </c>
      <c r="AI28" s="31">
        <v>91435.31841307682</v>
      </c>
      <c r="AJ28" s="34">
        <f t="shared" si="20"/>
        <v>-7.3077340239402364</v>
      </c>
      <c r="AK28" s="3"/>
      <c r="AL28" s="117">
        <v>10</v>
      </c>
      <c r="AM28" s="118">
        <f t="shared" si="21"/>
        <v>7.3077340239402364</v>
      </c>
      <c r="AN28" s="118">
        <f t="shared" si="12"/>
        <v>1.1158856996145263</v>
      </c>
      <c r="AO28" s="119">
        <f t="shared" si="10"/>
        <v>1.040027387169228</v>
      </c>
      <c r="AP28" s="119">
        <f t="shared" si="11"/>
        <v>2.9945779693629158</v>
      </c>
      <c r="AQ28" s="119">
        <f t="shared" si="13"/>
        <v>1.8786922697483746</v>
      </c>
      <c r="AR28" s="124">
        <f t="shared" si="14"/>
        <v>-1.115885699614541</v>
      </c>
      <c r="AS28" s="33"/>
      <c r="AT28" s="33"/>
      <c r="AU28" s="33"/>
      <c r="AV28" s="33"/>
      <c r="AW28" s="33"/>
      <c r="AX28" s="33"/>
      <c r="AY28" s="33"/>
    </row>
    <row r="29" spans="1:5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8"/>
      <c r="K29" s="3"/>
      <c r="L29" s="3"/>
      <c r="M29" s="3"/>
      <c r="N29" s="13">
        <f t="shared" si="8"/>
        <v>0</v>
      </c>
      <c r="O29" s="13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4"/>
        <v>0</v>
      </c>
      <c r="T29" s="22"/>
      <c r="U29" s="22">
        <f t="shared" si="5"/>
        <v>0</v>
      </c>
      <c r="V29" s="22">
        <f t="shared" si="6"/>
        <v>0</v>
      </c>
      <c r="W29" s="21">
        <f t="shared" si="9"/>
        <v>0</v>
      </c>
      <c r="X29" s="19">
        <f t="shared" si="0"/>
        <v>0</v>
      </c>
      <c r="Y29" s="4"/>
      <c r="Z29" s="8"/>
      <c r="AA29" s="3"/>
      <c r="AB29" s="39">
        <v>0</v>
      </c>
      <c r="AC29" s="51">
        <f t="shared" si="16"/>
        <v>0.18</v>
      </c>
      <c r="AD29" s="40">
        <v>98643.956375704976</v>
      </c>
      <c r="AE29" s="52">
        <f t="shared" si="17"/>
        <v>0</v>
      </c>
      <c r="AF29" s="3"/>
      <c r="AG29" s="39">
        <v>0</v>
      </c>
      <c r="AH29" s="45">
        <f t="shared" si="19"/>
        <v>60127.804354838714</v>
      </c>
      <c r="AI29" s="40">
        <v>98643.956375704976</v>
      </c>
      <c r="AJ29" s="52">
        <f t="shared" si="20"/>
        <v>0</v>
      </c>
      <c r="AK29" s="3"/>
      <c r="AL29" s="117">
        <v>20</v>
      </c>
      <c r="AM29" s="118">
        <f t="shared" si="21"/>
        <v>14.615468047880457</v>
      </c>
      <c r="AN29" s="118">
        <f t="shared" si="12"/>
        <v>2.2317713992290527</v>
      </c>
      <c r="AO29" s="119">
        <f t="shared" si="10"/>
        <v>2.0800547743385005</v>
      </c>
      <c r="AP29" s="119">
        <f t="shared" si="11"/>
        <v>6.8694744973947248</v>
      </c>
      <c r="AQ29" s="119">
        <f t="shared" si="13"/>
        <v>3.7573845394968082</v>
      </c>
      <c r="AR29" s="124">
        <f t="shared" si="14"/>
        <v>-2.2317713992290673</v>
      </c>
      <c r="AS29" s="33"/>
      <c r="AT29" s="33"/>
      <c r="AU29" s="33"/>
      <c r="AV29" s="33"/>
      <c r="AW29" s="33"/>
      <c r="AX29" s="33"/>
      <c r="AY29" s="33"/>
    </row>
    <row r="30" spans="1:51" ht="15.75" customHeight="1" x14ac:dyDescent="0.25">
      <c r="A30" s="9" t="s">
        <v>78</v>
      </c>
      <c r="B30" s="10"/>
      <c r="C30" s="10"/>
      <c r="D30" s="10"/>
      <c r="E30" s="12" t="s">
        <v>79</v>
      </c>
      <c r="F30" s="10"/>
      <c r="G30" s="10"/>
      <c r="H30" s="10"/>
      <c r="I30" s="12" t="s">
        <v>80</v>
      </c>
      <c r="J30" s="41"/>
      <c r="K30" s="10"/>
      <c r="L30" s="11"/>
      <c r="M30" s="3"/>
      <c r="N30" s="13">
        <f t="shared" si="8"/>
        <v>0</v>
      </c>
      <c r="O30" s="13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4"/>
        <v>0</v>
      </c>
      <c r="T30" s="22"/>
      <c r="U30" s="22">
        <f t="shared" si="5"/>
        <v>0</v>
      </c>
      <c r="V30" s="22">
        <f t="shared" si="6"/>
        <v>0</v>
      </c>
      <c r="W30" s="21">
        <f t="shared" si="9"/>
        <v>0</v>
      </c>
      <c r="X30" s="19">
        <f t="shared" si="0"/>
        <v>0</v>
      </c>
      <c r="Y30" s="4"/>
      <c r="Z30" s="8"/>
      <c r="AA30" s="3"/>
      <c r="AB30" s="29">
        <f t="shared" ref="AB30:AB34" si="22">AB29+10</f>
        <v>10</v>
      </c>
      <c r="AC30" s="30">
        <f t="shared" si="16"/>
        <v>0.19800000000000001</v>
      </c>
      <c r="AD30" s="31">
        <v>99744.71017843546</v>
      </c>
      <c r="AE30" s="34">
        <f t="shared" si="17"/>
        <v>1.1158856996145263</v>
      </c>
      <c r="AF30" s="3"/>
      <c r="AG30" s="29">
        <f t="shared" ref="AG30:AG34" si="23">AG29+10</f>
        <v>10</v>
      </c>
      <c r="AH30" s="32">
        <f t="shared" si="19"/>
        <v>66140.584790322595</v>
      </c>
      <c r="AI30" s="31">
        <v>105852.59433833313</v>
      </c>
      <c r="AJ30" s="34">
        <f t="shared" si="20"/>
        <v>7.3077340239402364</v>
      </c>
      <c r="AK30" s="3"/>
      <c r="AL30" s="117">
        <v>30</v>
      </c>
      <c r="AM30" s="118">
        <f t="shared" si="21"/>
        <v>21.923202071820707</v>
      </c>
      <c r="AN30" s="118">
        <f t="shared" si="12"/>
        <v>3.347657098843579</v>
      </c>
      <c r="AO30" s="119">
        <f t="shared" si="10"/>
        <v>3.1200821615077583</v>
      </c>
      <c r="AP30" s="119">
        <f t="shared" si="11"/>
        <v>9.8640524667576397</v>
      </c>
      <c r="AQ30" s="119">
        <f t="shared" si="13"/>
        <v>5.6360768092452123</v>
      </c>
      <c r="AR30" s="124">
        <f t="shared" si="14"/>
        <v>-3.3476570988436087</v>
      </c>
      <c r="AS30" s="33"/>
      <c r="AT30" s="33"/>
      <c r="AU30" s="33"/>
      <c r="AV30" s="33"/>
      <c r="AW30" s="33"/>
      <c r="AX30" s="33"/>
      <c r="AY30" s="33"/>
    </row>
    <row r="31" spans="1:51" ht="15.75" customHeight="1" x14ac:dyDescent="0.25">
      <c r="A31" s="25" t="s">
        <v>167</v>
      </c>
      <c r="B31" s="8">
        <f t="shared" ref="B31:B32" si="24">IF(B11=0,0,-(B11/100)*$B$50)</f>
        <v>0</v>
      </c>
      <c r="C31" s="3" t="s">
        <v>3</v>
      </c>
      <c r="D31" s="3"/>
      <c r="E31" s="17" t="s">
        <v>81</v>
      </c>
      <c r="F31" s="24">
        <f>(J21/100)*B52</f>
        <v>18038.341306451613</v>
      </c>
      <c r="G31" s="3" t="s">
        <v>3</v>
      </c>
      <c r="H31" s="3"/>
      <c r="I31" s="17" t="s">
        <v>82</v>
      </c>
      <c r="J31" s="33">
        <f>ROUNDUP(J11/(F12/J12),0)</f>
        <v>5</v>
      </c>
      <c r="K31" s="3" t="s">
        <v>51</v>
      </c>
      <c r="L31" s="16"/>
      <c r="M31" s="3"/>
      <c r="N31" s="13">
        <f t="shared" si="8"/>
        <v>0</v>
      </c>
      <c r="O31" s="13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4"/>
        <v>0</v>
      </c>
      <c r="T31" s="22"/>
      <c r="U31" s="22">
        <f t="shared" si="5"/>
        <v>0</v>
      </c>
      <c r="V31" s="22">
        <f t="shared" si="6"/>
        <v>0</v>
      </c>
      <c r="W31" s="21">
        <f t="shared" si="9"/>
        <v>0</v>
      </c>
      <c r="X31" s="19">
        <f t="shared" si="0"/>
        <v>0</v>
      </c>
      <c r="Y31" s="4"/>
      <c r="Z31" s="8"/>
      <c r="AA31" s="3"/>
      <c r="AB31" s="29">
        <f t="shared" si="22"/>
        <v>20</v>
      </c>
      <c r="AC31" s="30">
        <f t="shared" si="16"/>
        <v>0.216</v>
      </c>
      <c r="AD31" s="31">
        <v>100845.46398116594</v>
      </c>
      <c r="AE31" s="34">
        <f t="shared" si="17"/>
        <v>2.2317713992290527</v>
      </c>
      <c r="AF31" s="3"/>
      <c r="AG31" s="29">
        <f t="shared" si="23"/>
        <v>20</v>
      </c>
      <c r="AH31" s="32">
        <f t="shared" si="19"/>
        <v>72153.365225806454</v>
      </c>
      <c r="AI31" s="31">
        <v>113061.23230096127</v>
      </c>
      <c r="AJ31" s="34">
        <f t="shared" si="20"/>
        <v>14.615468047880457</v>
      </c>
      <c r="AK31" s="3"/>
      <c r="AL31" s="117">
        <v>40</v>
      </c>
      <c r="AM31" s="118">
        <f t="shared" si="21"/>
        <v>29.230936095760914</v>
      </c>
      <c r="AN31" s="118">
        <f t="shared" si="12"/>
        <v>4.4635427984581053</v>
      </c>
      <c r="AO31" s="119">
        <f t="shared" si="10"/>
        <v>4.1601095486770152</v>
      </c>
      <c r="AP31" s="119">
        <f t="shared" si="11"/>
        <v>12.858630436120572</v>
      </c>
      <c r="AQ31" s="119">
        <f t="shared" si="13"/>
        <v>7.5147690789936012</v>
      </c>
      <c r="AR31" s="124">
        <f t="shared" si="14"/>
        <v>-4.4635427984581488</v>
      </c>
      <c r="AS31" s="33"/>
      <c r="AT31" s="33"/>
      <c r="AU31" s="33"/>
      <c r="AV31" s="33"/>
      <c r="AW31" s="33"/>
      <c r="AX31" s="33"/>
      <c r="AY31" s="33"/>
    </row>
    <row r="32" spans="1:51" ht="15.75" customHeight="1" x14ac:dyDescent="0.25">
      <c r="A32" s="25" t="s">
        <v>42</v>
      </c>
      <c r="B32" s="8">
        <f t="shared" si="24"/>
        <v>0</v>
      </c>
      <c r="C32" s="3" t="s">
        <v>3</v>
      </c>
      <c r="D32" s="3"/>
      <c r="E32" s="17" t="s">
        <v>83</v>
      </c>
      <c r="F32" s="8">
        <f>B52-F31</f>
        <v>42089.463048387101</v>
      </c>
      <c r="G32" s="3" t="s">
        <v>3</v>
      </c>
      <c r="H32" s="3"/>
      <c r="I32" s="17" t="s">
        <v>56</v>
      </c>
      <c r="J32" s="95">
        <f>IF(J24="Yes",SUM(F50:F51),0)</f>
        <v>0</v>
      </c>
      <c r="K32" s="3" t="s">
        <v>47</v>
      </c>
      <c r="L32" s="16"/>
      <c r="M32" s="3"/>
      <c r="N32" s="13">
        <f t="shared" si="8"/>
        <v>0</v>
      </c>
      <c r="O32" s="13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4"/>
        <v>0</v>
      </c>
      <c r="T32" s="22"/>
      <c r="U32" s="22">
        <f t="shared" si="5"/>
        <v>0</v>
      </c>
      <c r="V32" s="22">
        <f t="shared" si="6"/>
        <v>0</v>
      </c>
      <c r="W32" s="21">
        <f t="shared" si="9"/>
        <v>0</v>
      </c>
      <c r="X32" s="19">
        <f t="shared" si="0"/>
        <v>0</v>
      </c>
      <c r="Y32" s="4"/>
      <c r="Z32" s="8"/>
      <c r="AA32" s="3"/>
      <c r="AB32" s="29">
        <f t="shared" si="22"/>
        <v>30</v>
      </c>
      <c r="AC32" s="30">
        <f t="shared" si="16"/>
        <v>0.23399999999999999</v>
      </c>
      <c r="AD32" s="31">
        <v>101946.21778389643</v>
      </c>
      <c r="AE32" s="34">
        <f t="shared" si="17"/>
        <v>3.347657098843579</v>
      </c>
      <c r="AF32" s="3"/>
      <c r="AG32" s="29">
        <f t="shared" si="23"/>
        <v>30</v>
      </c>
      <c r="AH32" s="32">
        <f t="shared" si="19"/>
        <v>78166.145661290328</v>
      </c>
      <c r="AI32" s="31">
        <v>120269.87026358944</v>
      </c>
      <c r="AJ32" s="34">
        <f t="shared" si="20"/>
        <v>21.923202071820707</v>
      </c>
      <c r="AK32" s="3"/>
      <c r="AL32" s="117">
        <v>50</v>
      </c>
      <c r="AM32" s="118">
        <f t="shared" si="21"/>
        <v>36.538670119701159</v>
      </c>
      <c r="AN32" s="118">
        <f t="shared" si="12"/>
        <v>5.5794284980726614</v>
      </c>
      <c r="AO32" s="119">
        <f t="shared" si="10"/>
        <v>5.2001369358462588</v>
      </c>
      <c r="AP32" s="119">
        <f t="shared" si="11"/>
        <v>22.36379097956188</v>
      </c>
      <c r="AQ32" s="119">
        <f t="shared" si="13"/>
        <v>9.393461348741976</v>
      </c>
      <c r="AR32" s="124">
        <f t="shared" si="14"/>
        <v>-5.5794284980726756</v>
      </c>
      <c r="AS32" s="33"/>
      <c r="AT32" s="33"/>
      <c r="AU32" s="33"/>
      <c r="AV32" s="33"/>
      <c r="AW32" s="33"/>
      <c r="AX32" s="33"/>
      <c r="AY32" s="33"/>
    </row>
    <row r="33" spans="1:51" ht="15.75" customHeight="1" x14ac:dyDescent="0.25">
      <c r="A33" s="25" t="s">
        <v>48</v>
      </c>
      <c r="B33" s="8">
        <f>IF(B13=0,0,(B13/100)*B49)</f>
        <v>5466.1640322580652</v>
      </c>
      <c r="C33" s="3" t="s">
        <v>3</v>
      </c>
      <c r="D33" s="3"/>
      <c r="E33" s="17" t="s">
        <v>84</v>
      </c>
      <c r="F33" s="24">
        <f>F32*(F19/100)*J20</f>
        <v>20329.21065237097</v>
      </c>
      <c r="G33" s="3" t="s">
        <v>3</v>
      </c>
      <c r="H33" s="3"/>
      <c r="I33" s="3"/>
      <c r="J33" s="3"/>
      <c r="K33" s="3"/>
      <c r="L33" s="16"/>
      <c r="M33" s="3"/>
      <c r="N33" s="13">
        <f t="shared" si="8"/>
        <v>0</v>
      </c>
      <c r="O33" s="13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4"/>
        <v>0</v>
      </c>
      <c r="T33" s="22"/>
      <c r="U33" s="22">
        <f t="shared" si="5"/>
        <v>0</v>
      </c>
      <c r="V33" s="22">
        <f t="shared" si="6"/>
        <v>0</v>
      </c>
      <c r="W33" s="21">
        <f t="shared" si="9"/>
        <v>0</v>
      </c>
      <c r="X33" s="19">
        <f t="shared" si="0"/>
        <v>0</v>
      </c>
      <c r="Y33" s="4"/>
      <c r="Z33" s="8"/>
      <c r="AA33" s="3"/>
      <c r="AB33" s="29">
        <f t="shared" si="22"/>
        <v>40</v>
      </c>
      <c r="AC33" s="30">
        <f t="shared" si="16"/>
        <v>0.252</v>
      </c>
      <c r="AD33" s="31">
        <v>103046.97158662691</v>
      </c>
      <c r="AE33" s="34">
        <f t="shared" si="17"/>
        <v>4.4635427984581053</v>
      </c>
      <c r="AF33" s="3"/>
      <c r="AG33" s="29">
        <f t="shared" si="23"/>
        <v>40</v>
      </c>
      <c r="AH33" s="32">
        <f t="shared" si="19"/>
        <v>84178.926096774201</v>
      </c>
      <c r="AI33" s="31">
        <v>127478.50822621757</v>
      </c>
      <c r="AJ33" s="34">
        <f t="shared" si="20"/>
        <v>29.230936095760914</v>
      </c>
      <c r="AK33" s="3"/>
      <c r="AL33" s="3"/>
      <c r="AM33" s="6"/>
      <c r="AN33" s="8"/>
      <c r="AO33" s="35"/>
      <c r="AP33" s="3"/>
      <c r="AQ33" s="33"/>
      <c r="AR33" s="33"/>
      <c r="AS33" s="33"/>
      <c r="AT33" s="33"/>
      <c r="AU33" s="33"/>
      <c r="AV33" s="33"/>
      <c r="AW33" s="33"/>
      <c r="AX33" s="33"/>
      <c r="AY33" s="33"/>
    </row>
    <row r="34" spans="1:51" ht="15.75" customHeight="1" x14ac:dyDescent="0.25">
      <c r="A34" s="25"/>
      <c r="B34" s="8"/>
      <c r="C34" s="3"/>
      <c r="D34" s="3"/>
      <c r="E34" s="3"/>
      <c r="F34" s="33"/>
      <c r="G34" s="3"/>
      <c r="H34" s="3"/>
      <c r="I34" s="17" t="s">
        <v>85</v>
      </c>
      <c r="J34" s="8">
        <f>F12*B5</f>
        <v>400000</v>
      </c>
      <c r="K34" s="3" t="s">
        <v>86</v>
      </c>
      <c r="L34" s="16"/>
      <c r="M34" s="3"/>
      <c r="N34" s="13">
        <f t="shared" si="8"/>
        <v>0</v>
      </c>
      <c r="O34" s="13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4"/>
        <v>0</v>
      </c>
      <c r="T34" s="22"/>
      <c r="U34" s="22">
        <f t="shared" si="5"/>
        <v>0</v>
      </c>
      <c r="V34" s="22">
        <f t="shared" si="6"/>
        <v>0</v>
      </c>
      <c r="W34" s="21">
        <f t="shared" si="9"/>
        <v>0</v>
      </c>
      <c r="X34" s="19">
        <f t="shared" si="0"/>
        <v>0</v>
      </c>
      <c r="Y34" s="4"/>
      <c r="Z34" s="8"/>
      <c r="AA34" s="3"/>
      <c r="AB34" s="29">
        <f t="shared" si="22"/>
        <v>50</v>
      </c>
      <c r="AC34" s="30">
        <f t="shared" si="16"/>
        <v>0.27</v>
      </c>
      <c r="AD34" s="31">
        <v>104147.72538935742</v>
      </c>
      <c r="AE34" s="34">
        <f t="shared" si="17"/>
        <v>5.5794284980726614</v>
      </c>
      <c r="AF34" s="3"/>
      <c r="AG34" s="29">
        <f t="shared" si="23"/>
        <v>50</v>
      </c>
      <c r="AH34" s="32">
        <f t="shared" si="19"/>
        <v>90191.706532258075</v>
      </c>
      <c r="AI34" s="31">
        <v>134687.14618884574</v>
      </c>
      <c r="AJ34" s="34">
        <f t="shared" si="20"/>
        <v>36.538670119701159</v>
      </c>
      <c r="AK34" s="3"/>
      <c r="AL34" s="3"/>
      <c r="AM34" s="6"/>
      <c r="AN34" s="8"/>
      <c r="AO34" s="35"/>
      <c r="AP34" s="3"/>
      <c r="AQ34" s="33"/>
      <c r="AR34" s="33"/>
      <c r="AS34" s="33"/>
      <c r="AT34" s="33"/>
      <c r="AU34" s="33"/>
      <c r="AV34" s="33"/>
      <c r="AW34" s="33"/>
      <c r="AX34" s="33"/>
      <c r="AY34" s="33"/>
    </row>
    <row r="35" spans="1:51" ht="15.75" customHeight="1" x14ac:dyDescent="0.25">
      <c r="A35" s="17" t="s">
        <v>55</v>
      </c>
      <c r="B35" s="7">
        <f>IF(B15=0,0,(B15/100)*$B$49)</f>
        <v>0</v>
      </c>
      <c r="C35" s="3" t="s">
        <v>3</v>
      </c>
      <c r="D35" s="3"/>
      <c r="E35" s="1" t="s">
        <v>87</v>
      </c>
      <c r="F35" s="3"/>
      <c r="G35" s="3"/>
      <c r="H35" s="3"/>
      <c r="I35" s="3"/>
      <c r="J35" s="3"/>
      <c r="K35" s="3"/>
      <c r="L35" s="16"/>
      <c r="M35" s="3"/>
      <c r="N35" s="13">
        <f t="shared" si="8"/>
        <v>0</v>
      </c>
      <c r="O35" s="13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4"/>
        <v>0</v>
      </c>
      <c r="T35" s="22"/>
      <c r="U35" s="22">
        <f t="shared" si="5"/>
        <v>0</v>
      </c>
      <c r="V35" s="22">
        <f t="shared" si="6"/>
        <v>0</v>
      </c>
      <c r="W35" s="21">
        <f t="shared" si="9"/>
        <v>0</v>
      </c>
      <c r="X35" s="19">
        <f t="shared" si="0"/>
        <v>0</v>
      </c>
      <c r="Y35" s="4"/>
      <c r="Z35" s="8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ht="15.75" customHeight="1" x14ac:dyDescent="0.25">
      <c r="A36" s="25"/>
      <c r="B36" s="8"/>
      <c r="C36" s="3"/>
      <c r="D36" s="3"/>
      <c r="E36" s="17" t="s">
        <v>28</v>
      </c>
      <c r="F36" s="27">
        <f>F13/$B$8</f>
        <v>0.18</v>
      </c>
      <c r="G36" s="3" t="s">
        <v>29</v>
      </c>
      <c r="H36" s="3"/>
      <c r="I36" s="3"/>
      <c r="J36" s="3"/>
      <c r="K36" s="3"/>
      <c r="L36" s="16"/>
      <c r="M36" s="3"/>
      <c r="N36" s="13">
        <f t="shared" si="8"/>
        <v>0</v>
      </c>
      <c r="O36" s="13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4"/>
        <v>0</v>
      </c>
      <c r="T36" s="22"/>
      <c r="U36" s="22">
        <f t="shared" si="5"/>
        <v>0</v>
      </c>
      <c r="V36" s="22">
        <f t="shared" si="6"/>
        <v>0</v>
      </c>
      <c r="W36" s="21">
        <f t="shared" si="9"/>
        <v>0</v>
      </c>
      <c r="X36" s="19">
        <f t="shared" si="0"/>
        <v>0</v>
      </c>
      <c r="Y36" s="4"/>
      <c r="Z36" s="8"/>
      <c r="AA36" s="3"/>
      <c r="AB36" s="28" t="s">
        <v>31</v>
      </c>
      <c r="AC36" s="29"/>
      <c r="AD36" s="29"/>
      <c r="AE36" s="29"/>
      <c r="AF36" s="3"/>
      <c r="AG36" s="28" t="s">
        <v>88</v>
      </c>
      <c r="AH36" s="29"/>
      <c r="AI36" s="29"/>
      <c r="AJ36" s="29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ht="15.75" customHeight="1" x14ac:dyDescent="0.25">
      <c r="A37" s="25"/>
      <c r="B37" s="8"/>
      <c r="C37" s="3"/>
      <c r="D37" s="3"/>
      <c r="E37" s="17" t="s">
        <v>89</v>
      </c>
      <c r="F37" s="27">
        <f>(F17/((1-J14%)*J10))/B8</f>
        <v>0</v>
      </c>
      <c r="G37" s="3" t="s">
        <v>29</v>
      </c>
      <c r="H37" s="3"/>
      <c r="I37" s="1" t="s">
        <v>166</v>
      </c>
      <c r="J37" s="43">
        <f>SUM(J38:J41)</f>
        <v>2438.3378679198613</v>
      </c>
      <c r="K37" s="1" t="s">
        <v>47</v>
      </c>
      <c r="L37" s="16"/>
      <c r="M37" s="3"/>
      <c r="N37" s="13">
        <f t="shared" si="8"/>
        <v>0</v>
      </c>
      <c r="O37" s="13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4"/>
        <v>0</v>
      </c>
      <c r="T37" s="22"/>
      <c r="U37" s="22">
        <f t="shared" si="5"/>
        <v>0</v>
      </c>
      <c r="V37" s="22">
        <f t="shared" si="6"/>
        <v>0</v>
      </c>
      <c r="W37" s="21">
        <f t="shared" si="9"/>
        <v>0</v>
      </c>
      <c r="X37" s="19">
        <f t="shared" si="0"/>
        <v>0</v>
      </c>
      <c r="Y37" s="4"/>
      <c r="Z37" s="8"/>
      <c r="AA37" s="3"/>
      <c r="AB37" s="29" t="s">
        <v>67</v>
      </c>
      <c r="AC37" s="29" t="s">
        <v>91</v>
      </c>
      <c r="AD37" s="29" t="s">
        <v>22</v>
      </c>
      <c r="AE37" s="29" t="s">
        <v>69</v>
      </c>
      <c r="AF37" s="3"/>
      <c r="AG37" s="29" t="s">
        <v>67</v>
      </c>
      <c r="AH37" s="29" t="s">
        <v>92</v>
      </c>
      <c r="AI37" s="29" t="s">
        <v>22</v>
      </c>
      <c r="AJ37" s="29" t="s">
        <v>69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ht="15.75" customHeight="1" x14ac:dyDescent="0.25">
      <c r="A38" s="25"/>
      <c r="B38" s="8"/>
      <c r="C38" s="3"/>
      <c r="D38" s="3"/>
      <c r="E38" s="17" t="s">
        <v>93</v>
      </c>
      <c r="F38" s="27">
        <f>F36*J17</f>
        <v>3.4200000000000001E-2</v>
      </c>
      <c r="G38" s="3" t="s">
        <v>4</v>
      </c>
      <c r="H38" s="3"/>
      <c r="I38" s="17" t="s">
        <v>175</v>
      </c>
      <c r="J38" s="27">
        <f>F16/$B$8</f>
        <v>38.337867919861488</v>
      </c>
      <c r="K38" s="3" t="s">
        <v>47</v>
      </c>
      <c r="L38" s="16"/>
      <c r="M38" s="3"/>
      <c r="N38" s="13">
        <f t="shared" si="8"/>
        <v>0</v>
      </c>
      <c r="O38" s="13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4"/>
        <v>0</v>
      </c>
      <c r="T38" s="22"/>
      <c r="U38" s="22">
        <f t="shared" si="5"/>
        <v>0</v>
      </c>
      <c r="V38" s="22">
        <f t="shared" si="6"/>
        <v>0</v>
      </c>
      <c r="W38" s="21">
        <f t="shared" si="9"/>
        <v>0</v>
      </c>
      <c r="X38" s="19">
        <f t="shared" si="0"/>
        <v>0</v>
      </c>
      <c r="Y38" s="4"/>
      <c r="Z38" s="8"/>
      <c r="AA38" s="3"/>
      <c r="AB38" s="29" t="s">
        <v>73</v>
      </c>
      <c r="AC38" s="32">
        <v>9100.35</v>
      </c>
      <c r="AD38" s="31">
        <f>X49</f>
        <v>98643.956375704976</v>
      </c>
      <c r="AE38" s="29"/>
      <c r="AF38" s="3"/>
      <c r="AG38" s="29" t="s">
        <v>73</v>
      </c>
      <c r="AH38" s="32">
        <v>40000</v>
      </c>
      <c r="AI38" s="31">
        <f>X49</f>
        <v>98643.956375704976</v>
      </c>
      <c r="AJ38" s="29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ht="15.75" customHeight="1" x14ac:dyDescent="0.25">
      <c r="A39" s="25"/>
      <c r="B39" s="8"/>
      <c r="C39" s="3"/>
      <c r="D39" s="3"/>
      <c r="E39" s="3"/>
      <c r="F39" s="3"/>
      <c r="G39" s="3"/>
      <c r="H39" s="3"/>
      <c r="I39" s="17" t="s">
        <v>63</v>
      </c>
      <c r="J39" s="27">
        <f>F20/$B$8</f>
        <v>0</v>
      </c>
      <c r="K39" s="3" t="s">
        <v>47</v>
      </c>
      <c r="L39" s="16"/>
      <c r="M39" s="3"/>
      <c r="N39" s="13">
        <f t="shared" si="8"/>
        <v>0</v>
      </c>
      <c r="O39" s="13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4"/>
        <v>0</v>
      </c>
      <c r="T39" s="22"/>
      <c r="U39" s="22">
        <f t="shared" si="5"/>
        <v>0</v>
      </c>
      <c r="V39" s="22">
        <f t="shared" si="6"/>
        <v>0</v>
      </c>
      <c r="W39" s="21">
        <f t="shared" si="9"/>
        <v>0</v>
      </c>
      <c r="X39" s="19">
        <f t="shared" si="0"/>
        <v>0</v>
      </c>
      <c r="Y39" s="4"/>
      <c r="Z39" s="8"/>
      <c r="AA39" s="3"/>
      <c r="AB39" s="29">
        <f t="shared" ref="AB39:AB43" si="25">AB40-10</f>
        <v>-50</v>
      </c>
      <c r="AC39" s="32">
        <f t="shared" ref="AC39:AC49" si="26">$AC$38*(1+(AB39/100))</f>
        <v>4550.1750000000002</v>
      </c>
      <c r="AD39" s="31">
        <f t="dataTable" ref="AD39:AD49" dt2D="0" dtr="0" r1="B48" ca="1"/>
        <v>93514.335565231871</v>
      </c>
      <c r="AE39" s="34">
        <f>100*((AD39-$AD$44)/$AD$44)</f>
        <v>-5.2001369358462588</v>
      </c>
      <c r="AF39" s="3"/>
      <c r="AG39" s="29">
        <f t="shared" ref="AG39:AG43" si="27">AG40-10</f>
        <v>-50</v>
      </c>
      <c r="AH39" s="32">
        <f t="shared" ref="AH39:AH49" si="28">$AH$38*(1+(AG39/100))</f>
        <v>20000</v>
      </c>
      <c r="AI39" s="31">
        <f t="dataTable" ref="AI39:AI49" dt2D="0" dtr="0" r1="F12" ca="1"/>
        <v>77471.282012284704</v>
      </c>
      <c r="AJ39" s="34">
        <f t="shared" ref="AJ39:AJ49" si="29">100*((AI39-$AI$44)/$AI$44)</f>
        <v>-21.46373193181746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ht="15.75" customHeight="1" x14ac:dyDescent="0.25">
      <c r="A40" s="25"/>
      <c r="B40" s="8"/>
      <c r="C40" s="3"/>
      <c r="D40" s="3"/>
      <c r="E40" s="17" t="s">
        <v>94</v>
      </c>
      <c r="F40" s="27">
        <f>F37*F12*J17</f>
        <v>0</v>
      </c>
      <c r="G40" s="3" t="s">
        <v>47</v>
      </c>
      <c r="H40" s="3"/>
      <c r="I40" s="17"/>
      <c r="J40" s="27"/>
      <c r="K40" s="3"/>
      <c r="L40" s="16"/>
      <c r="M40" s="3"/>
      <c r="N40" s="13">
        <f t="shared" si="8"/>
        <v>0</v>
      </c>
      <c r="O40" s="13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4"/>
        <v>0</v>
      </c>
      <c r="T40" s="22"/>
      <c r="U40" s="22">
        <f t="shared" si="5"/>
        <v>0</v>
      </c>
      <c r="V40" s="22">
        <f t="shared" si="6"/>
        <v>0</v>
      </c>
      <c r="W40" s="21">
        <f t="shared" si="9"/>
        <v>0</v>
      </c>
      <c r="X40" s="19">
        <f t="shared" si="0"/>
        <v>0</v>
      </c>
      <c r="Y40" s="4"/>
      <c r="Z40" s="8"/>
      <c r="AA40" s="3"/>
      <c r="AB40" s="29">
        <f t="shared" si="25"/>
        <v>-40</v>
      </c>
      <c r="AC40" s="32">
        <f t="shared" si="26"/>
        <v>5460.21</v>
      </c>
      <c r="AD40" s="31">
        <v>94540.259727326484</v>
      </c>
      <c r="AE40" s="34">
        <f t="shared" ref="AE40:AE49" si="30">100*((AD40-$AD$29)/$AD$29)</f>
        <v>-4.1601095486770152</v>
      </c>
      <c r="AF40" s="3"/>
      <c r="AG40" s="29">
        <f t="shared" si="27"/>
        <v>-40</v>
      </c>
      <c r="AH40" s="32">
        <f t="shared" si="28"/>
        <v>24000</v>
      </c>
      <c r="AI40" s="31">
        <v>80699.372139641157</v>
      </c>
      <c r="AJ40" s="34">
        <f t="shared" si="29"/>
        <v>-18.191265735245178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ht="15.75" customHeight="1" x14ac:dyDescent="0.25">
      <c r="A41" s="3"/>
      <c r="B41" s="3"/>
      <c r="C41" s="3"/>
      <c r="D41" s="3"/>
      <c r="E41" s="17" t="s">
        <v>95</v>
      </c>
      <c r="F41" s="33">
        <f>F38*F12</f>
        <v>1368</v>
      </c>
      <c r="G41" s="26" t="s">
        <v>47</v>
      </c>
      <c r="H41" s="3"/>
      <c r="I41" s="17" t="s">
        <v>46</v>
      </c>
      <c r="J41" s="44">
        <f>F18*F12/$B$8</f>
        <v>2400</v>
      </c>
      <c r="K41" s="3" t="s">
        <v>47</v>
      </c>
      <c r="L41" s="16"/>
      <c r="M41" s="3"/>
      <c r="N41" s="13">
        <f t="shared" si="8"/>
        <v>0</v>
      </c>
      <c r="O41" s="13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4"/>
        <v>0</v>
      </c>
      <c r="T41" s="22"/>
      <c r="U41" s="22">
        <f t="shared" si="5"/>
        <v>0</v>
      </c>
      <c r="V41" s="22">
        <f t="shared" si="6"/>
        <v>0</v>
      </c>
      <c r="W41" s="21">
        <f t="shared" si="9"/>
        <v>0</v>
      </c>
      <c r="X41" s="19">
        <f t="shared" si="0"/>
        <v>0</v>
      </c>
      <c r="Y41" s="4"/>
      <c r="Z41" s="8"/>
      <c r="AA41" s="3"/>
      <c r="AB41" s="29">
        <f t="shared" si="25"/>
        <v>-30</v>
      </c>
      <c r="AC41" s="32">
        <f t="shared" si="26"/>
        <v>6370.2449999999999</v>
      </c>
      <c r="AD41" s="31">
        <v>95566.183889421111</v>
      </c>
      <c r="AE41" s="34">
        <f t="shared" si="30"/>
        <v>-3.1200821615077583</v>
      </c>
      <c r="AF41" s="3"/>
      <c r="AG41" s="29">
        <f t="shared" si="27"/>
        <v>-30</v>
      </c>
      <c r="AH41" s="32">
        <f t="shared" si="28"/>
        <v>28000</v>
      </c>
      <c r="AI41" s="31">
        <v>83941.168264078718</v>
      </c>
      <c r="AJ41" s="34">
        <f t="shared" si="29"/>
        <v>-14.904905127312402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16"/>
      <c r="M42" s="3"/>
      <c r="N42" s="13">
        <f t="shared" si="8"/>
        <v>0</v>
      </c>
      <c r="O42" s="13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4"/>
        <v>0</v>
      </c>
      <c r="T42" s="22"/>
      <c r="U42" s="22">
        <f t="shared" si="5"/>
        <v>0</v>
      </c>
      <c r="V42" s="22">
        <f t="shared" si="6"/>
        <v>0</v>
      </c>
      <c r="W42" s="21">
        <f t="shared" si="9"/>
        <v>0</v>
      </c>
      <c r="X42" s="19">
        <f t="shared" si="0"/>
        <v>0</v>
      </c>
      <c r="Y42" s="4"/>
      <c r="Z42" s="8"/>
      <c r="AA42" s="3"/>
      <c r="AB42" s="29">
        <f t="shared" si="25"/>
        <v>-20</v>
      </c>
      <c r="AC42" s="32">
        <f t="shared" si="26"/>
        <v>7280.2800000000007</v>
      </c>
      <c r="AD42" s="31">
        <v>96592.108051515737</v>
      </c>
      <c r="AE42" s="34">
        <f t="shared" si="30"/>
        <v>-2.0800547743385005</v>
      </c>
      <c r="AF42" s="3"/>
      <c r="AG42" s="29">
        <f t="shared" si="27"/>
        <v>-20</v>
      </c>
      <c r="AH42" s="32">
        <f t="shared" si="28"/>
        <v>32000</v>
      </c>
      <c r="AI42" s="31">
        <v>87197.355685451359</v>
      </c>
      <c r="AJ42" s="34">
        <f t="shared" si="29"/>
        <v>-11.603955387451188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ht="15.75" customHeight="1" x14ac:dyDescent="0.25">
      <c r="A43" s="3"/>
      <c r="B43" s="3"/>
      <c r="C43" s="3"/>
      <c r="D43" s="3"/>
      <c r="E43" s="3"/>
      <c r="F43" s="3"/>
      <c r="G43" s="3"/>
      <c r="H43" s="3"/>
      <c r="I43" s="87"/>
      <c r="J43" s="87"/>
      <c r="K43" s="87"/>
      <c r="L43" s="16"/>
      <c r="M43" s="3"/>
      <c r="N43" s="13">
        <f t="shared" si="8"/>
        <v>0</v>
      </c>
      <c r="O43" s="13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4"/>
        <v>0</v>
      </c>
      <c r="T43" s="22"/>
      <c r="U43" s="22">
        <f t="shared" si="5"/>
        <v>0</v>
      </c>
      <c r="V43" s="22">
        <f t="shared" si="6"/>
        <v>0</v>
      </c>
      <c r="W43" s="21">
        <f t="shared" si="9"/>
        <v>0</v>
      </c>
      <c r="X43" s="19">
        <f t="shared" si="0"/>
        <v>0</v>
      </c>
      <c r="Y43" s="4"/>
      <c r="Z43" s="8"/>
      <c r="AA43" s="3"/>
      <c r="AB43" s="29">
        <f t="shared" si="25"/>
        <v>-10</v>
      </c>
      <c r="AC43" s="32">
        <f t="shared" si="26"/>
        <v>8190.3150000000005</v>
      </c>
      <c r="AD43" s="31">
        <v>97618.032213610335</v>
      </c>
      <c r="AE43" s="34">
        <f t="shared" si="30"/>
        <v>-1.0400273871692725</v>
      </c>
      <c r="AF43" s="3"/>
      <c r="AG43" s="29">
        <f t="shared" si="27"/>
        <v>-10</v>
      </c>
      <c r="AH43" s="32">
        <f t="shared" si="28"/>
        <v>36000</v>
      </c>
      <c r="AI43" s="31">
        <v>95689.986189970135</v>
      </c>
      <c r="AJ43" s="34">
        <f t="shared" si="29"/>
        <v>-2.9945779693629304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ht="15.75" customHeight="1" x14ac:dyDescent="0.25">
      <c r="A44" s="23" t="s">
        <v>96</v>
      </c>
      <c r="B44" s="4"/>
      <c r="C44" s="1"/>
      <c r="D44" s="3"/>
      <c r="E44" s="88" t="s">
        <v>152</v>
      </c>
      <c r="F44" s="70"/>
      <c r="G44" s="70"/>
      <c r="H44" s="3"/>
      <c r="I44" s="3"/>
      <c r="J44" s="3"/>
      <c r="K44" s="3"/>
      <c r="L44" s="16"/>
      <c r="M44" s="3"/>
      <c r="N44" s="13">
        <f t="shared" si="8"/>
        <v>0</v>
      </c>
      <c r="O44" s="13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4"/>
        <v>0</v>
      </c>
      <c r="T44" s="22"/>
      <c r="U44" s="22">
        <f t="shared" si="5"/>
        <v>0</v>
      </c>
      <c r="V44" s="22">
        <f t="shared" si="6"/>
        <v>0</v>
      </c>
      <c r="W44" s="21">
        <f t="shared" si="9"/>
        <v>0</v>
      </c>
      <c r="X44" s="19">
        <f t="shared" si="0"/>
        <v>0</v>
      </c>
      <c r="Y44" s="4"/>
      <c r="Z44" s="8"/>
      <c r="AA44" s="3"/>
      <c r="AB44" s="39">
        <v>0</v>
      </c>
      <c r="AC44" s="45">
        <f t="shared" si="26"/>
        <v>9100.35</v>
      </c>
      <c r="AD44" s="40">
        <v>98643.956375704976</v>
      </c>
      <c r="AE44" s="52">
        <f t="shared" si="30"/>
        <v>0</v>
      </c>
      <c r="AF44" s="3"/>
      <c r="AG44" s="39">
        <v>0</v>
      </c>
      <c r="AH44" s="45">
        <f t="shared" si="28"/>
        <v>40000</v>
      </c>
      <c r="AI44" s="40">
        <v>98643.956375704976</v>
      </c>
      <c r="AJ44" s="52">
        <f t="shared" si="29"/>
        <v>0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ht="15.75" customHeight="1" x14ac:dyDescent="0.25">
      <c r="A45" s="17" t="s">
        <v>161</v>
      </c>
      <c r="B45" s="8">
        <f>J8/B8</f>
        <v>42580.645161290326</v>
      </c>
      <c r="C45" s="3" t="s">
        <v>3</v>
      </c>
      <c r="D45" s="3"/>
      <c r="E45" s="78" t="s">
        <v>153</v>
      </c>
      <c r="F45" s="89">
        <f>((1+(B16/100))*J9*J10)*(1+(B13%+B15%))</f>
        <v>10010.385000000002</v>
      </c>
      <c r="G45" s="70" t="s">
        <v>3</v>
      </c>
      <c r="H45" s="3"/>
      <c r="I45" s="1"/>
      <c r="J45" s="3"/>
      <c r="K45" s="3"/>
      <c r="L45" s="16"/>
      <c r="M45" s="3"/>
      <c r="N45" s="13">
        <f t="shared" si="8"/>
        <v>0</v>
      </c>
      <c r="O45" s="13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4"/>
        <v>0</v>
      </c>
      <c r="T45" s="22"/>
      <c r="U45" s="22">
        <f t="shared" si="5"/>
        <v>0</v>
      </c>
      <c r="V45" s="22">
        <f t="shared" si="6"/>
        <v>0</v>
      </c>
      <c r="W45" s="21">
        <f t="shared" si="9"/>
        <v>0</v>
      </c>
      <c r="X45" s="19">
        <f t="shared" si="0"/>
        <v>0</v>
      </c>
      <c r="Y45" s="4"/>
      <c r="Z45" s="8"/>
      <c r="AA45" s="3"/>
      <c r="AB45" s="29">
        <f t="shared" ref="AB45:AB49" si="31">AB44+10</f>
        <v>10</v>
      </c>
      <c r="AC45" s="32">
        <f t="shared" si="26"/>
        <v>10010.385000000002</v>
      </c>
      <c r="AD45" s="31">
        <v>99669.880537799574</v>
      </c>
      <c r="AE45" s="34">
        <f t="shared" si="30"/>
        <v>1.040027387169228</v>
      </c>
      <c r="AF45" s="3"/>
      <c r="AG45" s="29">
        <f t="shared" ref="AG45:AG49" si="32">AG44+10</f>
        <v>10</v>
      </c>
      <c r="AH45" s="32">
        <f t="shared" si="28"/>
        <v>44000</v>
      </c>
      <c r="AI45" s="31">
        <v>101597.9265614398</v>
      </c>
      <c r="AJ45" s="34">
        <f t="shared" si="29"/>
        <v>2.9945779693629158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ht="15.75" customHeight="1" x14ac:dyDescent="0.25">
      <c r="A46" s="17" t="s">
        <v>97</v>
      </c>
      <c r="B46" s="8">
        <f>IF(J24="No",J9*J10,0)</f>
        <v>8505</v>
      </c>
      <c r="C46" s="3" t="s">
        <v>3</v>
      </c>
      <c r="D46" s="3"/>
      <c r="E46" s="70" t="s">
        <v>154</v>
      </c>
      <c r="F46" s="89">
        <f>((J21%)*F45)+(((1-J21%)*F45)*(1+(F19%*J20)))</f>
        <v>13394.896168500003</v>
      </c>
      <c r="G46" s="70" t="s">
        <v>3</v>
      </c>
      <c r="H46" s="3"/>
      <c r="I46" s="17"/>
      <c r="J46" s="6"/>
      <c r="K46" s="3"/>
      <c r="L46" s="16"/>
      <c r="M46" s="3"/>
      <c r="N46" s="13">
        <f t="shared" si="8"/>
        <v>0</v>
      </c>
      <c r="O46" s="13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4"/>
        <v>0</v>
      </c>
      <c r="T46" s="22"/>
      <c r="U46" s="22">
        <f t="shared" si="5"/>
        <v>0</v>
      </c>
      <c r="V46" s="22">
        <f t="shared" si="6"/>
        <v>0</v>
      </c>
      <c r="W46" s="21">
        <f t="shared" si="9"/>
        <v>0</v>
      </c>
      <c r="X46" s="19">
        <f t="shared" si="0"/>
        <v>0</v>
      </c>
      <c r="Y46" s="4"/>
      <c r="Z46" s="8"/>
      <c r="AA46" s="3"/>
      <c r="AB46" s="29">
        <f t="shared" si="31"/>
        <v>20</v>
      </c>
      <c r="AC46" s="32">
        <f t="shared" si="26"/>
        <v>10920.42</v>
      </c>
      <c r="AD46" s="31">
        <v>100695.80469989422</v>
      </c>
      <c r="AE46" s="34">
        <f t="shared" si="30"/>
        <v>2.0800547743385005</v>
      </c>
      <c r="AF46" s="3"/>
      <c r="AG46" s="29">
        <f t="shared" si="32"/>
        <v>20</v>
      </c>
      <c r="AH46" s="32">
        <f t="shared" si="28"/>
        <v>48000</v>
      </c>
      <c r="AI46" s="31">
        <v>105420.27780215521</v>
      </c>
      <c r="AJ46" s="34">
        <f t="shared" si="29"/>
        <v>6.8694744973947248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ht="15.75" customHeight="1" x14ac:dyDescent="0.25">
      <c r="A47" s="25" t="s">
        <v>98</v>
      </c>
      <c r="B47" s="24">
        <f>(1+(B16/100))*B45</f>
        <v>45561.290322580651</v>
      </c>
      <c r="C47" s="3" t="s">
        <v>3</v>
      </c>
      <c r="D47" s="3"/>
      <c r="E47" s="70" t="s">
        <v>82</v>
      </c>
      <c r="F47" s="89">
        <f>J12*J11</f>
        <v>180000</v>
      </c>
      <c r="G47" s="70" t="s">
        <v>86</v>
      </c>
      <c r="H47" s="3"/>
      <c r="I47" s="3"/>
      <c r="J47" s="3"/>
      <c r="K47" s="3"/>
      <c r="L47" s="16"/>
      <c r="M47" s="3"/>
      <c r="N47" s="13">
        <f t="shared" si="8"/>
        <v>0</v>
      </c>
      <c r="O47" s="13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4"/>
        <v>0</v>
      </c>
      <c r="T47" s="22"/>
      <c r="U47" s="22">
        <f t="shared" si="5"/>
        <v>0</v>
      </c>
      <c r="V47" s="22">
        <f t="shared" si="6"/>
        <v>0</v>
      </c>
      <c r="W47" s="21">
        <f t="shared" si="9"/>
        <v>0</v>
      </c>
      <c r="X47" s="19">
        <f t="shared" si="0"/>
        <v>0</v>
      </c>
      <c r="Y47" s="4"/>
      <c r="Z47" s="8"/>
      <c r="AA47" s="3"/>
      <c r="AB47" s="29">
        <f t="shared" si="31"/>
        <v>30</v>
      </c>
      <c r="AC47" s="32">
        <f t="shared" si="26"/>
        <v>11830.455000000002</v>
      </c>
      <c r="AD47" s="31">
        <v>101721.72886198884</v>
      </c>
      <c r="AE47" s="34">
        <f t="shared" si="30"/>
        <v>3.1200821615077583</v>
      </c>
      <c r="AF47" s="3"/>
      <c r="AG47" s="29">
        <f t="shared" si="32"/>
        <v>30</v>
      </c>
      <c r="AH47" s="32">
        <f t="shared" si="28"/>
        <v>52000</v>
      </c>
      <c r="AI47" s="31">
        <v>108374.24798789003</v>
      </c>
      <c r="AJ47" s="34">
        <f t="shared" si="29"/>
        <v>9.8640524667576397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ht="15.75" customHeight="1" x14ac:dyDescent="0.25">
      <c r="A48" s="25" t="s">
        <v>99</v>
      </c>
      <c r="B48" s="7">
        <f>(1+(B16/100))*B46</f>
        <v>9100.35</v>
      </c>
      <c r="C48" s="3" t="s">
        <v>3</v>
      </c>
      <c r="D48" s="3"/>
      <c r="E48" s="70" t="s">
        <v>155</v>
      </c>
      <c r="F48" s="90">
        <f>(F46/F47)*J25</f>
        <v>9.6740916772500032E-2</v>
      </c>
      <c r="G48" s="70" t="s">
        <v>4</v>
      </c>
      <c r="H48" s="3"/>
      <c r="I48" s="3"/>
      <c r="J48" s="3"/>
      <c r="K48" s="3"/>
      <c r="L48" s="16"/>
      <c r="M48" s="3"/>
      <c r="N48" s="13">
        <f t="shared" si="8"/>
        <v>0</v>
      </c>
      <c r="O48" s="13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4"/>
        <v>0</v>
      </c>
      <c r="T48" s="22"/>
      <c r="U48" s="22">
        <f t="shared" si="5"/>
        <v>0</v>
      </c>
      <c r="V48" s="22">
        <f t="shared" si="6"/>
        <v>0</v>
      </c>
      <c r="W48" s="21">
        <f t="shared" si="9"/>
        <v>0</v>
      </c>
      <c r="X48" s="19">
        <f t="shared" si="0"/>
        <v>0</v>
      </c>
      <c r="Y48" s="4"/>
      <c r="Z48" s="8"/>
      <c r="AA48" s="3"/>
      <c r="AB48" s="29">
        <f t="shared" si="31"/>
        <v>40</v>
      </c>
      <c r="AC48" s="32">
        <f t="shared" si="26"/>
        <v>12740.49</v>
      </c>
      <c r="AD48" s="31">
        <v>102747.65302408347</v>
      </c>
      <c r="AE48" s="34">
        <f t="shared" si="30"/>
        <v>4.1601095486770152</v>
      </c>
      <c r="AF48" s="3"/>
      <c r="AG48" s="29">
        <f t="shared" si="32"/>
        <v>40</v>
      </c>
      <c r="AH48" s="32">
        <f t="shared" si="28"/>
        <v>56000</v>
      </c>
      <c r="AI48" s="31">
        <v>111328.21817362487</v>
      </c>
      <c r="AJ48" s="34">
        <f t="shared" si="29"/>
        <v>12.858630436120572</v>
      </c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t="15.75" customHeight="1" x14ac:dyDescent="0.25">
      <c r="A49" s="3" t="s">
        <v>100</v>
      </c>
      <c r="B49" s="24">
        <f>B47+B48</f>
        <v>54661.64032258065</v>
      </c>
      <c r="C49" s="3" t="s">
        <v>3</v>
      </c>
      <c r="D49" s="3"/>
      <c r="E49" s="70" t="s">
        <v>156</v>
      </c>
      <c r="F49" s="91">
        <f>J26*365</f>
        <v>36500</v>
      </c>
      <c r="G49" s="70" t="s">
        <v>41</v>
      </c>
      <c r="H49" s="3"/>
      <c r="I49" s="3"/>
      <c r="J49" s="3"/>
      <c r="K49" s="3"/>
      <c r="L49" s="16"/>
      <c r="M49" s="3"/>
      <c r="N49" s="14" t="s">
        <v>102</v>
      </c>
      <c r="O49" s="19">
        <f t="shared" ref="O49:S49" si="33">SUM(O8:O48)</f>
        <v>18038.341306451613</v>
      </c>
      <c r="P49" s="19">
        <f t="shared" si="33"/>
        <v>54048.038319829895</v>
      </c>
      <c r="Q49" s="19">
        <f t="shared" si="33"/>
        <v>11007.538027304896</v>
      </c>
      <c r="R49" s="19">
        <f t="shared" si="33"/>
        <v>0</v>
      </c>
      <c r="S49" s="19">
        <f t="shared" si="33"/>
        <v>18828.198683870814</v>
      </c>
      <c r="T49" s="19"/>
      <c r="U49" s="19">
        <f t="shared" ref="U49:X49" si="34">SUM(U8:U48)</f>
        <v>11885.2222671784</v>
      </c>
      <c r="V49" s="19">
        <f t="shared" si="34"/>
        <v>0</v>
      </c>
      <c r="W49" s="19">
        <f t="shared" si="34"/>
        <v>-15163.382228930663</v>
      </c>
      <c r="X49" s="19">
        <f t="shared" si="34"/>
        <v>98643.956375704976</v>
      </c>
      <c r="Y49" s="4"/>
      <c r="Z49" s="4"/>
      <c r="AA49" s="3"/>
      <c r="AB49" s="29">
        <f t="shared" si="31"/>
        <v>50</v>
      </c>
      <c r="AC49" s="32">
        <f t="shared" si="26"/>
        <v>13650.525000000001</v>
      </c>
      <c r="AD49" s="31">
        <v>103773.57718617808</v>
      </c>
      <c r="AE49" s="34">
        <f t="shared" si="30"/>
        <v>5.2001369358462588</v>
      </c>
      <c r="AF49" s="3"/>
      <c r="AG49" s="29">
        <f t="shared" si="32"/>
        <v>50</v>
      </c>
      <c r="AH49" s="32">
        <f t="shared" si="28"/>
        <v>60000</v>
      </c>
      <c r="AI49" s="31">
        <v>120704.48459353784</v>
      </c>
      <c r="AJ49" s="34">
        <f t="shared" si="29"/>
        <v>22.36379097956188</v>
      </c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ht="15.75" customHeight="1" x14ac:dyDescent="0.25">
      <c r="A50" s="25" t="s">
        <v>101</v>
      </c>
      <c r="B50" s="8">
        <f>SUM(B33:B40)+SUM(B49)</f>
        <v>60127.804354838714</v>
      </c>
      <c r="C50" s="3" t="s">
        <v>3</v>
      </c>
      <c r="D50" s="3"/>
      <c r="E50" s="70" t="s">
        <v>157</v>
      </c>
      <c r="F50" s="92">
        <f>F48*F49</f>
        <v>3531.0434621962513</v>
      </c>
      <c r="G50" s="93" t="s">
        <v>47</v>
      </c>
      <c r="H50" s="3"/>
      <c r="I50" s="3"/>
      <c r="J50" s="3"/>
      <c r="K50" s="3"/>
      <c r="L50" s="16"/>
      <c r="M50" s="3"/>
      <c r="N50" s="3"/>
      <c r="O50" s="3"/>
      <c r="P50" s="8"/>
      <c r="Q50" s="3"/>
      <c r="R50" s="24">
        <f>SUM(R49:S49)</f>
        <v>18828.198683870814</v>
      </c>
      <c r="S50" s="3"/>
      <c r="T50" s="3"/>
      <c r="U50" s="3"/>
      <c r="V50" s="3"/>
      <c r="W50" s="3"/>
      <c r="X50" s="24"/>
      <c r="Y50" s="24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ht="15.75" customHeight="1" x14ac:dyDescent="0.25">
      <c r="A51" s="25" t="s">
        <v>168</v>
      </c>
      <c r="B51" s="8">
        <f>SUM(B31:B32)</f>
        <v>0</v>
      </c>
      <c r="C51" s="3" t="s">
        <v>3</v>
      </c>
      <c r="D51" s="3"/>
      <c r="E51" s="70" t="s">
        <v>158</v>
      </c>
      <c r="F51" s="94">
        <f>IF(F12&gt;F49,(F12-F49)*F48,0)</f>
        <v>338.59320870375012</v>
      </c>
      <c r="G51" s="93" t="s">
        <v>47</v>
      </c>
      <c r="H51" s="3"/>
      <c r="I51" s="3"/>
      <c r="J51" s="3"/>
      <c r="K51" s="3"/>
      <c r="L51" s="1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28" t="s">
        <v>46</v>
      </c>
      <c r="AC51" s="29"/>
      <c r="AD51" s="29"/>
      <c r="AE51" s="29"/>
      <c r="AF51" s="3"/>
      <c r="AG51" s="96" t="s">
        <v>150</v>
      </c>
      <c r="AH51" s="97"/>
      <c r="AI51" s="97"/>
      <c r="AJ51" s="97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ht="15.75" customHeight="1" x14ac:dyDescent="0.25">
      <c r="A52" s="25" t="s">
        <v>164</v>
      </c>
      <c r="B52" s="8">
        <f>B50-B51</f>
        <v>60127.804354838714</v>
      </c>
      <c r="C52" s="3" t="s">
        <v>3</v>
      </c>
      <c r="D52" s="3"/>
      <c r="E52" s="3"/>
      <c r="F52" s="3"/>
      <c r="G52" s="3"/>
      <c r="H52" s="3"/>
      <c r="I52" s="3"/>
      <c r="J52" s="3"/>
      <c r="K52" s="3"/>
      <c r="L52" s="1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29" t="s">
        <v>67</v>
      </c>
      <c r="AC52" s="29" t="s">
        <v>124</v>
      </c>
      <c r="AD52" s="29" t="s">
        <v>22</v>
      </c>
      <c r="AE52" s="29" t="s">
        <v>69</v>
      </c>
      <c r="AF52" s="3"/>
      <c r="AG52" s="97" t="s">
        <v>67</v>
      </c>
      <c r="AH52" s="97" t="s">
        <v>159</v>
      </c>
      <c r="AI52" s="97" t="s">
        <v>22</v>
      </c>
      <c r="AJ52" s="97" t="s">
        <v>69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ht="15.75" customHeight="1" x14ac:dyDescent="0.2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"/>
      <c r="N53" s="3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29" t="s">
        <v>73</v>
      </c>
      <c r="AC53" s="32">
        <v>2400</v>
      </c>
      <c r="AD53" s="31">
        <f>X49</f>
        <v>98643.956375704976</v>
      </c>
      <c r="AE53" s="29"/>
      <c r="AF53" s="3"/>
      <c r="AG53" s="97" t="s">
        <v>73</v>
      </c>
      <c r="AH53" s="98">
        <v>100</v>
      </c>
      <c r="AI53" s="99">
        <f>X49</f>
        <v>98643.956375704976</v>
      </c>
      <c r="AJ53" s="97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6"/>
      <c r="O54" s="47" t="s">
        <v>106</v>
      </c>
      <c r="P54" s="2" t="str">
        <f>B1</f>
        <v>Cambodia</v>
      </c>
      <c r="Q54" s="46"/>
      <c r="R54" s="46"/>
      <c r="S54" s="46"/>
      <c r="T54" s="46"/>
      <c r="U54" s="46"/>
      <c r="V54" s="48"/>
      <c r="W54" s="3"/>
      <c r="X54" s="33"/>
      <c r="Y54" s="33"/>
      <c r="Z54" s="48"/>
      <c r="AA54" s="33"/>
      <c r="AB54" s="29">
        <f t="shared" ref="AB54:AB58" si="35">AB55-10</f>
        <v>-50</v>
      </c>
      <c r="AC54" s="32">
        <f t="shared" ref="AC54:AC64" si="36">$AC$53*(1+(AB54/100))</f>
        <v>1200</v>
      </c>
      <c r="AD54" s="31">
        <f t="dataTable" ref="AD54:AD64" dt2D="0" dtr="0" r1="J41" ca="1"/>
        <v>89377.874460683204</v>
      </c>
      <c r="AE54" s="34">
        <f t="shared" ref="AE54:AE64" si="37">100*((AD54-$AD$59)/$AD$59)</f>
        <v>-9.3934613487420044</v>
      </c>
      <c r="AF54" s="3"/>
      <c r="AG54" s="97">
        <f t="shared" ref="AG54:AG56" si="38">AG55-20</f>
        <v>-100</v>
      </c>
      <c r="AH54" s="98">
        <f>$AH$53*(1+(AG54/100))</f>
        <v>0</v>
      </c>
      <c r="AI54" s="99">
        <f t="dataTable" ref="AI54:AI64" dt2D="0" dtr="0" r1="J26" ca="1"/>
        <v>98643.956375704976</v>
      </c>
      <c r="AJ54" s="100">
        <f>100*((AI54-$AI$59)/$AI$59)</f>
        <v>0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107</v>
      </c>
      <c r="P55" s="24">
        <f>SUM(O49:P49)</f>
        <v>72086.379626281501</v>
      </c>
      <c r="Q55" s="3" t="s">
        <v>3</v>
      </c>
      <c r="R55" s="49">
        <f t="shared" ref="R55:R59" si="39">P55/$J$34</f>
        <v>0.18021594906570376</v>
      </c>
      <c r="S55" s="3" t="s">
        <v>4</v>
      </c>
      <c r="T55" s="3"/>
      <c r="U55" s="3"/>
      <c r="V55" s="48"/>
      <c r="W55" s="3"/>
      <c r="X55" s="33"/>
      <c r="Y55" s="33"/>
      <c r="Z55" s="48"/>
      <c r="AA55" s="33"/>
      <c r="AB55" s="29">
        <f t="shared" si="35"/>
        <v>-40</v>
      </c>
      <c r="AC55" s="32">
        <f t="shared" si="36"/>
        <v>1440</v>
      </c>
      <c r="AD55" s="31">
        <v>91231.090843687547</v>
      </c>
      <c r="AE55" s="34">
        <f t="shared" si="37"/>
        <v>-7.5147690789936163</v>
      </c>
      <c r="AF55" s="3"/>
      <c r="AG55" s="97">
        <f t="shared" si="38"/>
        <v>-80</v>
      </c>
      <c r="AH55" s="98">
        <f t="shared" ref="AH55:AH64" si="40">$AH$53*(1+(AG55/100))</f>
        <v>19.999999999999996</v>
      </c>
      <c r="AI55" s="99">
        <v>98643.956375704976</v>
      </c>
      <c r="AJ55" s="100">
        <f t="shared" ref="AJ55:AJ64" si="41">100*((AI55-$AI$59)/$AI$59)</f>
        <v>0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87</v>
      </c>
      <c r="P56" s="24">
        <f>SUM(Q49:R49)</f>
        <v>11007.538027304896</v>
      </c>
      <c r="Q56" s="3" t="s">
        <v>3</v>
      </c>
      <c r="R56" s="49">
        <f t="shared" si="39"/>
        <v>2.751884506826224E-2</v>
      </c>
      <c r="S56" s="3" t="s">
        <v>4</v>
      </c>
      <c r="T56" s="3"/>
      <c r="U56" s="3"/>
      <c r="V56" s="48"/>
      <c r="W56" s="3"/>
      <c r="X56" s="33"/>
      <c r="Y56" s="33"/>
      <c r="Z56" s="48"/>
      <c r="AA56" s="33"/>
      <c r="AB56" s="29">
        <f t="shared" si="35"/>
        <v>-30</v>
      </c>
      <c r="AC56" s="32">
        <f t="shared" si="36"/>
        <v>1680</v>
      </c>
      <c r="AD56" s="31">
        <v>93084.307226691904</v>
      </c>
      <c r="AE56" s="34">
        <f t="shared" si="37"/>
        <v>-5.6360768092452123</v>
      </c>
      <c r="AF56" s="3"/>
      <c r="AG56" s="97">
        <f t="shared" si="38"/>
        <v>-60</v>
      </c>
      <c r="AH56" s="98">
        <f t="shared" si="40"/>
        <v>40</v>
      </c>
      <c r="AI56" s="99">
        <v>98643.956375704976</v>
      </c>
      <c r="AJ56" s="100">
        <f t="shared" si="41"/>
        <v>0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108</v>
      </c>
      <c r="P57" s="24">
        <f>SUM(S49:T49)</f>
        <v>18828.198683870814</v>
      </c>
      <c r="Q57" s="3" t="s">
        <v>3</v>
      </c>
      <c r="R57" s="49">
        <f t="shared" si="39"/>
        <v>4.7070496709677036E-2</v>
      </c>
      <c r="S57" s="3" t="s">
        <v>4</v>
      </c>
      <c r="T57" s="3"/>
      <c r="U57" s="3"/>
      <c r="V57" s="48"/>
      <c r="W57" s="3"/>
      <c r="X57" s="33"/>
      <c r="Y57" s="33"/>
      <c r="Z57" s="48"/>
      <c r="AA57" s="33"/>
      <c r="AB57" s="29">
        <f t="shared" si="35"/>
        <v>-20</v>
      </c>
      <c r="AC57" s="32">
        <f t="shared" si="36"/>
        <v>1920</v>
      </c>
      <c r="AD57" s="31">
        <v>94937.523609696247</v>
      </c>
      <c r="AE57" s="34">
        <f t="shared" si="37"/>
        <v>-3.7573845394968228</v>
      </c>
      <c r="AF57" s="3"/>
      <c r="AG57" s="97">
        <f>AG58-20</f>
        <v>-40</v>
      </c>
      <c r="AH57" s="98">
        <f t="shared" si="40"/>
        <v>60</v>
      </c>
      <c r="AI57" s="99">
        <v>98643.956375704976</v>
      </c>
      <c r="AJ57" s="100">
        <f t="shared" si="41"/>
        <v>0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109</v>
      </c>
      <c r="P58" s="24">
        <f>SUM(U49:V49)</f>
        <v>11885.2222671784</v>
      </c>
      <c r="Q58" s="3" t="s">
        <v>3</v>
      </c>
      <c r="R58" s="49">
        <f t="shared" si="39"/>
        <v>2.9713055667945999E-2</v>
      </c>
      <c r="S58" s="3" t="s">
        <v>4</v>
      </c>
      <c r="T58" s="3"/>
      <c r="U58" s="3"/>
      <c r="V58" s="48"/>
      <c r="W58" s="3"/>
      <c r="X58" s="33"/>
      <c r="Y58" s="33"/>
      <c r="Z58" s="48"/>
      <c r="AA58" s="33"/>
      <c r="AB58" s="29">
        <f t="shared" si="35"/>
        <v>-10</v>
      </c>
      <c r="AC58" s="32">
        <f t="shared" si="36"/>
        <v>2160</v>
      </c>
      <c r="AD58" s="31">
        <v>96790.739992700604</v>
      </c>
      <c r="AE58" s="34">
        <f t="shared" si="37"/>
        <v>-1.878692269748419</v>
      </c>
      <c r="AF58" s="3"/>
      <c r="AG58" s="97">
        <f>AG59-20</f>
        <v>-20</v>
      </c>
      <c r="AH58" s="98">
        <f t="shared" si="40"/>
        <v>80</v>
      </c>
      <c r="AI58" s="99">
        <v>98643.956375704976</v>
      </c>
      <c r="AJ58" s="100">
        <f t="shared" si="41"/>
        <v>0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 t="s">
        <v>110</v>
      </c>
      <c r="P59" s="24">
        <f>W49</f>
        <v>-15163.382228930663</v>
      </c>
      <c r="Q59" s="3" t="s">
        <v>3</v>
      </c>
      <c r="R59" s="49">
        <f t="shared" si="39"/>
        <v>-3.7908455572326659E-2</v>
      </c>
      <c r="S59" s="3" t="s">
        <v>4</v>
      </c>
      <c r="T59" s="3"/>
      <c r="U59" s="3"/>
      <c r="V59" s="48"/>
      <c r="W59" s="3"/>
      <c r="X59" s="33"/>
      <c r="Y59" s="33"/>
      <c r="Z59" s="48"/>
      <c r="AA59" s="33"/>
      <c r="AB59" s="39">
        <v>0</v>
      </c>
      <c r="AC59" s="45">
        <f t="shared" si="36"/>
        <v>2400</v>
      </c>
      <c r="AD59" s="40">
        <v>98643.956375704976</v>
      </c>
      <c r="AE59" s="34">
        <f t="shared" si="37"/>
        <v>0</v>
      </c>
      <c r="AF59" s="3"/>
      <c r="AG59" s="101">
        <v>0</v>
      </c>
      <c r="AH59" s="102">
        <f t="shared" si="40"/>
        <v>100</v>
      </c>
      <c r="AI59" s="103">
        <v>98643.956375704976</v>
      </c>
      <c r="AJ59" s="104">
        <f t="shared" si="41"/>
        <v>0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" t="s">
        <v>2</v>
      </c>
      <c r="P60" s="4">
        <f>SUM(P55:P59)</f>
        <v>98643.956375704933</v>
      </c>
      <c r="Q60" s="1" t="s">
        <v>3</v>
      </c>
      <c r="R60" s="44">
        <f>SUM(R55:R59)</f>
        <v>0.24660989093926242</v>
      </c>
      <c r="S60" s="1" t="s">
        <v>4</v>
      </c>
      <c r="T60" s="1"/>
      <c r="U60" s="3"/>
      <c r="V60" s="48"/>
      <c r="W60" s="3"/>
      <c r="X60" s="33"/>
      <c r="Y60" s="33"/>
      <c r="Z60" s="48"/>
      <c r="AA60" s="33"/>
      <c r="AB60" s="29">
        <f t="shared" ref="AB60:AB64" si="42">AB59+10</f>
        <v>10</v>
      </c>
      <c r="AC60" s="32">
        <f t="shared" si="36"/>
        <v>2640</v>
      </c>
      <c r="AD60" s="31">
        <v>100497.1727587093</v>
      </c>
      <c r="AE60" s="34">
        <f t="shared" si="37"/>
        <v>1.8786922697483746</v>
      </c>
      <c r="AF60" s="3"/>
      <c r="AG60" s="97">
        <f>AG59+20</f>
        <v>20</v>
      </c>
      <c r="AH60" s="98">
        <f t="shared" si="40"/>
        <v>120</v>
      </c>
      <c r="AI60" s="99">
        <v>98643.956375704976</v>
      </c>
      <c r="AJ60" s="100">
        <f t="shared" si="41"/>
        <v>0</v>
      </c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8"/>
      <c r="W61" s="3"/>
      <c r="X61" s="33"/>
      <c r="Y61" s="33"/>
      <c r="Z61" s="48"/>
      <c r="AA61" s="33"/>
      <c r="AB61" s="29">
        <f t="shared" si="42"/>
        <v>20</v>
      </c>
      <c r="AC61" s="32">
        <f t="shared" si="36"/>
        <v>2880</v>
      </c>
      <c r="AD61" s="31">
        <v>102350.38914171369</v>
      </c>
      <c r="AE61" s="34">
        <f t="shared" si="37"/>
        <v>3.7573845394968082</v>
      </c>
      <c r="AF61" s="3"/>
      <c r="AG61" s="97">
        <f t="shared" ref="AG61:AG64" si="43">AG60+20</f>
        <v>40</v>
      </c>
      <c r="AH61" s="98">
        <f t="shared" si="40"/>
        <v>140</v>
      </c>
      <c r="AI61" s="99">
        <v>98643.956375704976</v>
      </c>
      <c r="AJ61" s="100">
        <f t="shared" si="41"/>
        <v>0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8"/>
      <c r="W62" s="3"/>
      <c r="X62" s="33"/>
      <c r="Y62" s="33"/>
      <c r="Z62" s="48"/>
      <c r="AA62" s="33"/>
      <c r="AB62" s="29">
        <f t="shared" si="42"/>
        <v>30</v>
      </c>
      <c r="AC62" s="32">
        <f t="shared" si="36"/>
        <v>3120</v>
      </c>
      <c r="AD62" s="31">
        <v>104203.60552471805</v>
      </c>
      <c r="AE62" s="34">
        <f t="shared" si="37"/>
        <v>5.6360768092452123</v>
      </c>
      <c r="AF62" s="3"/>
      <c r="AG62" s="97">
        <f t="shared" si="43"/>
        <v>60</v>
      </c>
      <c r="AH62" s="98">
        <f t="shared" si="40"/>
        <v>160</v>
      </c>
      <c r="AI62" s="99">
        <v>98643.956375704976</v>
      </c>
      <c r="AJ62" s="100">
        <f t="shared" si="41"/>
        <v>0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8"/>
      <c r="W63" s="3"/>
      <c r="X63" s="33"/>
      <c r="Y63" s="33"/>
      <c r="Z63" s="48"/>
      <c r="AA63" s="33"/>
      <c r="AB63" s="29">
        <f t="shared" si="42"/>
        <v>40</v>
      </c>
      <c r="AC63" s="32">
        <f t="shared" si="36"/>
        <v>3360</v>
      </c>
      <c r="AD63" s="31">
        <v>106056.82190772239</v>
      </c>
      <c r="AE63" s="34">
        <f t="shared" si="37"/>
        <v>7.5147690789936012</v>
      </c>
      <c r="AF63" s="3"/>
      <c r="AG63" s="97">
        <f t="shared" si="43"/>
        <v>80</v>
      </c>
      <c r="AH63" s="98">
        <f t="shared" si="40"/>
        <v>180</v>
      </c>
      <c r="AI63" s="99">
        <v>98643.956375704976</v>
      </c>
      <c r="AJ63" s="100">
        <f t="shared" si="41"/>
        <v>0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8"/>
      <c r="W64" s="3"/>
      <c r="X64" s="33"/>
      <c r="Y64" s="33"/>
      <c r="Z64" s="48"/>
      <c r="AA64" s="33"/>
      <c r="AB64" s="29">
        <f t="shared" si="42"/>
        <v>50</v>
      </c>
      <c r="AC64" s="32">
        <f t="shared" si="36"/>
        <v>3600</v>
      </c>
      <c r="AD64" s="31">
        <v>107910.03829072672</v>
      </c>
      <c r="AE64" s="34">
        <f t="shared" si="37"/>
        <v>9.393461348741976</v>
      </c>
      <c r="AF64" s="3"/>
      <c r="AG64" s="97">
        <f t="shared" si="43"/>
        <v>100</v>
      </c>
      <c r="AH64" s="98">
        <f t="shared" si="40"/>
        <v>200</v>
      </c>
      <c r="AI64" s="99">
        <v>98643.956375704976</v>
      </c>
      <c r="AJ64" s="100">
        <f t="shared" si="41"/>
        <v>0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8"/>
      <c r="W65" s="3"/>
      <c r="X65" s="33"/>
      <c r="Y65" s="33"/>
      <c r="Z65" s="48"/>
      <c r="AA65" s="33"/>
      <c r="AB65" s="3"/>
      <c r="AC65" s="3"/>
      <c r="AD65" s="3"/>
      <c r="AE65" s="3"/>
      <c r="AF65" s="3"/>
      <c r="AG65" s="3"/>
      <c r="AH65" s="6"/>
      <c r="AI65" s="8"/>
      <c r="AJ65" s="35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8"/>
      <c r="W66" s="3"/>
      <c r="X66" s="33"/>
      <c r="Y66" s="33"/>
      <c r="Z66" s="48"/>
      <c r="AA66" s="33"/>
      <c r="AB66" s="96" t="s">
        <v>194</v>
      </c>
      <c r="AC66" s="97"/>
      <c r="AD66" s="97"/>
      <c r="AE66" s="97"/>
      <c r="AF66" s="3"/>
      <c r="AG66" s="3"/>
      <c r="AH66" s="6"/>
      <c r="AI66" s="8"/>
      <c r="AJ66" s="35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8"/>
      <c r="W67" s="3"/>
      <c r="X67" s="33"/>
      <c r="Y67" s="33"/>
      <c r="Z67" s="48"/>
      <c r="AA67" s="33"/>
      <c r="AB67" s="97" t="s">
        <v>67</v>
      </c>
      <c r="AC67" s="97" t="s">
        <v>194</v>
      </c>
      <c r="AD67" s="97" t="s">
        <v>22</v>
      </c>
      <c r="AE67" s="97" t="s">
        <v>69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8"/>
      <c r="W68" s="3"/>
      <c r="X68" s="33"/>
      <c r="Y68" s="33"/>
      <c r="Z68" s="48"/>
      <c r="AA68" s="33"/>
      <c r="AB68" s="97" t="s">
        <v>73</v>
      </c>
      <c r="AC68" s="121">
        <v>0.19</v>
      </c>
      <c r="AD68" s="99">
        <f>X49</f>
        <v>98643.956375704976</v>
      </c>
      <c r="AE68" s="97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50"/>
      <c r="Y69" s="50"/>
      <c r="Z69" s="3"/>
      <c r="AA69" s="50"/>
      <c r="AB69" s="97">
        <f t="shared" ref="AB69:AB73" si="44">AB70-10</f>
        <v>-50</v>
      </c>
      <c r="AC69" s="121">
        <f>$AC$68*(1-(AB69/100))</f>
        <v>0.28500000000000003</v>
      </c>
      <c r="AD69" s="99">
        <f t="dataTable" ref="AD69:AD79" dt2D="0" dtr="0" r1="J17"/>
        <v>104147.72538935742</v>
      </c>
      <c r="AE69" s="100">
        <f>100*((AD69-$AD$74)/$AD$74)</f>
        <v>5.5794284980726614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97">
        <f t="shared" si="44"/>
        <v>-40</v>
      </c>
      <c r="AC70" s="121">
        <f t="shared" ref="AC70:AC73" si="45">$AC$68*(1-(AB70/100))</f>
        <v>0.26599999999999996</v>
      </c>
      <c r="AD70" s="99">
        <v>103046.97158662691</v>
      </c>
      <c r="AE70" s="100">
        <f t="shared" ref="AE70:AE79" si="46">100*((AD70-$AD$74)/$AD$74)</f>
        <v>4.4635427984581053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97">
        <f t="shared" si="44"/>
        <v>-30</v>
      </c>
      <c r="AC71" s="121">
        <f t="shared" si="45"/>
        <v>0.24700000000000003</v>
      </c>
      <c r="AD71" s="99">
        <v>101946.21778389643</v>
      </c>
      <c r="AE71" s="100">
        <f t="shared" si="46"/>
        <v>3.347657098843579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97">
        <f t="shared" si="44"/>
        <v>-20</v>
      </c>
      <c r="AC72" s="121">
        <f t="shared" si="45"/>
        <v>0.22799999999999998</v>
      </c>
      <c r="AD72" s="99">
        <v>100845.46398116594</v>
      </c>
      <c r="AE72" s="100">
        <f t="shared" si="46"/>
        <v>2.2317713992290527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97">
        <f t="shared" si="44"/>
        <v>-10</v>
      </c>
      <c r="AC73" s="121">
        <f t="shared" si="45"/>
        <v>0.20900000000000002</v>
      </c>
      <c r="AD73" s="99">
        <v>99744.71017843546</v>
      </c>
      <c r="AE73" s="100">
        <f t="shared" si="46"/>
        <v>1.1158856996145263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01">
        <v>0</v>
      </c>
      <c r="AC74" s="122">
        <f t="shared" ref="AC74" si="47">$AC$68*(1+(AB74/100))</f>
        <v>0.19</v>
      </c>
      <c r="AD74" s="103">
        <v>98643.956375704976</v>
      </c>
      <c r="AE74" s="104">
        <f t="shared" si="46"/>
        <v>0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97">
        <f t="shared" ref="AB75:AB79" si="48">AB74+10</f>
        <v>10</v>
      </c>
      <c r="AC75" s="121">
        <f t="shared" ref="AC75:AC79" si="49">$AC$68*(1-(AB75/100))</f>
        <v>0.17100000000000001</v>
      </c>
      <c r="AD75" s="99">
        <v>97543.202572974478</v>
      </c>
      <c r="AE75" s="100">
        <f t="shared" si="46"/>
        <v>-1.115885699614541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97">
        <f t="shared" si="48"/>
        <v>20</v>
      </c>
      <c r="AC76" s="121">
        <f t="shared" si="49"/>
        <v>0.15200000000000002</v>
      </c>
      <c r="AD76" s="99">
        <v>96442.448770243995</v>
      </c>
      <c r="AE76" s="100">
        <f t="shared" si="46"/>
        <v>-2.2317713992290673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97">
        <f t="shared" si="48"/>
        <v>30</v>
      </c>
      <c r="AC77" s="121">
        <f t="shared" si="49"/>
        <v>0.13299999999999998</v>
      </c>
      <c r="AD77" s="99">
        <v>95341.694967513497</v>
      </c>
      <c r="AE77" s="100">
        <f t="shared" si="46"/>
        <v>-3.3476570988436087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97">
        <f t="shared" si="48"/>
        <v>40</v>
      </c>
      <c r="AC78" s="121">
        <f t="shared" si="49"/>
        <v>0.11399999999999999</v>
      </c>
      <c r="AD78" s="99">
        <v>94240.941164782998</v>
      </c>
      <c r="AE78" s="100">
        <f t="shared" si="46"/>
        <v>-4.4635427984581488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97">
        <f t="shared" si="48"/>
        <v>50</v>
      </c>
      <c r="AC79" s="121">
        <f t="shared" si="49"/>
        <v>9.5000000000000001E-2</v>
      </c>
      <c r="AD79" s="99">
        <v>93140.187362052515</v>
      </c>
      <c r="AE79" s="100">
        <f t="shared" si="46"/>
        <v>-5.5794284980726756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1:5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1:5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1:5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1:5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1:5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1:5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1:5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1:5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1:5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1:5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1:5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1:5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1:5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1:5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1:5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1:5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1:5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1:5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1:5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1:5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1:5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1:5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1:5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1:5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1:5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1:5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1:5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1:5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1:5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1:5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1:5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1:5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1:5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1:5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1:5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1:5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1:5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1:5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1:5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1:5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1:5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1:5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1:5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1:5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1:5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1:5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1:5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1:5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1:5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1:5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1:5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1:5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1:5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spans="1:5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spans="1:5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spans="1:5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spans="1:5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spans="1:5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spans="1:5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1:5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spans="1:5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spans="1:5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spans="1:5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spans="1:5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spans="1:5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spans="1:5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spans="1:5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spans="1:5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spans="1:5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spans="1:5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spans="1:5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spans="1:5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spans="1:5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spans="1:5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spans="1:5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spans="1:5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spans="1:5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spans="1:5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spans="1:5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spans="1:5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spans="1:5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spans="1:5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spans="1:5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spans="1:5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spans="1:5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spans="1:5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spans="1:5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spans="1:5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spans="1:5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spans="1:5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spans="1:5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spans="1:5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spans="1:5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spans="1:5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spans="1:5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spans="1:5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spans="1:5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spans="1:5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spans="1:5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spans="1:5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spans="1:5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spans="1:5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spans="1:5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spans="1:5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spans="1:5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spans="1:5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spans="1:5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spans="1:5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spans="1:5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spans="1:5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spans="1:5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spans="1:5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spans="1:5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spans="1:5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1:5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1:5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1:5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1:5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1:5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1:5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1:5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1:5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spans="1:5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spans="1:5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spans="1:5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spans="1:5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spans="1:5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1:5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1:5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1:5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spans="1:5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spans="1:5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spans="1:5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spans="1:5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spans="1:5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spans="1:5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spans="1:5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1:5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spans="1:5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spans="1:5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1:5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1:5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1:5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spans="1:5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spans="1:5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1:5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spans="1:5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1:5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spans="1:5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1:5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1:5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spans="1:5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spans="1:51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spans="1:51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spans="1:51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spans="1:51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spans="1:51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spans="1:51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1:51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spans="1:51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spans="1:51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spans="1:51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spans="1:51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spans="1:51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spans="1:51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1:51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spans="1:51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spans="1:51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spans="1:51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spans="1:51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spans="1:51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spans="1:51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spans="1:51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spans="1:51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spans="1:51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spans="1:51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spans="1:51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spans="1:51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spans="1:51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spans="1:51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spans="1:51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spans="1:51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spans="1:51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spans="1:51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spans="1:51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spans="1:51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spans="1:51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spans="1:51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spans="1:51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spans="1:51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spans="1:51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spans="1:51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spans="1:51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spans="1:51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spans="1:51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spans="1:51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spans="1:51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spans="1:51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spans="1:51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spans="1:51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spans="1:51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spans="1:51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spans="1:51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spans="1:51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spans="1:51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spans="1:51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spans="1:51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spans="1:51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spans="1:51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spans="1:51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spans="1:51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spans="1:51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spans="1:51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spans="1:51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spans="1:51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spans="1:51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spans="1:51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spans="1:51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spans="1:51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spans="1:51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spans="1:51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spans="1:51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spans="1:51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spans="1:51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spans="1:51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spans="1:51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spans="1:5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spans="1:51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spans="1:5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spans="1:51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spans="1:51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spans="1:51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spans="1:51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spans="1:51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spans="1:51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spans="1:51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spans="1:5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spans="1:51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spans="1:51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spans="1:51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spans="1:51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spans="1:51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spans="1:51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spans="1:51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spans="1:51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spans="1:51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spans="1:51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spans="1:51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spans="1:51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spans="1:51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spans="1:51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spans="1:51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spans="1:51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spans="1:51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spans="1:51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spans="1:51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spans="1:51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spans="1:51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spans="1:51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spans="1:51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spans="1:5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spans="1:51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spans="1:51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spans="1:51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spans="1:5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spans="1:51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spans="1:51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spans="1:51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spans="1:5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spans="1:51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spans="1:51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spans="1:51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spans="1:5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spans="1:51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spans="1:51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spans="1:51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spans="1:51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spans="1:51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spans="1:51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spans="1:51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spans="1:51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spans="1:51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spans="1:51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spans="1:51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spans="1:51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spans="1:51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spans="1:5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spans="1:51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spans="1:51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spans="1:51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spans="1:51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spans="1:5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spans="1:51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spans="1:51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spans="1:51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spans="1:51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spans="1:51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spans="1:51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spans="1:51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spans="1:51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spans="1:51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spans="1:51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spans="1:51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spans="1:51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spans="1:51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spans="1:51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spans="1:51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spans="1:5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spans="1:51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spans="1:5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spans="1:51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spans="1:51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spans="1:5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spans="1:51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spans="1:51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spans="1:51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spans="1:5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spans="1:51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spans="1:51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spans="1:51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spans="1:5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spans="1:51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spans="1:51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spans="1:51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spans="1:51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spans="1:51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spans="1:51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spans="1:51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spans="1:51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spans="1:51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spans="1:5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spans="1:51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spans="1:51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spans="1:51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spans="1:51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spans="1:51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spans="1:51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spans="1:51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spans="1:51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spans="1:5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spans="1:51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spans="1:51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spans="1:51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spans="1:51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spans="1:51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spans="1:51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spans="1:5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spans="1:5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spans="1:5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spans="1:5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spans="1:51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spans="1:51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spans="1:51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spans="1:51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spans="1:51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spans="1:51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spans="1:51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spans="1:51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spans="1:51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spans="1:51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spans="1:51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spans="1:51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spans="1:51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spans="1:51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spans="1:5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spans="1:51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spans="1:51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spans="1:5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spans="1:51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spans="1:51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spans="1:51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spans="1:51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spans="1:51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spans="1:51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spans="1:5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spans="1:51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spans="1:51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spans="1:51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spans="1:51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spans="1:51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spans="1:51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spans="1:51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spans="1:51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spans="1:51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spans="1:51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spans="1:51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spans="1:5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spans="1:51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spans="1:51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spans="1:51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spans="1:51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spans="1:51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spans="1:51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spans="1:5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spans="1:51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spans="1:51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spans="1:51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spans="1:51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spans="1:51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spans="1:51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spans="1:51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spans="1:51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spans="1:51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spans="1:51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spans="1:51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</row>
    <row r="497" spans="1:51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</row>
    <row r="498" spans="1:51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</row>
    <row r="499" spans="1:51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</row>
    <row r="501" spans="1:51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</row>
    <row r="502" spans="1:51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</row>
    <row r="503" spans="1:51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</row>
    <row r="504" spans="1:51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</row>
    <row r="505" spans="1:51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</row>
    <row r="506" spans="1:51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</row>
    <row r="507" spans="1:51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</row>
    <row r="508" spans="1:51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</row>
    <row r="509" spans="1:5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</row>
    <row r="510" spans="1:51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</row>
    <row r="511" spans="1:51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</row>
    <row r="512" spans="1:51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</row>
    <row r="513" spans="1:51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</row>
    <row r="514" spans="1:51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</row>
    <row r="515" spans="1:51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</row>
    <row r="516" spans="1:51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</row>
    <row r="517" spans="1:51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</row>
    <row r="518" spans="1:5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</row>
    <row r="519" spans="1:51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</row>
    <row r="520" spans="1:51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spans="1:51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</row>
    <row r="522" spans="1:51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</row>
    <row r="523" spans="1:5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</row>
    <row r="524" spans="1:51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</row>
    <row r="525" spans="1:51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</row>
    <row r="526" spans="1:51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</row>
    <row r="527" spans="1:51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</row>
    <row r="528" spans="1:51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</row>
    <row r="529" spans="1:51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</row>
    <row r="530" spans="1:5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</row>
    <row r="531" spans="1:51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</row>
    <row r="532" spans="1:51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</row>
    <row r="533" spans="1:51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</row>
    <row r="534" spans="1:5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</row>
    <row r="535" spans="1:51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</row>
    <row r="536" spans="1:51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</row>
    <row r="537" spans="1:51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</row>
    <row r="538" spans="1:5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</row>
    <row r="539" spans="1:51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</row>
    <row r="540" spans="1:51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</row>
    <row r="541" spans="1:51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</row>
    <row r="542" spans="1:51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</row>
    <row r="543" spans="1:51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</row>
    <row r="544" spans="1:51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</row>
    <row r="545" spans="1:51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</row>
    <row r="546" spans="1:51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</row>
    <row r="547" spans="1:5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</row>
    <row r="548" spans="1:51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</row>
    <row r="549" spans="1:51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</row>
    <row r="550" spans="1:51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</row>
    <row r="551" spans="1:51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</row>
    <row r="552" spans="1:51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</row>
    <row r="553" spans="1:51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</row>
    <row r="554" spans="1:51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</row>
    <row r="555" spans="1:51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</row>
    <row r="556" spans="1:51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</row>
    <row r="557" spans="1:51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</row>
    <row r="558" spans="1:51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</row>
    <row r="559" spans="1:51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</row>
    <row r="560" spans="1:51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</row>
    <row r="561" spans="1:51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</row>
    <row r="562" spans="1:51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</row>
    <row r="563" spans="1:51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</row>
    <row r="564" spans="1:51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</row>
    <row r="565" spans="1:51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</row>
    <row r="566" spans="1:51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</row>
    <row r="567" spans="1:51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</row>
    <row r="568" spans="1:51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</row>
    <row r="569" spans="1:5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</row>
    <row r="570" spans="1:51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</row>
    <row r="571" spans="1:51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</row>
    <row r="572" spans="1:51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</row>
    <row r="573" spans="1:51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</row>
    <row r="574" spans="1:51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</row>
    <row r="575" spans="1:51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</row>
    <row r="576" spans="1:51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</row>
    <row r="577" spans="1:5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</row>
    <row r="578" spans="1:51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</row>
    <row r="579" spans="1:51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</row>
    <row r="580" spans="1:51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</row>
    <row r="581" spans="1:5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</row>
    <row r="582" spans="1:51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</row>
    <row r="583" spans="1:5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</row>
    <row r="584" spans="1:51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</row>
    <row r="585" spans="1:51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</row>
    <row r="586" spans="1:51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</row>
    <row r="587" spans="1:5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</row>
    <row r="588" spans="1:5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</row>
    <row r="589" spans="1:51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</row>
    <row r="590" spans="1:51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</row>
    <row r="591" spans="1:51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</row>
    <row r="592" spans="1:51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</row>
    <row r="594" spans="1:5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</row>
    <row r="595" spans="1:51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</row>
    <row r="596" spans="1:51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</row>
    <row r="597" spans="1:51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</row>
    <row r="598" spans="1:51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</row>
    <row r="599" spans="1:5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</row>
    <row r="600" spans="1:51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</row>
    <row r="601" spans="1:51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</row>
    <row r="602" spans="1:5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</row>
    <row r="603" spans="1:51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</row>
    <row r="604" spans="1:51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</row>
    <row r="605" spans="1:51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</row>
    <row r="606" spans="1:51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</row>
    <row r="607" spans="1:51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</row>
    <row r="608" spans="1:51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</row>
    <row r="609" spans="1:5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</row>
    <row r="610" spans="1:51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</row>
    <row r="611" spans="1:51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</row>
    <row r="612" spans="1:51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</row>
    <row r="613" spans="1:51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</row>
    <row r="614" spans="1:51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</row>
    <row r="615" spans="1:51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</row>
    <row r="616" spans="1:5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</row>
    <row r="617" spans="1:51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</row>
    <row r="618" spans="1:51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</row>
    <row r="620" spans="1:51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</row>
    <row r="621" spans="1:51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</row>
    <row r="622" spans="1:51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</row>
    <row r="623" spans="1:51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</row>
    <row r="624" spans="1:51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</row>
    <row r="625" spans="1:51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</row>
    <row r="626" spans="1:51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</row>
    <row r="627" spans="1:51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</row>
    <row r="628" spans="1:51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</row>
    <row r="629" spans="1:51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</row>
    <row r="630" spans="1:51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</row>
    <row r="631" spans="1:51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</row>
    <row r="632" spans="1:51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</row>
    <row r="633" spans="1:51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</row>
    <row r="634" spans="1:51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</row>
    <row r="635" spans="1:51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</row>
    <row r="636" spans="1:51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</row>
    <row r="637" spans="1:51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</row>
    <row r="638" spans="1:51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</row>
    <row r="639" spans="1:51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</row>
    <row r="640" spans="1:51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</row>
    <row r="641" spans="1:51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</row>
    <row r="642" spans="1:51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</row>
    <row r="643" spans="1:51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</row>
    <row r="644" spans="1:51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</row>
    <row r="645" spans="1:51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</row>
    <row r="646" spans="1:51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</row>
    <row r="647" spans="1:51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</row>
    <row r="648" spans="1:51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</row>
    <row r="649" spans="1:51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</row>
    <row r="650" spans="1:51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</row>
    <row r="651" spans="1:51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</row>
    <row r="652" spans="1:51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</row>
    <row r="653" spans="1:51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</row>
    <row r="654" spans="1:5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</row>
    <row r="655" spans="1:51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</row>
    <row r="656" spans="1:51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</row>
    <row r="657" spans="1:51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</row>
    <row r="658" spans="1:51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</row>
    <row r="659" spans="1:51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</row>
    <row r="660" spans="1:51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</row>
    <row r="661" spans="1:51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</row>
    <row r="662" spans="1:51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</row>
    <row r="663" spans="1:5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</row>
    <row r="664" spans="1:51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</row>
    <row r="665" spans="1:51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</row>
    <row r="666" spans="1:51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</row>
    <row r="667" spans="1:51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</row>
    <row r="668" spans="1:51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</row>
    <row r="669" spans="1:51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</row>
    <row r="670" spans="1:51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</row>
    <row r="671" spans="1:51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</row>
    <row r="672" spans="1:51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</row>
    <row r="673" spans="1:5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</row>
    <row r="674" spans="1:51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</row>
    <row r="675" spans="1:51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</row>
    <row r="676" spans="1:51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</row>
    <row r="677" spans="1:5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</row>
    <row r="678" spans="1:51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</row>
    <row r="679" spans="1:51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</row>
    <row r="680" spans="1:5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</row>
    <row r="681" spans="1:51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</row>
    <row r="682" spans="1:51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</row>
    <row r="683" spans="1:51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</row>
    <row r="684" spans="1:51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</row>
    <row r="685" spans="1:5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</row>
    <row r="686" spans="1:51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</row>
    <row r="687" spans="1:51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</row>
    <row r="688" spans="1:5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</row>
    <row r="689" spans="1:51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</row>
    <row r="690" spans="1:51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</row>
    <row r="691" spans="1:5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</row>
    <row r="692" spans="1:51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</row>
    <row r="693" spans="1:51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</row>
    <row r="694" spans="1:5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</row>
    <row r="695" spans="1:51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</row>
    <row r="696" spans="1:51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</row>
    <row r="697" spans="1:51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</row>
    <row r="698" spans="1:51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</row>
    <row r="699" spans="1:51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</row>
    <row r="700" spans="1:51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</row>
    <row r="701" spans="1:51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</row>
    <row r="702" spans="1:51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</row>
    <row r="703" spans="1:51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</row>
    <row r="704" spans="1:51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</row>
    <row r="705" spans="1:51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</row>
    <row r="706" spans="1:51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</row>
    <row r="707" spans="1:51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</row>
    <row r="708" spans="1:51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</row>
    <row r="709" spans="1:51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</row>
    <row r="710" spans="1:51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</row>
    <row r="711" spans="1:51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</row>
    <row r="712" spans="1:51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</row>
    <row r="713" spans="1:51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</row>
    <row r="714" spans="1:51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</row>
    <row r="715" spans="1:51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</row>
    <row r="716" spans="1:51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</row>
    <row r="717" spans="1:51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</row>
    <row r="718" spans="1:51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</row>
    <row r="719" spans="1:51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</row>
    <row r="720" spans="1:51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</row>
    <row r="721" spans="1:51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</row>
    <row r="722" spans="1:51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</row>
    <row r="723" spans="1:51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</row>
    <row r="724" spans="1:51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</row>
    <row r="725" spans="1:51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</row>
    <row r="726" spans="1:51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</row>
    <row r="727" spans="1:51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</row>
    <row r="728" spans="1:51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</row>
    <row r="729" spans="1:51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</row>
    <row r="730" spans="1:51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</row>
    <row r="731" spans="1:51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</row>
    <row r="732" spans="1:51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</row>
    <row r="733" spans="1:51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</row>
    <row r="734" spans="1:51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</row>
    <row r="735" spans="1:51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</row>
    <row r="736" spans="1:51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</row>
    <row r="737" spans="1:51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</row>
    <row r="738" spans="1:51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</row>
    <row r="739" spans="1:51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</row>
    <row r="740" spans="1:51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</row>
    <row r="741" spans="1:51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</row>
    <row r="742" spans="1:51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</row>
    <row r="743" spans="1:51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</row>
    <row r="744" spans="1:51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</row>
    <row r="745" spans="1:51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</row>
    <row r="746" spans="1:51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</row>
    <row r="747" spans="1:51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</row>
    <row r="748" spans="1:51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</row>
    <row r="749" spans="1:51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</row>
    <row r="750" spans="1:51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</row>
    <row r="751" spans="1:51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</row>
    <row r="752" spans="1:51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</row>
    <row r="753" spans="1:51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</row>
    <row r="754" spans="1:51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</row>
    <row r="755" spans="1:51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</row>
    <row r="756" spans="1:51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</row>
    <row r="757" spans="1:51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</row>
    <row r="758" spans="1:51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</row>
    <row r="759" spans="1:51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spans="1:51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</row>
    <row r="761" spans="1:51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</row>
    <row r="762" spans="1:51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</row>
    <row r="763" spans="1:51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</row>
    <row r="764" spans="1:51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</row>
    <row r="765" spans="1:51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</row>
    <row r="766" spans="1:51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</row>
    <row r="767" spans="1:51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spans="1:51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</row>
    <row r="769" spans="1:51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</row>
    <row r="770" spans="1:51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</row>
    <row r="771" spans="1:51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</row>
    <row r="772" spans="1:51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</row>
    <row r="773" spans="1:51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</row>
    <row r="774" spans="1:51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</row>
    <row r="775" spans="1:51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</row>
    <row r="776" spans="1:51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</row>
    <row r="777" spans="1:51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</row>
    <row r="778" spans="1:51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</row>
    <row r="779" spans="1:51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</row>
    <row r="780" spans="1:51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</row>
    <row r="781" spans="1:51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</row>
    <row r="782" spans="1:51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</row>
    <row r="783" spans="1:51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</row>
    <row r="784" spans="1:51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</row>
    <row r="785" spans="1:51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</row>
    <row r="786" spans="1:51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</row>
    <row r="787" spans="1:51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</row>
    <row r="788" spans="1:51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</row>
    <row r="789" spans="1:51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</row>
    <row r="790" spans="1:51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</row>
    <row r="791" spans="1:51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</row>
    <row r="792" spans="1:51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</row>
    <row r="793" spans="1:51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</row>
    <row r="794" spans="1:51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</row>
    <row r="795" spans="1:51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</row>
    <row r="796" spans="1:51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</row>
    <row r="797" spans="1:51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</row>
    <row r="798" spans="1:51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</row>
    <row r="799" spans="1:51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</row>
    <row r="800" spans="1:51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</row>
    <row r="801" spans="1:51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</row>
    <row r="802" spans="1:51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</row>
    <row r="803" spans="1:51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</row>
    <row r="804" spans="1:51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</row>
    <row r="805" spans="1:51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</row>
    <row r="806" spans="1:51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</row>
    <row r="807" spans="1:51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</row>
    <row r="808" spans="1:51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</row>
    <row r="809" spans="1:51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</row>
    <row r="810" spans="1:51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</row>
    <row r="811" spans="1:51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</row>
    <row r="812" spans="1:51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</row>
    <row r="813" spans="1:51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</row>
    <row r="814" spans="1:51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</row>
    <row r="815" spans="1:51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</row>
    <row r="816" spans="1:51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</row>
    <row r="817" spans="1:51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</row>
    <row r="818" spans="1:51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</row>
    <row r="819" spans="1:51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</row>
    <row r="820" spans="1:51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</row>
    <row r="821" spans="1:51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</row>
    <row r="822" spans="1:51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</row>
    <row r="823" spans="1:51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</row>
    <row r="824" spans="1:5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</row>
    <row r="825" spans="1:51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</row>
    <row r="826" spans="1:51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</row>
    <row r="828" spans="1:51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</row>
    <row r="829" spans="1:51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</row>
    <row r="830" spans="1:51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</row>
    <row r="831" spans="1:5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</row>
    <row r="832" spans="1:51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</row>
    <row r="833" spans="1:51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</row>
    <row r="834" spans="1:51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</row>
    <row r="835" spans="1:51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</row>
    <row r="836" spans="1:51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</row>
    <row r="837" spans="1:5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</row>
    <row r="839" spans="1:51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</row>
    <row r="840" spans="1:51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</row>
    <row r="841" spans="1:51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</row>
    <row r="842" spans="1:51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</row>
    <row r="843" spans="1:51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</row>
    <row r="844" spans="1:51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</row>
    <row r="845" spans="1:5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</row>
    <row r="846" spans="1:51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</row>
    <row r="847" spans="1:51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</row>
    <row r="848" spans="1:51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</row>
    <row r="849" spans="1:5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</row>
    <row r="850" spans="1:51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</row>
    <row r="851" spans="1:51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</row>
    <row r="852" spans="1:51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</row>
    <row r="853" spans="1:51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</row>
    <row r="854" spans="1:51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</row>
    <row r="855" spans="1:51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</row>
    <row r="856" spans="1:51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</row>
    <row r="857" spans="1:5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</row>
    <row r="858" spans="1:51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</row>
    <row r="859" spans="1:5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</row>
    <row r="860" spans="1:51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</row>
    <row r="861" spans="1:51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</row>
    <row r="862" spans="1:51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</row>
    <row r="863" spans="1:51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</row>
    <row r="864" spans="1:51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</row>
    <row r="865" spans="1:51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</row>
    <row r="866" spans="1:51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</row>
    <row r="867" spans="1:5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</row>
    <row r="868" spans="1:51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</row>
    <row r="869" spans="1:51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</row>
    <row r="870" spans="1:5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</row>
    <row r="871" spans="1:51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spans="1:51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</row>
    <row r="873" spans="1:51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</row>
    <row r="874" spans="1:5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</row>
    <row r="875" spans="1:51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</row>
    <row r="876" spans="1:51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</row>
    <row r="877" spans="1:51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</row>
    <row r="878" spans="1:51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</row>
    <row r="879" spans="1:51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</row>
    <row r="880" spans="1:51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</row>
    <row r="881" spans="1:51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</row>
    <row r="882" spans="1:51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</row>
    <row r="883" spans="1:51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</row>
    <row r="884" spans="1:5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</row>
    <row r="885" spans="1:51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</row>
    <row r="886" spans="1:51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</row>
    <row r="887" spans="1:51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</row>
    <row r="888" spans="1:51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</row>
    <row r="889" spans="1:51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</row>
    <row r="890" spans="1:51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</row>
    <row r="891" spans="1:51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</row>
    <row r="892" spans="1:51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</row>
    <row r="893" spans="1:51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</row>
    <row r="894" spans="1:51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</row>
    <row r="895" spans="1:5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</row>
    <row r="896" spans="1:51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</row>
    <row r="897" spans="1:51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</row>
    <row r="898" spans="1:51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</row>
    <row r="899" spans="1:5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</row>
    <row r="900" spans="1:51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</row>
    <row r="901" spans="1:51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</row>
    <row r="902" spans="1:51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</row>
    <row r="903" spans="1:51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</row>
    <row r="904" spans="1:51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</row>
    <row r="905" spans="1:51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</row>
    <row r="906" spans="1:51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</row>
    <row r="907" spans="1:51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</row>
    <row r="909" spans="1:51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</row>
    <row r="910" spans="1:51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</row>
    <row r="911" spans="1:51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</row>
    <row r="912" spans="1:51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</row>
    <row r="913" spans="1:51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</row>
    <row r="914" spans="1:51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</row>
    <row r="915" spans="1:51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</row>
    <row r="916" spans="1:51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</row>
    <row r="917" spans="1:51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</row>
    <row r="918" spans="1:51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</row>
    <row r="919" spans="1:51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</row>
    <row r="920" spans="1:51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</row>
    <row r="921" spans="1:51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</row>
    <row r="922" spans="1:51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</row>
    <row r="923" spans="1:51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</row>
    <row r="925" spans="1:51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</row>
    <row r="926" spans="1:51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</row>
    <row r="927" spans="1:51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</row>
    <row r="928" spans="1:51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</row>
    <row r="929" spans="1:51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</row>
    <row r="930" spans="1:51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</row>
    <row r="931" spans="1:51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</row>
    <row r="932" spans="1:51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</row>
    <row r="933" spans="1:51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</row>
    <row r="934" spans="1:51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</row>
    <row r="935" spans="1:51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</row>
    <row r="936" spans="1:51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</row>
    <row r="937" spans="1:51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</row>
    <row r="939" spans="1:51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</row>
    <row r="940" spans="1:51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</row>
    <row r="941" spans="1:51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</row>
    <row r="942" spans="1:51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</row>
    <row r="943" spans="1:51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</row>
    <row r="944" spans="1:51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</row>
    <row r="945" spans="1:51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</row>
    <row r="946" spans="1:51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</row>
    <row r="947" spans="1:51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</row>
    <row r="948" spans="1:51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</row>
    <row r="949" spans="1:51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</row>
    <row r="950" spans="1:51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</row>
    <row r="951" spans="1:51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</row>
    <row r="952" spans="1:51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</row>
    <row r="953" spans="1:51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</row>
    <row r="954" spans="1:51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</row>
    <row r="955" spans="1:51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</row>
    <row r="956" spans="1:51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</row>
    <row r="957" spans="1:51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</row>
    <row r="958" spans="1:51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</row>
    <row r="959" spans="1:51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</row>
    <row r="960" spans="1:51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</row>
    <row r="961" spans="1:51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</row>
    <row r="962" spans="1:51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</row>
    <row r="963" spans="1:51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</row>
    <row r="964" spans="1:51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</row>
    <row r="965" spans="1:51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</row>
    <row r="966" spans="1:51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</row>
    <row r="967" spans="1:51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</row>
    <row r="968" spans="1:51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</row>
    <row r="969" spans="1:51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</row>
    <row r="970" spans="1:51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</row>
    <row r="971" spans="1:51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</row>
    <row r="972" spans="1:51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</row>
    <row r="973" spans="1:51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</row>
    <row r="974" spans="1:51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</row>
    <row r="975" spans="1:51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</row>
    <row r="976" spans="1:51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</row>
    <row r="977" spans="1:51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</row>
    <row r="978" spans="1:51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</row>
    <row r="979" spans="1:51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</row>
    <row r="980" spans="1:51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</row>
    <row r="982" spans="1:51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</row>
    <row r="983" spans="1:51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</row>
    <row r="984" spans="1:51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</row>
    <row r="985" spans="1:51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</row>
    <row r="986" spans="1:51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</row>
    <row r="987" spans="1:51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</row>
    <row r="988" spans="1:51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</row>
    <row r="989" spans="1:51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</row>
    <row r="990" spans="1:51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</row>
    <row r="991" spans="1:51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</row>
    <row r="992" spans="1:51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</row>
    <row r="993" spans="1:51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</row>
    <row r="994" spans="1:51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</row>
    <row r="995" spans="1:51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</row>
    <row r="996" spans="1:51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</row>
    <row r="997" spans="1:51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</row>
    <row r="998" spans="1:51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</row>
    <row r="999" spans="1:51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</row>
    <row r="1000" spans="1:51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</row>
  </sheetData>
  <pageMargins left="0.7" right="0.7" top="0.75" bottom="0.75" header="0" footer="0"/>
  <pageSetup orientation="landscape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1FF11F-4BCB-490E-8608-39511E869BD5}">
          <x14:formula1>
            <xm:f>Description!$A$18:$A$19</xm:f>
          </x14:formula1>
          <xm:sqref>J24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AO1000"/>
  <sheetViews>
    <sheetView topLeftCell="J6" zoomScaleNormal="100" workbookViewId="0">
      <selection activeCell="J8" sqref="J8:J1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47" bestFit="1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16" customWidth="1"/>
    <col min="20" max="20" width="22" customWidth="1"/>
    <col min="21" max="21" width="23.85546875" customWidth="1"/>
    <col min="22" max="22" width="12.7109375" customWidth="1"/>
    <col min="23" max="23" width="19.42578125" customWidth="1"/>
    <col min="24" max="24" width="13.42578125" customWidth="1"/>
    <col min="25" max="25" width="8.85546875" customWidth="1"/>
    <col min="26" max="26" width="20.140625" customWidth="1"/>
    <col min="27" max="27" width="25" customWidth="1"/>
    <col min="28" max="28" width="12.85546875" customWidth="1"/>
    <col min="29" max="29" width="19" customWidth="1"/>
    <col min="30" max="30" width="4.7109375" customWidth="1"/>
    <col min="31" max="31" width="20.140625" customWidth="1"/>
    <col min="32" max="32" width="19.28515625" customWidth="1"/>
    <col min="33" max="33" width="11.28515625" customWidth="1"/>
    <col min="34" max="34" width="17.85546875" customWidth="1"/>
  </cols>
  <sheetData>
    <row r="1" spans="1:34" x14ac:dyDescent="0.25">
      <c r="A1" s="1" t="s">
        <v>0</v>
      </c>
      <c r="B1" s="2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1" t="s">
        <v>2</v>
      </c>
      <c r="B2" s="4">
        <f>U49</f>
        <v>94648.527903259019</v>
      </c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5">
      <c r="A3" s="3"/>
      <c r="B3" s="5">
        <f>B2/F41</f>
        <v>0.23662131975814754</v>
      </c>
      <c r="C3" s="1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1" t="s">
        <v>5</v>
      </c>
      <c r="B4" s="3"/>
      <c r="C4" s="3"/>
      <c r="D4" s="3"/>
      <c r="E4" s="6"/>
      <c r="F4" s="3"/>
      <c r="G4" s="3"/>
      <c r="H4" s="3"/>
      <c r="I4" s="3"/>
      <c r="J4" s="7"/>
      <c r="K4" s="3"/>
      <c r="L4" s="3"/>
      <c r="M4" s="3"/>
      <c r="N4" s="1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 t="s">
        <v>7</v>
      </c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3" t="s">
        <v>8</v>
      </c>
      <c r="B5" s="8">
        <v>10</v>
      </c>
      <c r="C5" s="3" t="s">
        <v>9</v>
      </c>
      <c r="D5" s="3"/>
      <c r="E5" s="3"/>
      <c r="F5" s="6"/>
      <c r="G5" s="3"/>
      <c r="H5" s="3"/>
      <c r="I5" s="3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111</v>
      </c>
      <c r="R7" s="13" t="s">
        <v>112</v>
      </c>
      <c r="S7" s="13"/>
      <c r="T7" s="13" t="s">
        <v>21</v>
      </c>
      <c r="U7" s="14" t="s">
        <v>22</v>
      </c>
      <c r="V7" s="1"/>
      <c r="W7" s="3"/>
      <c r="X7" s="3"/>
      <c r="Y7" s="3"/>
      <c r="Z7" s="3" t="s">
        <v>23</v>
      </c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15" t="s">
        <v>24</v>
      </c>
      <c r="B8" s="8">
        <v>4043</v>
      </c>
      <c r="C8" s="3" t="s">
        <v>25</v>
      </c>
      <c r="D8" s="3"/>
      <c r="E8" s="3"/>
      <c r="F8" s="3"/>
      <c r="G8" s="3"/>
      <c r="H8" s="16"/>
      <c r="I8" s="17" t="s">
        <v>195</v>
      </c>
      <c r="J8" s="8">
        <v>39125806.451612905</v>
      </c>
      <c r="K8" s="3" t="s">
        <v>27</v>
      </c>
      <c r="L8" s="16"/>
      <c r="M8" s="3"/>
      <c r="N8" s="13">
        <v>0</v>
      </c>
      <c r="O8" s="18">
        <f>F31</f>
        <v>3417.0967741935488</v>
      </c>
      <c r="P8" s="13"/>
      <c r="Q8" s="13"/>
      <c r="R8" s="13"/>
      <c r="S8" s="13"/>
      <c r="T8" s="13"/>
      <c r="U8" s="19">
        <f t="shared" ref="U8:U48" si="0">SUM(O8:T8)</f>
        <v>3417.0967741935488</v>
      </c>
      <c r="V8" s="4"/>
      <c r="W8" s="8"/>
      <c r="X8" s="3"/>
      <c r="Y8" s="3"/>
      <c r="Z8" s="3" t="s">
        <v>177</v>
      </c>
      <c r="AA8" s="20">
        <f>F36</f>
        <v>1.0264654959188722</v>
      </c>
      <c r="AB8" s="3" t="s">
        <v>114</v>
      </c>
      <c r="AC8" s="3">
        <v>0.43870967741935485</v>
      </c>
      <c r="AD8" s="3"/>
      <c r="AE8" s="3"/>
      <c r="AF8" s="3"/>
      <c r="AG8" s="3"/>
      <c r="AH8" s="3"/>
    </row>
    <row r="9" spans="1:34" x14ac:dyDescent="0.25">
      <c r="A9" s="15"/>
      <c r="B9" s="3"/>
      <c r="C9" s="3"/>
      <c r="D9" s="3"/>
      <c r="E9" s="3"/>
      <c r="F9" s="6"/>
      <c r="G9" s="3"/>
      <c r="H9" s="16"/>
      <c r="I9" s="3"/>
      <c r="J9" s="3"/>
      <c r="K9" s="3"/>
      <c r="L9" s="16"/>
      <c r="M9" s="3"/>
      <c r="N9" s="13">
        <v>1</v>
      </c>
      <c r="O9" s="13"/>
      <c r="P9" s="21">
        <f t="shared" ref="P9:P48" si="1">IF(N9&gt;0,IF(N9&lt;=$J$15,(($F$32+$F$33)/$J$15)/((1+($F$11/100))^N9),0),0)</f>
        <v>2252.2464516129035</v>
      </c>
      <c r="Q9" s="22">
        <f t="shared" ref="Q9:Q48" si="2">IF(N9&gt;0,($F$38*((1+($F$14/100))^(N9-1)))/((1+($F$11/100))^N9),0)</f>
        <v>6256.5515941721724</v>
      </c>
      <c r="R9" s="22">
        <f t="shared" ref="R9:R48" si="3">IF(N9&gt;0,$J$31/((1+($F$11/100))^N9),0)</f>
        <v>3846.036064685582</v>
      </c>
      <c r="S9" s="22"/>
      <c r="T9" s="21">
        <f t="shared" ref="T9:T48" si="4">IF(N9=$B$5,((((1-$J$12/100)^N9)*$B$44)/((1+($F$11/100))^N9))*-1,0)</f>
        <v>0</v>
      </c>
      <c r="U9" s="19">
        <f t="shared" si="0"/>
        <v>12354.834110470658</v>
      </c>
      <c r="V9" s="4"/>
      <c r="W9" s="8"/>
      <c r="X9" s="3"/>
      <c r="Y9" s="3"/>
      <c r="Z9" s="3" t="s">
        <v>176</v>
      </c>
      <c r="AA9" s="24">
        <f>B47</f>
        <v>11390.322580645163</v>
      </c>
      <c r="AB9" s="3" t="s">
        <v>3</v>
      </c>
      <c r="AC9" s="3">
        <v>101935.48387096774</v>
      </c>
      <c r="AD9" s="8"/>
      <c r="AE9" s="3"/>
      <c r="AF9" s="3"/>
      <c r="AG9" s="3"/>
      <c r="AH9" s="3"/>
    </row>
    <row r="10" spans="1:34" x14ac:dyDescent="0.25">
      <c r="A10" s="23" t="s">
        <v>32</v>
      </c>
      <c r="B10" s="3"/>
      <c r="C10" s="3"/>
      <c r="D10" s="3"/>
      <c r="E10" s="1" t="s">
        <v>33</v>
      </c>
      <c r="F10" s="3"/>
      <c r="G10" s="3"/>
      <c r="H10" s="16"/>
      <c r="I10" s="17" t="s">
        <v>115</v>
      </c>
      <c r="J10" s="27">
        <v>0.16</v>
      </c>
      <c r="K10" s="3" t="s">
        <v>116</v>
      </c>
      <c r="L10" s="16"/>
      <c r="M10" s="3"/>
      <c r="N10" s="13">
        <f t="shared" ref="N10:N48" si="5">IF((N9+1)&gt;$B$5,,IF(N9=0,,N9+1))</f>
        <v>2</v>
      </c>
      <c r="O10" s="13"/>
      <c r="P10" s="21">
        <f t="shared" si="1"/>
        <v>2144.9966205837177</v>
      </c>
      <c r="Q10" s="22">
        <f t="shared" si="2"/>
        <v>6018.2067715370422</v>
      </c>
      <c r="R10" s="22">
        <f t="shared" si="3"/>
        <v>3662.8914901767448</v>
      </c>
      <c r="S10" s="22"/>
      <c r="T10" s="21">
        <f t="shared" si="4"/>
        <v>0</v>
      </c>
      <c r="U10" s="19">
        <f t="shared" si="0"/>
        <v>11826.094882297504</v>
      </c>
      <c r="V10" s="4"/>
      <c r="W10" s="8"/>
      <c r="X10" s="3"/>
      <c r="Y10" s="3"/>
      <c r="Z10" s="3" t="s">
        <v>40</v>
      </c>
      <c r="AA10" s="8">
        <f>F12</f>
        <v>40000</v>
      </c>
      <c r="AB10" s="3" t="s">
        <v>41</v>
      </c>
      <c r="AC10" s="3">
        <v>70353</v>
      </c>
      <c r="AD10" s="8"/>
      <c r="AE10" s="3"/>
      <c r="AF10" s="3"/>
      <c r="AG10" s="3"/>
      <c r="AH10" s="3"/>
    </row>
    <row r="11" spans="1:34" x14ac:dyDescent="0.25">
      <c r="A11" s="25" t="s">
        <v>167</v>
      </c>
      <c r="B11" s="3">
        <v>0</v>
      </c>
      <c r="C11" s="3" t="s">
        <v>36</v>
      </c>
      <c r="D11" s="3"/>
      <c r="E11" s="17" t="s">
        <v>37</v>
      </c>
      <c r="F11" s="3">
        <v>5</v>
      </c>
      <c r="G11" s="3" t="s">
        <v>36</v>
      </c>
      <c r="H11" s="16"/>
      <c r="I11" s="17" t="s">
        <v>50</v>
      </c>
      <c r="J11" s="3">
        <v>30</v>
      </c>
      <c r="K11" s="3" t="s">
        <v>51</v>
      </c>
      <c r="L11" s="16"/>
      <c r="M11" s="3"/>
      <c r="N11" s="13">
        <f t="shared" si="5"/>
        <v>3</v>
      </c>
      <c r="O11" s="13"/>
      <c r="P11" s="21">
        <f t="shared" si="1"/>
        <v>2042.8539243654454</v>
      </c>
      <c r="Q11" s="22">
        <f t="shared" si="2"/>
        <v>5788.9417516689637</v>
      </c>
      <c r="R11" s="22">
        <f t="shared" si="3"/>
        <v>3488.4680858826137</v>
      </c>
      <c r="S11" s="22"/>
      <c r="T11" s="21">
        <f t="shared" si="4"/>
        <v>0</v>
      </c>
      <c r="U11" s="19">
        <f t="shared" si="0"/>
        <v>11320.263761917024</v>
      </c>
      <c r="V11" s="4"/>
      <c r="W11" s="8"/>
      <c r="X11" s="3"/>
      <c r="Y11" s="3"/>
      <c r="Z11" s="17" t="s">
        <v>46</v>
      </c>
      <c r="AA11" s="8">
        <f>J35</f>
        <v>4000</v>
      </c>
      <c r="AB11" s="3" t="s">
        <v>47</v>
      </c>
      <c r="AC11" s="3">
        <v>19063.393548387096</v>
      </c>
      <c r="AD11" s="8"/>
      <c r="AE11" s="3"/>
      <c r="AF11" s="3"/>
      <c r="AG11" s="3"/>
      <c r="AH11" s="3"/>
    </row>
    <row r="12" spans="1:34" x14ac:dyDescent="0.25">
      <c r="A12" s="25" t="s">
        <v>42</v>
      </c>
      <c r="B12" s="3">
        <v>0</v>
      </c>
      <c r="C12" s="3" t="s">
        <v>36</v>
      </c>
      <c r="D12" s="3"/>
      <c r="E12" s="17" t="s">
        <v>43</v>
      </c>
      <c r="F12" s="8">
        <v>40000</v>
      </c>
      <c r="G12" s="3" t="s">
        <v>41</v>
      </c>
      <c r="H12" s="16"/>
      <c r="I12" s="17" t="s">
        <v>58</v>
      </c>
      <c r="J12" s="3">
        <v>7.08</v>
      </c>
      <c r="K12" s="3" t="s">
        <v>59</v>
      </c>
      <c r="L12" s="16"/>
      <c r="M12" s="3"/>
      <c r="N12" s="13">
        <f t="shared" si="5"/>
        <v>4</v>
      </c>
      <c r="O12" s="13"/>
      <c r="P12" s="21">
        <f t="shared" si="1"/>
        <v>1945.5751660623291</v>
      </c>
      <c r="Q12" s="22">
        <f t="shared" si="2"/>
        <v>5568.4106373196701</v>
      </c>
      <c r="R12" s="22">
        <f t="shared" si="3"/>
        <v>3322.3505579834423</v>
      </c>
      <c r="S12" s="22"/>
      <c r="T12" s="21">
        <f t="shared" si="4"/>
        <v>0</v>
      </c>
      <c r="U12" s="19">
        <f t="shared" si="0"/>
        <v>10836.336361365442</v>
      </c>
      <c r="V12" s="4"/>
      <c r="W12" s="8"/>
      <c r="X12" s="3"/>
      <c r="Y12" s="3"/>
      <c r="Z12" s="61" t="s">
        <v>194</v>
      </c>
      <c r="AA12" s="67">
        <f>J10</f>
        <v>0.16</v>
      </c>
      <c r="AB12" s="61" t="s">
        <v>116</v>
      </c>
      <c r="AC12" s="3"/>
      <c r="AD12" s="8"/>
      <c r="AE12" s="3"/>
      <c r="AF12" s="3"/>
      <c r="AG12" s="3"/>
      <c r="AH12" s="3"/>
    </row>
    <row r="13" spans="1:34" x14ac:dyDescent="0.25">
      <c r="A13" s="25" t="s">
        <v>48</v>
      </c>
      <c r="B13" s="3">
        <v>10</v>
      </c>
      <c r="C13" s="3" t="s">
        <v>36</v>
      </c>
      <c r="D13" s="3"/>
      <c r="E13" s="17" t="s">
        <v>113</v>
      </c>
      <c r="F13" s="8">
        <v>4150</v>
      </c>
      <c r="G13" s="3" t="s">
        <v>117</v>
      </c>
      <c r="H13" s="16"/>
      <c r="I13" s="17"/>
      <c r="J13" s="8"/>
      <c r="K13" s="3"/>
      <c r="L13" s="16"/>
      <c r="M13" s="3"/>
      <c r="N13" s="13">
        <f t="shared" si="5"/>
        <v>5</v>
      </c>
      <c r="O13" s="13"/>
      <c r="P13" s="21">
        <f t="shared" si="1"/>
        <v>1852.9287295831705</v>
      </c>
      <c r="Q13" s="22">
        <f t="shared" si="2"/>
        <v>5356.2807082789204</v>
      </c>
      <c r="R13" s="22">
        <f t="shared" si="3"/>
        <v>3164.1433885556589</v>
      </c>
      <c r="S13" s="22"/>
      <c r="T13" s="21">
        <f t="shared" si="4"/>
        <v>0</v>
      </c>
      <c r="U13" s="19">
        <f t="shared" si="0"/>
        <v>10373.352826417751</v>
      </c>
      <c r="V13" s="4"/>
      <c r="W13" s="8"/>
      <c r="X13" s="3"/>
      <c r="Y13" s="3"/>
      <c r="Z13" s="61"/>
      <c r="AA13" s="67"/>
      <c r="AB13" s="61"/>
      <c r="AC13" s="3"/>
      <c r="AD13" s="8"/>
      <c r="AE13" s="3"/>
      <c r="AF13" s="3"/>
      <c r="AG13" s="3"/>
      <c r="AH13" s="3"/>
    </row>
    <row r="14" spans="1:34" x14ac:dyDescent="0.25">
      <c r="A14" s="25"/>
      <c r="B14" s="3"/>
      <c r="C14" s="3"/>
      <c r="D14" s="3"/>
      <c r="E14" s="17" t="s">
        <v>118</v>
      </c>
      <c r="F14" s="3">
        <v>1</v>
      </c>
      <c r="G14" s="3" t="s">
        <v>53</v>
      </c>
      <c r="H14" s="16"/>
      <c r="I14" s="1" t="s">
        <v>66</v>
      </c>
      <c r="J14" s="3"/>
      <c r="K14" s="3"/>
      <c r="L14" s="16"/>
      <c r="M14" s="3"/>
      <c r="N14" s="13">
        <f t="shared" si="5"/>
        <v>6</v>
      </c>
      <c r="O14" s="13"/>
      <c r="P14" s="21">
        <f t="shared" si="1"/>
        <v>0</v>
      </c>
      <c r="Q14" s="22">
        <f t="shared" si="2"/>
        <v>5152.2319193921048</v>
      </c>
      <c r="R14" s="22">
        <f t="shared" si="3"/>
        <v>3013.4698938625324</v>
      </c>
      <c r="S14" s="22"/>
      <c r="T14" s="21">
        <f t="shared" si="4"/>
        <v>0</v>
      </c>
      <c r="U14" s="19">
        <f t="shared" si="0"/>
        <v>8165.7018132546373</v>
      </c>
      <c r="V14" s="4"/>
      <c r="W14" s="8"/>
      <c r="X14" s="3"/>
      <c r="Y14" s="3"/>
      <c r="Z14" s="3"/>
      <c r="AA14" s="3"/>
      <c r="AB14" s="3"/>
      <c r="AC14" s="3"/>
      <c r="AD14" s="8"/>
      <c r="AE14" s="3"/>
      <c r="AF14" s="3"/>
      <c r="AG14" s="3"/>
      <c r="AH14" s="3"/>
    </row>
    <row r="15" spans="1:34" x14ac:dyDescent="0.25">
      <c r="A15" s="17" t="s">
        <v>55</v>
      </c>
      <c r="B15" s="3"/>
      <c r="C15" s="3" t="s">
        <v>36</v>
      </c>
      <c r="D15" s="3"/>
      <c r="E15" s="17" t="s">
        <v>119</v>
      </c>
      <c r="F15" s="3">
        <v>0</v>
      </c>
      <c r="G15" s="3" t="s">
        <v>57</v>
      </c>
      <c r="H15" s="16"/>
      <c r="I15" s="17" t="s">
        <v>72</v>
      </c>
      <c r="J15" s="3">
        <v>5</v>
      </c>
      <c r="K15" s="3" t="s">
        <v>51</v>
      </c>
      <c r="L15" s="16"/>
      <c r="M15" s="3"/>
      <c r="N15" s="13">
        <f t="shared" si="5"/>
        <v>7</v>
      </c>
      <c r="O15" s="13"/>
      <c r="P15" s="21">
        <f t="shared" si="1"/>
        <v>0</v>
      </c>
      <c r="Q15" s="22">
        <f t="shared" si="2"/>
        <v>4955.956417700977</v>
      </c>
      <c r="R15" s="22">
        <f t="shared" si="3"/>
        <v>2869.9713274881256</v>
      </c>
      <c r="S15" s="22"/>
      <c r="T15" s="21">
        <f t="shared" si="4"/>
        <v>0</v>
      </c>
      <c r="U15" s="19">
        <f t="shared" si="0"/>
        <v>7825.927745189103</v>
      </c>
      <c r="V15" s="4"/>
      <c r="W15" s="8"/>
      <c r="X15" s="3"/>
      <c r="Y15" s="3"/>
      <c r="Z15" s="3"/>
      <c r="AA15" s="3"/>
      <c r="AB15" s="3"/>
      <c r="AC15" s="3"/>
      <c r="AD15" s="8"/>
      <c r="AE15" s="3"/>
      <c r="AF15" s="3"/>
      <c r="AG15" s="3"/>
      <c r="AH15" s="3"/>
    </row>
    <row r="16" spans="1:34" x14ac:dyDescent="0.25">
      <c r="A16" s="25" t="s">
        <v>131</v>
      </c>
      <c r="B16" s="3">
        <v>7</v>
      </c>
      <c r="C16" s="3" t="s">
        <v>36</v>
      </c>
      <c r="D16" s="3"/>
      <c r="E16" s="17" t="s">
        <v>175</v>
      </c>
      <c r="F16" s="8">
        <v>155000</v>
      </c>
      <c r="G16" s="3" t="s">
        <v>57</v>
      </c>
      <c r="H16" s="16"/>
      <c r="I16" s="17" t="s">
        <v>75</v>
      </c>
      <c r="J16" s="3">
        <v>30</v>
      </c>
      <c r="K16" s="3" t="s">
        <v>76</v>
      </c>
      <c r="L16" s="16"/>
      <c r="M16" s="3"/>
      <c r="N16" s="13">
        <f t="shared" si="5"/>
        <v>8</v>
      </c>
      <c r="O16" s="13"/>
      <c r="P16" s="21">
        <f t="shared" si="1"/>
        <v>0</v>
      </c>
      <c r="Q16" s="22">
        <f t="shared" si="2"/>
        <v>4767.1580779790338</v>
      </c>
      <c r="R16" s="22">
        <f t="shared" si="3"/>
        <v>2733.3060261791679</v>
      </c>
      <c r="S16" s="22"/>
      <c r="T16" s="21">
        <f t="shared" si="4"/>
        <v>0</v>
      </c>
      <c r="U16" s="19">
        <f t="shared" si="0"/>
        <v>7500.4641041582017</v>
      </c>
      <c r="V16" s="4"/>
      <c r="W16" s="8"/>
      <c r="X16" s="3"/>
      <c r="Y16" s="3"/>
      <c r="Z16" s="3"/>
      <c r="AA16" s="3"/>
      <c r="AB16" s="3"/>
      <c r="AC16" s="3"/>
      <c r="AD16" s="8"/>
      <c r="AE16" s="3"/>
      <c r="AF16" s="3"/>
      <c r="AG16" s="3"/>
      <c r="AH16" s="3"/>
    </row>
    <row r="17" spans="1:41" x14ac:dyDescent="0.25">
      <c r="A17" s="25"/>
      <c r="B17" s="3"/>
      <c r="C17" s="3"/>
      <c r="D17" s="3"/>
      <c r="E17" s="17" t="s">
        <v>46</v>
      </c>
      <c r="F17" s="7">
        <v>404.3</v>
      </c>
      <c r="G17" s="70" t="s">
        <v>142</v>
      </c>
      <c r="H17" s="16"/>
      <c r="I17" s="3"/>
      <c r="J17" s="3"/>
      <c r="K17" s="3"/>
      <c r="L17" s="16"/>
      <c r="M17" s="3"/>
      <c r="N17" s="13">
        <f t="shared" si="5"/>
        <v>9</v>
      </c>
      <c r="O17" s="13"/>
      <c r="P17" s="21">
        <f t="shared" si="1"/>
        <v>0</v>
      </c>
      <c r="Q17" s="22">
        <f t="shared" si="2"/>
        <v>4585.5520559607867</v>
      </c>
      <c r="R17" s="22">
        <f t="shared" si="3"/>
        <v>2603.1485963611121</v>
      </c>
      <c r="S17" s="22"/>
      <c r="T17" s="21">
        <f t="shared" si="4"/>
        <v>0</v>
      </c>
      <c r="U17" s="19">
        <f t="shared" si="0"/>
        <v>7188.7006523218988</v>
      </c>
      <c r="V17" s="4"/>
      <c r="W17" s="8"/>
      <c r="X17" s="3"/>
      <c r="Y17" s="3"/>
      <c r="Z17" s="3"/>
      <c r="AA17" s="3"/>
      <c r="AB17" s="3"/>
      <c r="AC17" s="3"/>
      <c r="AD17" s="8"/>
      <c r="AE17" s="3"/>
      <c r="AF17" s="3"/>
      <c r="AG17" s="3"/>
      <c r="AH17" s="3"/>
    </row>
    <row r="18" spans="1:41" x14ac:dyDescent="0.25">
      <c r="A18" s="25"/>
      <c r="B18" s="8"/>
      <c r="C18" s="3"/>
      <c r="D18" s="3"/>
      <c r="E18" s="17" t="s">
        <v>71</v>
      </c>
      <c r="F18" s="3">
        <v>9.66</v>
      </c>
      <c r="G18" s="3" t="s">
        <v>59</v>
      </c>
      <c r="H18" s="16"/>
      <c r="I18" s="17"/>
      <c r="J18" s="3"/>
      <c r="K18" s="3"/>
      <c r="L18" s="16"/>
      <c r="M18" s="3"/>
      <c r="N18" s="13">
        <f t="shared" si="5"/>
        <v>10</v>
      </c>
      <c r="O18" s="13"/>
      <c r="P18" s="21">
        <f t="shared" si="1"/>
        <v>0</v>
      </c>
      <c r="Q18" s="22">
        <f t="shared" si="2"/>
        <v>4410.8643585908521</v>
      </c>
      <c r="R18" s="22">
        <f t="shared" si="3"/>
        <v>2479.1891393915353</v>
      </c>
      <c r="S18" s="22"/>
      <c r="T18" s="21">
        <f t="shared" si="4"/>
        <v>-3050.2986263091566</v>
      </c>
      <c r="U18" s="19">
        <f t="shared" si="0"/>
        <v>3839.7548716732313</v>
      </c>
      <c r="V18" s="4"/>
      <c r="W18" s="8"/>
      <c r="X18" s="3"/>
      <c r="Y18" s="3"/>
      <c r="Z18" s="3"/>
      <c r="AA18" s="3"/>
      <c r="AB18" s="3"/>
      <c r="AC18" s="3"/>
      <c r="AD18" s="8"/>
      <c r="AE18" s="3"/>
      <c r="AF18" s="3"/>
      <c r="AG18" s="3"/>
      <c r="AH18" s="3"/>
    </row>
    <row r="19" spans="1:41" x14ac:dyDescent="0.25">
      <c r="A19" s="25"/>
      <c r="B19" s="3"/>
      <c r="C19" s="3"/>
      <c r="D19" s="3"/>
      <c r="E19" s="17"/>
      <c r="F19" s="8"/>
      <c r="G19" s="3"/>
      <c r="H19" s="16"/>
      <c r="I19" s="3"/>
      <c r="J19" s="3"/>
      <c r="K19" s="3"/>
      <c r="L19" s="16"/>
      <c r="M19" s="3"/>
      <c r="N19" s="13">
        <f t="shared" si="5"/>
        <v>0</v>
      </c>
      <c r="O19" s="13"/>
      <c r="P19" s="21">
        <f t="shared" si="1"/>
        <v>0</v>
      </c>
      <c r="Q19" s="22">
        <f t="shared" si="2"/>
        <v>0</v>
      </c>
      <c r="R19" s="22">
        <f t="shared" si="3"/>
        <v>0</v>
      </c>
      <c r="S19" s="22"/>
      <c r="T19" s="21">
        <f t="shared" si="4"/>
        <v>0</v>
      </c>
      <c r="U19" s="19">
        <f t="shared" si="0"/>
        <v>0</v>
      </c>
      <c r="V19" s="4"/>
      <c r="W19" s="8"/>
      <c r="X19" s="3"/>
      <c r="Y19" s="3"/>
      <c r="Z19" s="3"/>
      <c r="AA19" s="3"/>
      <c r="AB19" s="3"/>
      <c r="AC19" s="3"/>
      <c r="AD19" s="8"/>
      <c r="AE19" s="3"/>
      <c r="AF19" s="3"/>
      <c r="AG19" s="3"/>
      <c r="AH19" s="3"/>
    </row>
    <row r="20" spans="1:41" x14ac:dyDescent="0.25">
      <c r="A20" s="25"/>
      <c r="B20" s="3"/>
      <c r="C20" s="3"/>
      <c r="D20" s="3"/>
      <c r="E20" s="87"/>
      <c r="F20" s="87"/>
      <c r="G20" s="87"/>
      <c r="H20" s="16"/>
      <c r="I20" s="3"/>
      <c r="J20" s="3"/>
      <c r="K20" s="3"/>
      <c r="L20" s="16"/>
      <c r="M20" s="3"/>
      <c r="N20" s="13">
        <f t="shared" si="5"/>
        <v>0</v>
      </c>
      <c r="O20" s="13"/>
      <c r="P20" s="21">
        <f t="shared" si="1"/>
        <v>0</v>
      </c>
      <c r="Q20" s="22">
        <f t="shared" si="2"/>
        <v>0</v>
      </c>
      <c r="R20" s="22">
        <f t="shared" si="3"/>
        <v>0</v>
      </c>
      <c r="S20" s="22"/>
      <c r="T20" s="21">
        <f t="shared" si="4"/>
        <v>0</v>
      </c>
      <c r="U20" s="19">
        <f t="shared" si="0"/>
        <v>0</v>
      </c>
      <c r="V20" s="4"/>
      <c r="W20" s="8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41" ht="15.75" customHeight="1" x14ac:dyDescent="0.25">
      <c r="A21" s="25"/>
      <c r="B21" s="3"/>
      <c r="C21" s="3"/>
      <c r="D21" s="3"/>
      <c r="E21" s="87"/>
      <c r="F21" s="87"/>
      <c r="G21" s="87"/>
      <c r="H21" s="16"/>
      <c r="I21" s="3"/>
      <c r="J21" s="3"/>
      <c r="K21" s="3"/>
      <c r="L21" s="16"/>
      <c r="M21" s="3"/>
      <c r="N21" s="13">
        <f t="shared" si="5"/>
        <v>0</v>
      </c>
      <c r="O21" s="13"/>
      <c r="P21" s="21">
        <f t="shared" si="1"/>
        <v>0</v>
      </c>
      <c r="Q21" s="22">
        <f t="shared" si="2"/>
        <v>0</v>
      </c>
      <c r="R21" s="22">
        <f t="shared" si="3"/>
        <v>0</v>
      </c>
      <c r="S21" s="22"/>
      <c r="T21" s="21">
        <f t="shared" si="4"/>
        <v>0</v>
      </c>
      <c r="U21" s="19">
        <f t="shared" si="0"/>
        <v>0</v>
      </c>
      <c r="V21" s="4"/>
      <c r="W21" s="8"/>
      <c r="X21" s="3"/>
      <c r="Y21" s="3"/>
      <c r="Z21" s="28" t="s">
        <v>113</v>
      </c>
      <c r="AA21" s="29"/>
      <c r="AB21" s="29"/>
      <c r="AC21" s="29"/>
      <c r="AD21" s="3"/>
      <c r="AE21" s="28" t="s">
        <v>26</v>
      </c>
      <c r="AF21" s="29"/>
      <c r="AG21" s="29"/>
      <c r="AH21" s="29"/>
      <c r="AJ21" s="116" t="s">
        <v>182</v>
      </c>
      <c r="AK21" s="116" t="s">
        <v>184</v>
      </c>
      <c r="AL21" s="116" t="s">
        <v>192</v>
      </c>
      <c r="AM21" s="116" t="s">
        <v>187</v>
      </c>
      <c r="AN21" s="116" t="s">
        <v>186</v>
      </c>
      <c r="AO21" s="123" t="str">
        <f>Z51</f>
        <v>Energy Efficiency</v>
      </c>
    </row>
    <row r="22" spans="1:41" ht="15.75" customHeight="1" x14ac:dyDescent="0.25">
      <c r="A22" s="25"/>
      <c r="B22" s="3"/>
      <c r="C22" s="3"/>
      <c r="D22" s="3"/>
      <c r="E22" s="3"/>
      <c r="F22" s="7"/>
      <c r="G22" s="3"/>
      <c r="H22" s="16"/>
      <c r="I22" s="3"/>
      <c r="J22" s="3"/>
      <c r="K22" s="3"/>
      <c r="L22" s="16"/>
      <c r="M22" s="3"/>
      <c r="N22" s="13">
        <f t="shared" si="5"/>
        <v>0</v>
      </c>
      <c r="O22" s="13"/>
      <c r="P22" s="21">
        <f t="shared" si="1"/>
        <v>0</v>
      </c>
      <c r="Q22" s="22">
        <f t="shared" si="2"/>
        <v>0</v>
      </c>
      <c r="R22" s="22">
        <f t="shared" si="3"/>
        <v>0</v>
      </c>
      <c r="S22" s="22"/>
      <c r="T22" s="21">
        <f t="shared" si="4"/>
        <v>0</v>
      </c>
      <c r="U22" s="19">
        <f t="shared" si="0"/>
        <v>0</v>
      </c>
      <c r="V22" s="4"/>
      <c r="W22" s="8"/>
      <c r="X22" s="3"/>
      <c r="Y22" s="3"/>
      <c r="Z22" s="29" t="s">
        <v>67</v>
      </c>
      <c r="AA22" s="29" t="s">
        <v>121</v>
      </c>
      <c r="AB22" s="29" t="s">
        <v>22</v>
      </c>
      <c r="AC22" s="29" t="s">
        <v>69</v>
      </c>
      <c r="AD22" s="3"/>
      <c r="AE22" s="29" t="s">
        <v>67</v>
      </c>
      <c r="AF22" s="29" t="s">
        <v>70</v>
      </c>
      <c r="AG22" s="29" t="s">
        <v>22</v>
      </c>
      <c r="AH22" s="29" t="s">
        <v>69</v>
      </c>
      <c r="AJ22" s="117">
        <v>-50</v>
      </c>
      <c r="AK22" s="118">
        <f>AH24</f>
        <v>-7.2138986040853972</v>
      </c>
      <c r="AL22" s="118">
        <f>AC24</f>
        <v>-27.924446086805133</v>
      </c>
      <c r="AM22" s="119">
        <f t="shared" ref="AM22:AM32" si="6">AC39</f>
        <v>-16.31665087718482</v>
      </c>
      <c r="AN22" s="119">
        <f t="shared" ref="AN22:AN32" si="7">AH39</f>
        <v>-44.241096963989939</v>
      </c>
      <c r="AO22" s="124">
        <f>AC54</f>
        <v>27.924446086805098</v>
      </c>
    </row>
    <row r="23" spans="1:41" ht="15.75" customHeight="1" x14ac:dyDescent="0.25">
      <c r="A23" s="3"/>
      <c r="B23" s="3"/>
      <c r="C23" s="3"/>
      <c r="D23" s="3"/>
      <c r="E23" s="3"/>
      <c r="F23" s="3"/>
      <c r="G23" s="3"/>
      <c r="H23" s="16"/>
      <c r="I23" s="3"/>
      <c r="J23" s="3"/>
      <c r="K23" s="3"/>
      <c r="L23" s="16"/>
      <c r="M23" s="3"/>
      <c r="N23" s="13">
        <f t="shared" si="5"/>
        <v>0</v>
      </c>
      <c r="O23" s="13"/>
      <c r="P23" s="21">
        <f t="shared" si="1"/>
        <v>0</v>
      </c>
      <c r="Q23" s="22">
        <f t="shared" si="2"/>
        <v>0</v>
      </c>
      <c r="R23" s="22">
        <f t="shared" si="3"/>
        <v>0</v>
      </c>
      <c r="S23" s="22"/>
      <c r="T23" s="21">
        <f t="shared" si="4"/>
        <v>0</v>
      </c>
      <c r="U23" s="19">
        <f t="shared" si="0"/>
        <v>0</v>
      </c>
      <c r="V23" s="4"/>
      <c r="W23" s="8"/>
      <c r="X23" s="3"/>
      <c r="Y23" s="3"/>
      <c r="Z23" s="29" t="s">
        <v>74</v>
      </c>
      <c r="AA23" s="30">
        <v>1.0264654959188722</v>
      </c>
      <c r="AB23" s="31">
        <f>U49</f>
        <v>94648.527903259019</v>
      </c>
      <c r="AC23" s="29"/>
      <c r="AD23" s="3"/>
      <c r="AE23" s="29" t="s">
        <v>74</v>
      </c>
      <c r="AF23" s="32">
        <v>11390.322580645163</v>
      </c>
      <c r="AG23" s="31">
        <f>U49</f>
        <v>94648.527903259019</v>
      </c>
      <c r="AH23" s="29"/>
      <c r="AJ23" s="117">
        <v>-40</v>
      </c>
      <c r="AK23" s="118">
        <f>AH25</f>
        <v>-5.7711188832683238</v>
      </c>
      <c r="AL23" s="118">
        <f t="shared" ref="AL23:AL32" si="8">AC25</f>
        <v>-22.339556869444124</v>
      </c>
      <c r="AM23" s="119">
        <f t="shared" si="6"/>
        <v>-13.053320701747881</v>
      </c>
      <c r="AN23" s="119">
        <f t="shared" si="7"/>
        <v>-35.392877571191974</v>
      </c>
      <c r="AO23" s="124">
        <f t="shared" ref="AO23:AO32" si="9">AC55</f>
        <v>22.339556869444063</v>
      </c>
    </row>
    <row r="24" spans="1:41" ht="15.75" customHeight="1" x14ac:dyDescent="0.25">
      <c r="A24" s="15"/>
      <c r="B24" s="3"/>
      <c r="C24" s="3"/>
      <c r="D24" s="3"/>
      <c r="E24" s="3"/>
      <c r="F24" s="3"/>
      <c r="G24" s="3"/>
      <c r="H24" s="16"/>
      <c r="I24" s="3"/>
      <c r="J24" s="3"/>
      <c r="K24" s="3"/>
      <c r="L24" s="16"/>
      <c r="M24" s="3"/>
      <c r="N24" s="13">
        <f t="shared" si="5"/>
        <v>0</v>
      </c>
      <c r="O24" s="13"/>
      <c r="P24" s="21">
        <f t="shared" si="1"/>
        <v>0</v>
      </c>
      <c r="Q24" s="22">
        <f t="shared" si="2"/>
        <v>0</v>
      </c>
      <c r="R24" s="22">
        <f t="shared" si="3"/>
        <v>0</v>
      </c>
      <c r="S24" s="22"/>
      <c r="T24" s="21">
        <f t="shared" si="4"/>
        <v>0</v>
      </c>
      <c r="U24" s="19">
        <f t="shared" si="0"/>
        <v>0</v>
      </c>
      <c r="V24" s="4"/>
      <c r="W24" s="8"/>
      <c r="X24" s="3"/>
      <c r="Y24" s="3"/>
      <c r="Z24" s="29">
        <f t="shared" ref="Z24:Z28" si="10">Z25-10</f>
        <v>-50</v>
      </c>
      <c r="AA24" s="30">
        <f t="shared" ref="AA24:AA34" si="11">$AA$23*(1+(Z24/100))</f>
        <v>0.51323274795943608</v>
      </c>
      <c r="AB24" s="31">
        <f t="dataTable" ref="AB24:AB34" dt2D="0" dtr="0" r1="F36" ca="1"/>
        <v>68218.450756958744</v>
      </c>
      <c r="AC24" s="34">
        <f t="shared" ref="AC24:AC34" si="12">100*((AB24-$AB$29)/$AB$29)</f>
        <v>-27.924446086805133</v>
      </c>
      <c r="AD24" s="3"/>
      <c r="AE24" s="29">
        <f t="shared" ref="AE24:AE28" si="13">AE25-10</f>
        <v>-50</v>
      </c>
      <c r="AF24" s="32">
        <f t="shared" ref="AF24:AF34" si="14">$AF$23*(1+(AE24/100))</f>
        <v>5695.1612903225814</v>
      </c>
      <c r="AG24" s="31">
        <f t="dataTable" ref="AG24:AG34" dt2D="0" dtr="0" r1="B47" ca="1"/>
        <v>87820.679070058439</v>
      </c>
      <c r="AH24" s="34">
        <f t="shared" ref="AH24:AH34" si="15">100*((AG24-$AG$29)/$AG$29)</f>
        <v>-7.2138986040853972</v>
      </c>
      <c r="AJ24" s="117">
        <v>-30</v>
      </c>
      <c r="AK24" s="118">
        <f t="shared" ref="AK24:AK32" si="16">AH26</f>
        <v>-4.3283391624512353</v>
      </c>
      <c r="AL24" s="118">
        <f t="shared" si="8"/>
        <v>-16.754667652083093</v>
      </c>
      <c r="AM24" s="119">
        <f t="shared" si="6"/>
        <v>-9.7899905263109162</v>
      </c>
      <c r="AN24" s="119">
        <f t="shared" si="7"/>
        <v>-26.544658178393977</v>
      </c>
      <c r="AO24" s="124">
        <f t="shared" si="9"/>
        <v>16.754667652083061</v>
      </c>
    </row>
    <row r="25" spans="1:41" ht="15.75" customHeight="1" x14ac:dyDescent="0.25">
      <c r="A25" s="15"/>
      <c r="B25" s="3"/>
      <c r="C25" s="3"/>
      <c r="D25" s="3"/>
      <c r="E25" s="3"/>
      <c r="F25" s="3"/>
      <c r="G25" s="3"/>
      <c r="H25" s="16"/>
      <c r="I25" s="3"/>
      <c r="J25" s="3"/>
      <c r="K25" s="3"/>
      <c r="L25" s="16"/>
      <c r="M25" s="3"/>
      <c r="N25" s="13">
        <f t="shared" si="5"/>
        <v>0</v>
      </c>
      <c r="O25" s="13"/>
      <c r="P25" s="21">
        <f t="shared" si="1"/>
        <v>0</v>
      </c>
      <c r="Q25" s="22">
        <f t="shared" si="2"/>
        <v>0</v>
      </c>
      <c r="R25" s="22">
        <f t="shared" si="3"/>
        <v>0</v>
      </c>
      <c r="S25" s="22"/>
      <c r="T25" s="21">
        <f t="shared" si="4"/>
        <v>0</v>
      </c>
      <c r="U25" s="19">
        <f t="shared" si="0"/>
        <v>0</v>
      </c>
      <c r="V25" s="4"/>
      <c r="W25" s="8"/>
      <c r="X25" s="3"/>
      <c r="Y25" s="3"/>
      <c r="Z25" s="29">
        <f t="shared" si="10"/>
        <v>-40</v>
      </c>
      <c r="AA25" s="30">
        <f t="shared" si="11"/>
        <v>0.61587929755132331</v>
      </c>
      <c r="AB25" s="31">
        <v>73504.466186218779</v>
      </c>
      <c r="AC25" s="34">
        <f t="shared" si="12"/>
        <v>-22.339556869444124</v>
      </c>
      <c r="AD25" s="3"/>
      <c r="AE25" s="29">
        <f t="shared" si="13"/>
        <v>-40</v>
      </c>
      <c r="AF25" s="32">
        <f t="shared" si="14"/>
        <v>6834.1935483870975</v>
      </c>
      <c r="AG25" s="31">
        <v>89186.248836698549</v>
      </c>
      <c r="AH25" s="34">
        <f t="shared" si="15"/>
        <v>-5.7711188832683238</v>
      </c>
      <c r="AJ25" s="117">
        <v>-20</v>
      </c>
      <c r="AK25" s="118">
        <f t="shared" si="16"/>
        <v>-2.885559441634177</v>
      </c>
      <c r="AL25" s="118">
        <f t="shared" si="8"/>
        <v>-11.169778434722055</v>
      </c>
      <c r="AM25" s="119">
        <f t="shared" si="6"/>
        <v>-6.5266603508739491</v>
      </c>
      <c r="AN25" s="119">
        <f t="shared" si="7"/>
        <v>-17.696438785595987</v>
      </c>
      <c r="AO25" s="124">
        <f t="shared" si="9"/>
        <v>11.169778434722041</v>
      </c>
    </row>
    <row r="26" spans="1:41" ht="15.75" customHeight="1" x14ac:dyDescent="0.25">
      <c r="A26" s="36"/>
      <c r="B26" s="37"/>
      <c r="C26" s="37"/>
      <c r="D26" s="37"/>
      <c r="E26" s="37"/>
      <c r="F26" s="37"/>
      <c r="G26" s="37"/>
      <c r="H26" s="38"/>
      <c r="I26" s="37"/>
      <c r="J26" s="37"/>
      <c r="K26" s="37"/>
      <c r="L26" s="38"/>
      <c r="M26" s="3"/>
      <c r="N26" s="13">
        <f t="shared" si="5"/>
        <v>0</v>
      </c>
      <c r="O26" s="13"/>
      <c r="P26" s="21">
        <f t="shared" si="1"/>
        <v>0</v>
      </c>
      <c r="Q26" s="22">
        <f t="shared" si="2"/>
        <v>0</v>
      </c>
      <c r="R26" s="22">
        <f t="shared" si="3"/>
        <v>0</v>
      </c>
      <c r="S26" s="22"/>
      <c r="T26" s="21">
        <f t="shared" si="4"/>
        <v>0</v>
      </c>
      <c r="U26" s="19">
        <f t="shared" si="0"/>
        <v>0</v>
      </c>
      <c r="V26" s="4"/>
      <c r="W26" s="8"/>
      <c r="X26" s="3"/>
      <c r="Y26" s="3"/>
      <c r="Z26" s="29">
        <f t="shared" si="10"/>
        <v>-30</v>
      </c>
      <c r="AA26" s="30">
        <f t="shared" si="11"/>
        <v>0.71852584714321044</v>
      </c>
      <c r="AB26" s="31">
        <v>78790.481615478842</v>
      </c>
      <c r="AC26" s="34">
        <f t="shared" si="12"/>
        <v>-16.754667652083093</v>
      </c>
      <c r="AD26" s="3"/>
      <c r="AE26" s="29">
        <f t="shared" si="13"/>
        <v>-30</v>
      </c>
      <c r="AF26" s="32">
        <f t="shared" si="14"/>
        <v>7973.2258064516136</v>
      </c>
      <c r="AG26" s="31">
        <v>90551.818603338674</v>
      </c>
      <c r="AH26" s="34">
        <f t="shared" si="15"/>
        <v>-4.3283391624512353</v>
      </c>
      <c r="AJ26" s="117">
        <v>-10</v>
      </c>
      <c r="AK26" s="118">
        <f t="shared" si="16"/>
        <v>-1.442779720817104</v>
      </c>
      <c r="AL26" s="118">
        <f t="shared" si="8"/>
        <v>-5.5848892173610354</v>
      </c>
      <c r="AM26" s="119">
        <f t="shared" si="6"/>
        <v>-3.2633301754369666</v>
      </c>
      <c r="AN26" s="119">
        <f t="shared" si="7"/>
        <v>-8.8482193927980326</v>
      </c>
      <c r="AO26" s="124">
        <f t="shared" si="9"/>
        <v>5.5848892173610043</v>
      </c>
    </row>
    <row r="27" spans="1:4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8"/>
      <c r="K27" s="3"/>
      <c r="L27" s="3"/>
      <c r="M27" s="3"/>
      <c r="N27" s="13">
        <f t="shared" si="5"/>
        <v>0</v>
      </c>
      <c r="O27" s="13"/>
      <c r="P27" s="21">
        <f t="shared" si="1"/>
        <v>0</v>
      </c>
      <c r="Q27" s="22">
        <f t="shared" si="2"/>
        <v>0</v>
      </c>
      <c r="R27" s="22">
        <f t="shared" si="3"/>
        <v>0</v>
      </c>
      <c r="S27" s="22"/>
      <c r="T27" s="21">
        <f t="shared" si="4"/>
        <v>0</v>
      </c>
      <c r="U27" s="19">
        <f t="shared" si="0"/>
        <v>0</v>
      </c>
      <c r="V27" s="4"/>
      <c r="W27" s="8"/>
      <c r="X27" s="3"/>
      <c r="Y27" s="3"/>
      <c r="Z27" s="29">
        <f t="shared" si="10"/>
        <v>-20</v>
      </c>
      <c r="AA27" s="30">
        <f t="shared" si="11"/>
        <v>0.82117239673509779</v>
      </c>
      <c r="AB27" s="31">
        <v>84076.497044738906</v>
      </c>
      <c r="AC27" s="34">
        <f t="shared" si="12"/>
        <v>-11.169778434722055</v>
      </c>
      <c r="AD27" s="3"/>
      <c r="AE27" s="29">
        <f t="shared" si="13"/>
        <v>-20</v>
      </c>
      <c r="AF27" s="32">
        <f t="shared" si="14"/>
        <v>9112.2580645161306</v>
      </c>
      <c r="AG27" s="31">
        <v>91917.388369978769</v>
      </c>
      <c r="AH27" s="34">
        <f t="shared" si="15"/>
        <v>-2.885559441634177</v>
      </c>
      <c r="AJ27" s="117">
        <v>0</v>
      </c>
      <c r="AK27" s="118">
        <f t="shared" si="16"/>
        <v>0</v>
      </c>
      <c r="AL27" s="118">
        <f t="shared" si="8"/>
        <v>0</v>
      </c>
      <c r="AM27" s="119">
        <f t="shared" si="6"/>
        <v>0</v>
      </c>
      <c r="AN27" s="119">
        <f t="shared" si="7"/>
        <v>0</v>
      </c>
      <c r="AO27" s="124">
        <f t="shared" si="9"/>
        <v>0</v>
      </c>
    </row>
    <row r="28" spans="1:41" ht="15.75" customHeight="1" x14ac:dyDescent="0.25">
      <c r="A28" s="1" t="s">
        <v>77</v>
      </c>
      <c r="B28" s="3"/>
      <c r="C28" s="3"/>
      <c r="D28" s="3"/>
      <c r="E28" s="3"/>
      <c r="F28" s="3"/>
      <c r="G28" s="3"/>
      <c r="H28" s="3"/>
      <c r="I28" s="3"/>
      <c r="J28" s="8"/>
      <c r="K28" s="3"/>
      <c r="L28" s="3"/>
      <c r="M28" s="3"/>
      <c r="N28" s="13">
        <f t="shared" si="5"/>
        <v>0</v>
      </c>
      <c r="O28" s="13"/>
      <c r="P28" s="21">
        <f t="shared" si="1"/>
        <v>0</v>
      </c>
      <c r="Q28" s="22">
        <f t="shared" si="2"/>
        <v>0</v>
      </c>
      <c r="R28" s="22">
        <f t="shared" si="3"/>
        <v>0</v>
      </c>
      <c r="S28" s="22"/>
      <c r="T28" s="21">
        <f t="shared" si="4"/>
        <v>0</v>
      </c>
      <c r="U28" s="19">
        <f t="shared" si="0"/>
        <v>0</v>
      </c>
      <c r="V28" s="4"/>
      <c r="W28" s="8"/>
      <c r="X28" s="3"/>
      <c r="Y28" s="3"/>
      <c r="Z28" s="29">
        <f t="shared" si="10"/>
        <v>-10</v>
      </c>
      <c r="AA28" s="30">
        <f t="shared" si="11"/>
        <v>0.92381894632698491</v>
      </c>
      <c r="AB28" s="31">
        <v>89362.512473998955</v>
      </c>
      <c r="AC28" s="34">
        <f t="shared" si="12"/>
        <v>-5.5848892173610354</v>
      </c>
      <c r="AD28" s="3"/>
      <c r="AE28" s="29">
        <f t="shared" si="13"/>
        <v>-10</v>
      </c>
      <c r="AF28" s="32">
        <f t="shared" si="14"/>
        <v>10251.290322580648</v>
      </c>
      <c r="AG28" s="31">
        <v>93282.95813661888</v>
      </c>
      <c r="AH28" s="34">
        <f t="shared" si="15"/>
        <v>-1.442779720817104</v>
      </c>
      <c r="AJ28" s="117">
        <v>10</v>
      </c>
      <c r="AK28" s="118">
        <f t="shared" si="16"/>
        <v>1.4427797208170425</v>
      </c>
      <c r="AL28" s="118">
        <f t="shared" si="8"/>
        <v>5.5848892173610203</v>
      </c>
      <c r="AM28" s="119">
        <f t="shared" si="6"/>
        <v>3.2633301754369364</v>
      </c>
      <c r="AN28" s="119">
        <f t="shared" si="7"/>
        <v>8.8482193927979704</v>
      </c>
      <c r="AO28" s="124">
        <f t="shared" si="9"/>
        <v>-5.5848892173610354</v>
      </c>
    </row>
    <row r="29" spans="1:4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8"/>
      <c r="K29" s="3"/>
      <c r="L29" s="3"/>
      <c r="M29" s="3"/>
      <c r="N29" s="13">
        <f t="shared" si="5"/>
        <v>0</v>
      </c>
      <c r="O29" s="13"/>
      <c r="P29" s="21">
        <f t="shared" si="1"/>
        <v>0</v>
      </c>
      <c r="Q29" s="22">
        <f t="shared" si="2"/>
        <v>0</v>
      </c>
      <c r="R29" s="22">
        <f t="shared" si="3"/>
        <v>0</v>
      </c>
      <c r="S29" s="22"/>
      <c r="T29" s="21">
        <f t="shared" si="4"/>
        <v>0</v>
      </c>
      <c r="U29" s="19">
        <f t="shared" si="0"/>
        <v>0</v>
      </c>
      <c r="V29" s="4"/>
      <c r="W29" s="8"/>
      <c r="X29" s="3"/>
      <c r="Y29" s="3"/>
      <c r="Z29" s="39">
        <v>0</v>
      </c>
      <c r="AA29" s="51">
        <f t="shared" si="11"/>
        <v>1.0264654959188722</v>
      </c>
      <c r="AB29" s="40">
        <v>94648.527903259019</v>
      </c>
      <c r="AC29" s="52">
        <f t="shared" si="12"/>
        <v>0</v>
      </c>
      <c r="AD29" s="3"/>
      <c r="AE29" s="39">
        <v>0</v>
      </c>
      <c r="AF29" s="45">
        <f t="shared" si="14"/>
        <v>11390.322580645163</v>
      </c>
      <c r="AG29" s="40">
        <v>94648.527903259019</v>
      </c>
      <c r="AH29" s="52">
        <f t="shared" si="15"/>
        <v>0</v>
      </c>
      <c r="AJ29" s="117">
        <v>20</v>
      </c>
      <c r="AK29" s="118">
        <f t="shared" si="16"/>
        <v>2.8855594416341468</v>
      </c>
      <c r="AL29" s="118">
        <f t="shared" si="8"/>
        <v>11.169778434722041</v>
      </c>
      <c r="AM29" s="119">
        <f t="shared" si="6"/>
        <v>6.5266603508738879</v>
      </c>
      <c r="AN29" s="119">
        <f t="shared" si="7"/>
        <v>17.696438785595941</v>
      </c>
      <c r="AO29" s="124">
        <f t="shared" si="9"/>
        <v>-11.169778434722055</v>
      </c>
    </row>
    <row r="30" spans="1:41" ht="15.75" customHeight="1" x14ac:dyDescent="0.25">
      <c r="A30" s="9" t="s">
        <v>78</v>
      </c>
      <c r="B30" s="10"/>
      <c r="C30" s="10"/>
      <c r="D30" s="10"/>
      <c r="E30" s="12" t="s">
        <v>79</v>
      </c>
      <c r="F30" s="10"/>
      <c r="G30" s="10"/>
      <c r="H30" s="10"/>
      <c r="I30" s="12"/>
      <c r="J30" s="41"/>
      <c r="K30" s="10"/>
      <c r="L30" s="11"/>
      <c r="M30" s="3"/>
      <c r="N30" s="13">
        <f t="shared" si="5"/>
        <v>0</v>
      </c>
      <c r="O30" s="13"/>
      <c r="P30" s="21">
        <f t="shared" si="1"/>
        <v>0</v>
      </c>
      <c r="Q30" s="22">
        <f t="shared" si="2"/>
        <v>0</v>
      </c>
      <c r="R30" s="22">
        <f t="shared" si="3"/>
        <v>0</v>
      </c>
      <c r="S30" s="22"/>
      <c r="T30" s="21">
        <f t="shared" si="4"/>
        <v>0</v>
      </c>
      <c r="U30" s="19">
        <f t="shared" si="0"/>
        <v>0</v>
      </c>
      <c r="V30" s="4"/>
      <c r="W30" s="8"/>
      <c r="X30" s="3"/>
      <c r="Y30" s="3"/>
      <c r="Z30" s="29">
        <f t="shared" ref="Z30:Z34" si="17">Z29+10</f>
        <v>10</v>
      </c>
      <c r="AA30" s="30">
        <f t="shared" si="11"/>
        <v>1.1291120455107595</v>
      </c>
      <c r="AB30" s="31">
        <v>99934.543332519068</v>
      </c>
      <c r="AC30" s="34">
        <f t="shared" si="12"/>
        <v>5.5848892173610203</v>
      </c>
      <c r="AD30" s="3"/>
      <c r="AE30" s="29">
        <f t="shared" ref="AE30:AE34" si="18">AE29+10</f>
        <v>10</v>
      </c>
      <c r="AF30" s="32">
        <f t="shared" si="14"/>
        <v>12529.35483870968</v>
      </c>
      <c r="AG30" s="31">
        <v>96014.0976698991</v>
      </c>
      <c r="AH30" s="34">
        <f t="shared" si="15"/>
        <v>1.4427797208170425</v>
      </c>
      <c r="AJ30" s="117">
        <v>30</v>
      </c>
      <c r="AK30" s="118">
        <f t="shared" si="16"/>
        <v>4.3283391624512193</v>
      </c>
      <c r="AL30" s="118">
        <f t="shared" si="8"/>
        <v>16.754667652083043</v>
      </c>
      <c r="AM30" s="119">
        <f t="shared" si="6"/>
        <v>9.789990526310854</v>
      </c>
      <c r="AN30" s="119">
        <f t="shared" si="7"/>
        <v>26.544658178393941</v>
      </c>
      <c r="AO30" s="124">
        <f t="shared" si="9"/>
        <v>-16.754667652083093</v>
      </c>
    </row>
    <row r="31" spans="1:41" ht="15.75" customHeight="1" x14ac:dyDescent="0.25">
      <c r="A31" s="25" t="s">
        <v>167</v>
      </c>
      <c r="B31" s="8">
        <f t="shared" ref="B31:B32" si="19">IF(B11=0,0,-(B11/100)*$B$45)</f>
        <v>0</v>
      </c>
      <c r="C31" s="3" t="s">
        <v>3</v>
      </c>
      <c r="D31" s="3"/>
      <c r="E31" s="17" t="s">
        <v>81</v>
      </c>
      <c r="F31" s="24">
        <f>(J16/100)*B47</f>
        <v>3417.0967741935488</v>
      </c>
      <c r="G31" s="3" t="s">
        <v>3</v>
      </c>
      <c r="H31" s="3"/>
      <c r="I31" s="1" t="s">
        <v>179</v>
      </c>
      <c r="J31" s="43">
        <f>SUM(J32:J35)</f>
        <v>4038.3378679198613</v>
      </c>
      <c r="K31" s="1" t="s">
        <v>47</v>
      </c>
      <c r="L31" s="16"/>
      <c r="M31" s="3"/>
      <c r="N31" s="13">
        <f t="shared" si="5"/>
        <v>0</v>
      </c>
      <c r="O31" s="13"/>
      <c r="P31" s="21">
        <f t="shared" si="1"/>
        <v>0</v>
      </c>
      <c r="Q31" s="22">
        <f t="shared" si="2"/>
        <v>0</v>
      </c>
      <c r="R31" s="22">
        <f t="shared" si="3"/>
        <v>0</v>
      </c>
      <c r="S31" s="22"/>
      <c r="T31" s="21">
        <f t="shared" si="4"/>
        <v>0</v>
      </c>
      <c r="U31" s="19">
        <f t="shared" si="0"/>
        <v>0</v>
      </c>
      <c r="V31" s="4"/>
      <c r="W31" s="8"/>
      <c r="X31" s="3"/>
      <c r="Y31" s="3"/>
      <c r="Z31" s="29">
        <f t="shared" si="17"/>
        <v>20</v>
      </c>
      <c r="AA31" s="30">
        <f t="shared" si="11"/>
        <v>1.2317585951026466</v>
      </c>
      <c r="AB31" s="31">
        <v>105220.55876177912</v>
      </c>
      <c r="AC31" s="34">
        <f t="shared" si="12"/>
        <v>11.169778434722041</v>
      </c>
      <c r="AD31" s="3"/>
      <c r="AE31" s="29">
        <f t="shared" si="18"/>
        <v>20</v>
      </c>
      <c r="AF31" s="32">
        <f t="shared" si="14"/>
        <v>13668.387096774195</v>
      </c>
      <c r="AG31" s="31">
        <v>97379.667436539239</v>
      </c>
      <c r="AH31" s="34">
        <f t="shared" si="15"/>
        <v>2.8855594416341468</v>
      </c>
      <c r="AJ31" s="117">
        <v>40</v>
      </c>
      <c r="AK31" s="118">
        <f t="shared" si="16"/>
        <v>5.7711188832682625</v>
      </c>
      <c r="AL31" s="118">
        <f t="shared" si="8"/>
        <v>22.339556869444063</v>
      </c>
      <c r="AM31" s="119">
        <f t="shared" si="6"/>
        <v>13.05332070174782</v>
      </c>
      <c r="AN31" s="119">
        <f t="shared" si="7"/>
        <v>35.392877571191946</v>
      </c>
      <c r="AO31" s="124">
        <f t="shared" si="9"/>
        <v>-22.339556869444124</v>
      </c>
    </row>
    <row r="32" spans="1:41" ht="15.75" customHeight="1" x14ac:dyDescent="0.25">
      <c r="A32" s="25" t="s">
        <v>42</v>
      </c>
      <c r="B32" s="8">
        <f t="shared" si="19"/>
        <v>0</v>
      </c>
      <c r="C32" s="3" t="s">
        <v>3</v>
      </c>
      <c r="D32" s="3"/>
      <c r="E32" s="17" t="s">
        <v>83</v>
      </c>
      <c r="F32" s="8">
        <f>B47-F31</f>
        <v>7973.2258064516136</v>
      </c>
      <c r="G32" s="3" t="s">
        <v>3</v>
      </c>
      <c r="H32" s="3"/>
      <c r="I32" s="17" t="s">
        <v>175</v>
      </c>
      <c r="J32" s="27">
        <f>F16/$B$8</f>
        <v>38.337867919861488</v>
      </c>
      <c r="K32" s="3" t="s">
        <v>47</v>
      </c>
      <c r="L32" s="16"/>
      <c r="M32" s="3"/>
      <c r="N32" s="13">
        <f t="shared" si="5"/>
        <v>0</v>
      </c>
      <c r="O32" s="13"/>
      <c r="P32" s="21">
        <f t="shared" si="1"/>
        <v>0</v>
      </c>
      <c r="Q32" s="22">
        <f t="shared" si="2"/>
        <v>0</v>
      </c>
      <c r="R32" s="22">
        <f t="shared" si="3"/>
        <v>0</v>
      </c>
      <c r="S32" s="22"/>
      <c r="T32" s="21">
        <f t="shared" si="4"/>
        <v>0</v>
      </c>
      <c r="U32" s="19">
        <f t="shared" si="0"/>
        <v>0</v>
      </c>
      <c r="V32" s="4"/>
      <c r="W32" s="8"/>
      <c r="X32" s="3"/>
      <c r="Y32" s="3"/>
      <c r="Z32" s="29">
        <f t="shared" si="17"/>
        <v>30</v>
      </c>
      <c r="AA32" s="30">
        <f t="shared" si="11"/>
        <v>1.3344051446945338</v>
      </c>
      <c r="AB32" s="31">
        <v>110506.57419103915</v>
      </c>
      <c r="AC32" s="34">
        <f t="shared" si="12"/>
        <v>16.754667652083043</v>
      </c>
      <c r="AD32" s="3"/>
      <c r="AE32" s="29">
        <f t="shared" si="18"/>
        <v>30</v>
      </c>
      <c r="AF32" s="32">
        <f t="shared" si="14"/>
        <v>14807.419354838712</v>
      </c>
      <c r="AG32" s="31">
        <v>98745.237203179349</v>
      </c>
      <c r="AH32" s="34">
        <f t="shared" si="15"/>
        <v>4.3283391624512193</v>
      </c>
      <c r="AJ32" s="117">
        <v>50</v>
      </c>
      <c r="AK32" s="118">
        <f t="shared" si="16"/>
        <v>7.213898604085367</v>
      </c>
      <c r="AL32" s="118">
        <f t="shared" si="8"/>
        <v>27.924446086805116</v>
      </c>
      <c r="AM32" s="119">
        <f t="shared" si="6"/>
        <v>16.316650877184802</v>
      </c>
      <c r="AN32" s="119">
        <f t="shared" si="7"/>
        <v>44.241096963989904</v>
      </c>
      <c r="AO32" s="124">
        <f t="shared" si="9"/>
        <v>-27.924446086805133</v>
      </c>
    </row>
    <row r="33" spans="1:34" ht="15.75" customHeight="1" x14ac:dyDescent="0.25">
      <c r="A33" s="25" t="s">
        <v>48</v>
      </c>
      <c r="B33" s="8">
        <f>IF(B13=0,0,(B13/100)*$B$44)</f>
        <v>1035.4838709677422</v>
      </c>
      <c r="C33" s="3" t="s">
        <v>3</v>
      </c>
      <c r="D33" s="3"/>
      <c r="E33" s="17" t="s">
        <v>84</v>
      </c>
      <c r="F33" s="24">
        <f>F32*(F18/100)*J15</f>
        <v>3851.0680645161297</v>
      </c>
      <c r="G33" s="3" t="s">
        <v>3</v>
      </c>
      <c r="H33" s="3"/>
      <c r="I33" s="17" t="s">
        <v>119</v>
      </c>
      <c r="J33" s="27">
        <f>F15/$B$8</f>
        <v>0</v>
      </c>
      <c r="K33" s="3" t="s">
        <v>47</v>
      </c>
      <c r="L33" s="16"/>
      <c r="M33" s="3"/>
      <c r="N33" s="13">
        <f t="shared" si="5"/>
        <v>0</v>
      </c>
      <c r="O33" s="13"/>
      <c r="P33" s="21">
        <f t="shared" si="1"/>
        <v>0</v>
      </c>
      <c r="Q33" s="22">
        <f t="shared" si="2"/>
        <v>0</v>
      </c>
      <c r="R33" s="22">
        <f t="shared" si="3"/>
        <v>0</v>
      </c>
      <c r="S33" s="22"/>
      <c r="T33" s="21">
        <f t="shared" si="4"/>
        <v>0</v>
      </c>
      <c r="U33" s="19">
        <f t="shared" si="0"/>
        <v>0</v>
      </c>
      <c r="V33" s="4"/>
      <c r="W33" s="8"/>
      <c r="X33" s="3"/>
      <c r="Y33" s="3"/>
      <c r="Z33" s="29">
        <f t="shared" si="17"/>
        <v>40</v>
      </c>
      <c r="AA33" s="30">
        <f t="shared" si="11"/>
        <v>1.4370516942864209</v>
      </c>
      <c r="AB33" s="31">
        <v>115792.5896202992</v>
      </c>
      <c r="AC33" s="34">
        <f t="shared" si="12"/>
        <v>22.339556869444063</v>
      </c>
      <c r="AD33" s="3"/>
      <c r="AE33" s="29">
        <f t="shared" si="18"/>
        <v>40</v>
      </c>
      <c r="AF33" s="32">
        <f t="shared" si="14"/>
        <v>15946.451612903227</v>
      </c>
      <c r="AG33" s="31">
        <v>100110.80696981943</v>
      </c>
      <c r="AH33" s="34">
        <f t="shared" si="15"/>
        <v>5.7711188832682625</v>
      </c>
    </row>
    <row r="34" spans="1:34" ht="15.75" customHeight="1" x14ac:dyDescent="0.25">
      <c r="A34" s="25"/>
      <c r="B34" s="8"/>
      <c r="C34" s="3"/>
      <c r="D34" s="3"/>
      <c r="E34" s="3"/>
      <c r="F34" s="33"/>
      <c r="G34" s="3"/>
      <c r="H34" s="3"/>
      <c r="I34" s="87"/>
      <c r="J34" s="87"/>
      <c r="K34" s="87"/>
      <c r="L34" s="16"/>
      <c r="M34" s="3"/>
      <c r="N34" s="13">
        <f t="shared" si="5"/>
        <v>0</v>
      </c>
      <c r="O34" s="13"/>
      <c r="P34" s="21">
        <f t="shared" si="1"/>
        <v>0</v>
      </c>
      <c r="Q34" s="22">
        <f t="shared" si="2"/>
        <v>0</v>
      </c>
      <c r="R34" s="22">
        <f t="shared" si="3"/>
        <v>0</v>
      </c>
      <c r="S34" s="22"/>
      <c r="T34" s="21">
        <f t="shared" si="4"/>
        <v>0</v>
      </c>
      <c r="U34" s="19">
        <f t="shared" si="0"/>
        <v>0</v>
      </c>
      <c r="V34" s="4"/>
      <c r="W34" s="8"/>
      <c r="X34" s="3"/>
      <c r="Y34" s="3"/>
      <c r="Z34" s="29">
        <f t="shared" si="17"/>
        <v>50</v>
      </c>
      <c r="AA34" s="30">
        <f t="shared" si="11"/>
        <v>1.5396982438783082</v>
      </c>
      <c r="AB34" s="31">
        <v>121078.60504955928</v>
      </c>
      <c r="AC34" s="34">
        <f t="shared" si="12"/>
        <v>27.924446086805116</v>
      </c>
      <c r="AD34" s="3"/>
      <c r="AE34" s="29">
        <f t="shared" si="18"/>
        <v>50</v>
      </c>
      <c r="AF34" s="32">
        <f t="shared" si="14"/>
        <v>17085.483870967742</v>
      </c>
      <c r="AG34" s="31">
        <v>101476.37673645957</v>
      </c>
      <c r="AH34" s="34">
        <f t="shared" si="15"/>
        <v>7.213898604085367</v>
      </c>
    </row>
    <row r="35" spans="1:34" ht="15.75" customHeight="1" x14ac:dyDescent="0.25">
      <c r="A35" s="17" t="s">
        <v>55</v>
      </c>
      <c r="B35" s="7">
        <f>IF(B15=0,0,(B15/100)*$B$44)</f>
        <v>0</v>
      </c>
      <c r="C35" s="3" t="s">
        <v>3</v>
      </c>
      <c r="D35" s="3"/>
      <c r="E35" s="1" t="s">
        <v>87</v>
      </c>
      <c r="F35" s="3"/>
      <c r="G35" s="3"/>
      <c r="H35" s="3"/>
      <c r="I35" s="17" t="s">
        <v>46</v>
      </c>
      <c r="J35" s="6">
        <f>F17*F12/$B$8</f>
        <v>4000</v>
      </c>
      <c r="K35" s="3" t="s">
        <v>47</v>
      </c>
      <c r="L35" s="16"/>
      <c r="M35" s="3"/>
      <c r="N35" s="13">
        <f t="shared" si="5"/>
        <v>0</v>
      </c>
      <c r="O35" s="13"/>
      <c r="P35" s="21">
        <f t="shared" si="1"/>
        <v>0</v>
      </c>
      <c r="Q35" s="22">
        <f t="shared" si="2"/>
        <v>0</v>
      </c>
      <c r="R35" s="22">
        <f t="shared" si="3"/>
        <v>0</v>
      </c>
      <c r="S35" s="22"/>
      <c r="T35" s="21">
        <f t="shared" si="4"/>
        <v>0</v>
      </c>
      <c r="U35" s="19">
        <f t="shared" si="0"/>
        <v>0</v>
      </c>
      <c r="V35" s="4"/>
      <c r="W35" s="8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.75" customHeight="1" x14ac:dyDescent="0.25">
      <c r="A36" s="25"/>
      <c r="B36" s="8"/>
      <c r="C36" s="3"/>
      <c r="D36" s="3"/>
      <c r="E36" s="17" t="s">
        <v>171</v>
      </c>
      <c r="F36" s="27">
        <f>F13/$B$8</f>
        <v>1.0264654959188722</v>
      </c>
      <c r="G36" s="3" t="s">
        <v>114</v>
      </c>
      <c r="H36" s="3"/>
      <c r="I36" s="87"/>
      <c r="J36" s="87"/>
      <c r="K36" s="87"/>
      <c r="L36" s="16"/>
      <c r="M36" s="3"/>
      <c r="N36" s="13">
        <f t="shared" si="5"/>
        <v>0</v>
      </c>
      <c r="O36" s="13"/>
      <c r="P36" s="21">
        <f t="shared" si="1"/>
        <v>0</v>
      </c>
      <c r="Q36" s="22">
        <f t="shared" si="2"/>
        <v>0</v>
      </c>
      <c r="R36" s="22">
        <f t="shared" si="3"/>
        <v>0</v>
      </c>
      <c r="S36" s="22"/>
      <c r="T36" s="21">
        <f t="shared" si="4"/>
        <v>0</v>
      </c>
      <c r="U36" s="19">
        <f t="shared" si="0"/>
        <v>0</v>
      </c>
      <c r="V36" s="4"/>
      <c r="W36" s="8"/>
      <c r="X36" s="3"/>
      <c r="Y36" s="3"/>
      <c r="Z36" s="28" t="s">
        <v>46</v>
      </c>
      <c r="AA36" s="29"/>
      <c r="AB36" s="29"/>
      <c r="AC36" s="29"/>
      <c r="AD36" s="3"/>
      <c r="AE36" s="28" t="s">
        <v>88</v>
      </c>
      <c r="AF36" s="29"/>
      <c r="AG36" s="29"/>
      <c r="AH36" s="29"/>
    </row>
    <row r="37" spans="1:34" ht="15.75" customHeight="1" x14ac:dyDescent="0.25">
      <c r="A37" s="25"/>
      <c r="B37" s="8"/>
      <c r="C37" s="3"/>
      <c r="D37" s="3"/>
      <c r="E37" s="17" t="s">
        <v>172</v>
      </c>
      <c r="F37" s="27">
        <f>F36*J10</f>
        <v>0.16423447934701954</v>
      </c>
      <c r="G37" s="3" t="s">
        <v>4</v>
      </c>
      <c r="H37" s="3"/>
      <c r="I37" s="3"/>
      <c r="J37" s="3"/>
      <c r="K37" s="3"/>
      <c r="L37" s="16"/>
      <c r="M37" s="3"/>
      <c r="N37" s="13">
        <f t="shared" si="5"/>
        <v>0</v>
      </c>
      <c r="O37" s="13"/>
      <c r="P37" s="21">
        <f t="shared" si="1"/>
        <v>0</v>
      </c>
      <c r="Q37" s="22">
        <f t="shared" si="2"/>
        <v>0</v>
      </c>
      <c r="R37" s="22">
        <f t="shared" si="3"/>
        <v>0</v>
      </c>
      <c r="S37" s="22"/>
      <c r="T37" s="21">
        <f t="shared" si="4"/>
        <v>0</v>
      </c>
      <c r="U37" s="19">
        <f t="shared" si="0"/>
        <v>0</v>
      </c>
      <c r="V37" s="4"/>
      <c r="W37" s="8"/>
      <c r="X37" s="3"/>
      <c r="Y37" s="3"/>
      <c r="Z37" s="29" t="s">
        <v>67</v>
      </c>
      <c r="AA37" s="29" t="s">
        <v>105</v>
      </c>
      <c r="AB37" s="29" t="s">
        <v>22</v>
      </c>
      <c r="AC37" s="29" t="s">
        <v>69</v>
      </c>
      <c r="AD37" s="3"/>
      <c r="AE37" s="29" t="s">
        <v>67</v>
      </c>
      <c r="AF37" s="29" t="s">
        <v>92</v>
      </c>
      <c r="AG37" s="29" t="s">
        <v>22</v>
      </c>
      <c r="AH37" s="29" t="s">
        <v>69</v>
      </c>
    </row>
    <row r="38" spans="1:34" ht="15.75" customHeight="1" x14ac:dyDescent="0.25">
      <c r="A38" s="25"/>
      <c r="B38" s="8"/>
      <c r="C38" s="3"/>
      <c r="D38" s="3"/>
      <c r="E38" s="17" t="s">
        <v>122</v>
      </c>
      <c r="F38" s="33">
        <f>F37*F12</f>
        <v>6569.3791738807813</v>
      </c>
      <c r="G38" s="26" t="s">
        <v>47</v>
      </c>
      <c r="H38" s="3"/>
      <c r="I38" s="3"/>
      <c r="J38" s="3"/>
      <c r="K38" s="3"/>
      <c r="L38" s="16"/>
      <c r="M38" s="3"/>
      <c r="N38" s="13">
        <f t="shared" si="5"/>
        <v>0</v>
      </c>
      <c r="O38" s="13"/>
      <c r="P38" s="21">
        <f t="shared" si="1"/>
        <v>0</v>
      </c>
      <c r="Q38" s="22">
        <f t="shared" si="2"/>
        <v>0</v>
      </c>
      <c r="R38" s="22">
        <f t="shared" si="3"/>
        <v>0</v>
      </c>
      <c r="S38" s="22"/>
      <c r="T38" s="21">
        <f t="shared" si="4"/>
        <v>0</v>
      </c>
      <c r="U38" s="19">
        <f t="shared" si="0"/>
        <v>0</v>
      </c>
      <c r="V38" s="4"/>
      <c r="W38" s="8"/>
      <c r="X38" s="3"/>
      <c r="Y38" s="3"/>
      <c r="Z38" s="29" t="s">
        <v>74</v>
      </c>
      <c r="AA38" s="30">
        <v>4000</v>
      </c>
      <c r="AB38" s="31">
        <f>U49</f>
        <v>94648.527903259019</v>
      </c>
      <c r="AC38" s="29"/>
      <c r="AD38" s="3"/>
      <c r="AE38" s="29" t="s">
        <v>74</v>
      </c>
      <c r="AF38" s="32">
        <v>40000</v>
      </c>
      <c r="AG38" s="31">
        <f>U49</f>
        <v>94648.527903259019</v>
      </c>
      <c r="AH38" s="29"/>
    </row>
    <row r="39" spans="1:34" ht="15.75" customHeight="1" x14ac:dyDescent="0.25">
      <c r="A39" s="25"/>
      <c r="B39" s="8"/>
      <c r="C39" s="3"/>
      <c r="D39" s="3"/>
      <c r="E39" s="3"/>
      <c r="F39" s="3"/>
      <c r="G39" s="3"/>
      <c r="H39" s="3"/>
      <c r="I39" s="3"/>
      <c r="J39" s="3"/>
      <c r="K39" s="3"/>
      <c r="L39" s="16"/>
      <c r="M39" s="3"/>
      <c r="N39" s="13">
        <f t="shared" si="5"/>
        <v>0</v>
      </c>
      <c r="O39" s="13"/>
      <c r="P39" s="21">
        <f t="shared" si="1"/>
        <v>0</v>
      </c>
      <c r="Q39" s="22">
        <f t="shared" si="2"/>
        <v>0</v>
      </c>
      <c r="R39" s="22">
        <f t="shared" si="3"/>
        <v>0</v>
      </c>
      <c r="S39" s="22"/>
      <c r="T39" s="21">
        <f t="shared" si="4"/>
        <v>0</v>
      </c>
      <c r="U39" s="19">
        <f t="shared" si="0"/>
        <v>0</v>
      </c>
      <c r="V39" s="4"/>
      <c r="W39" s="8"/>
      <c r="X39" s="3"/>
      <c r="Y39" s="3"/>
      <c r="Z39" s="29">
        <f t="shared" ref="Z39:Z43" si="20">Z40-10</f>
        <v>-50</v>
      </c>
      <c r="AA39" s="30">
        <f t="shared" ref="AA39:AA49" si="21">$AA$38*(1+(Z39/100))</f>
        <v>2000</v>
      </c>
      <c r="AB39" s="31">
        <f t="dataTable" ref="AB39:AB49" dt2D="0" dtr="0" r1="J35" ca="1"/>
        <v>79205.058044889389</v>
      </c>
      <c r="AC39" s="34">
        <f t="shared" ref="AC39:AC49" si="22">100*((AB39-$AB$44)/$AB$44)</f>
        <v>-16.31665087718482</v>
      </c>
      <c r="AD39" s="3"/>
      <c r="AE39" s="29">
        <f t="shared" ref="AE39:AE43" si="23">AE40-10</f>
        <v>-50</v>
      </c>
      <c r="AF39" s="32">
        <f t="shared" ref="AF39:AF49" si="24">$AF$38*(1+(AE39/100))</f>
        <v>20000</v>
      </c>
      <c r="AG39" s="31">
        <f t="dataTable" ref="AG39:AG49" dt2D="0" dtr="0" r1="F12" ca="1"/>
        <v>52774.980898589121</v>
      </c>
      <c r="AH39" s="34">
        <f t="shared" ref="AH39:AH49" si="25">100*((AG39-$AG$44)/$AG$44)</f>
        <v>-44.241096963989939</v>
      </c>
    </row>
    <row r="40" spans="1:34" ht="15.75" customHeight="1" x14ac:dyDescent="0.25">
      <c r="A40" s="25"/>
      <c r="B40" s="8"/>
      <c r="C40" s="3"/>
      <c r="D40" s="3"/>
      <c r="E40" s="3"/>
      <c r="F40" s="3"/>
      <c r="G40" s="3"/>
      <c r="H40" s="3"/>
      <c r="I40" s="3"/>
      <c r="J40" s="3"/>
      <c r="K40" s="3"/>
      <c r="L40" s="16"/>
      <c r="M40" s="3"/>
      <c r="N40" s="13">
        <f t="shared" si="5"/>
        <v>0</v>
      </c>
      <c r="O40" s="13"/>
      <c r="P40" s="21">
        <f t="shared" si="1"/>
        <v>0</v>
      </c>
      <c r="Q40" s="22">
        <f t="shared" si="2"/>
        <v>0</v>
      </c>
      <c r="R40" s="22">
        <f t="shared" si="3"/>
        <v>0</v>
      </c>
      <c r="S40" s="22"/>
      <c r="T40" s="21">
        <f t="shared" si="4"/>
        <v>0</v>
      </c>
      <c r="U40" s="19">
        <f t="shared" si="0"/>
        <v>0</v>
      </c>
      <c r="V40" s="4"/>
      <c r="W40" s="8"/>
      <c r="X40" s="3"/>
      <c r="Y40" s="3"/>
      <c r="Z40" s="29">
        <f t="shared" si="20"/>
        <v>-40</v>
      </c>
      <c r="AA40" s="30">
        <f t="shared" si="21"/>
        <v>2400</v>
      </c>
      <c r="AB40" s="31">
        <v>82293.752016563289</v>
      </c>
      <c r="AC40" s="34">
        <f t="shared" si="22"/>
        <v>-13.053320701747881</v>
      </c>
      <c r="AD40" s="3"/>
      <c r="AE40" s="29">
        <f t="shared" si="23"/>
        <v>-40</v>
      </c>
      <c r="AF40" s="32">
        <f t="shared" si="24"/>
        <v>24000</v>
      </c>
      <c r="AG40" s="31">
        <v>61149.690299523085</v>
      </c>
      <c r="AH40" s="34">
        <f t="shared" si="25"/>
        <v>-35.392877571191974</v>
      </c>
    </row>
    <row r="41" spans="1:34" ht="15.75" customHeight="1" x14ac:dyDescent="0.25">
      <c r="A41" s="3"/>
      <c r="B41" s="3"/>
      <c r="C41" s="3"/>
      <c r="D41" s="3"/>
      <c r="E41" s="17" t="s">
        <v>85</v>
      </c>
      <c r="F41" s="8">
        <f>F12*B5</f>
        <v>400000</v>
      </c>
      <c r="G41" s="3" t="s">
        <v>86</v>
      </c>
      <c r="H41" s="3"/>
      <c r="I41" s="3"/>
      <c r="J41" s="3"/>
      <c r="K41" s="3"/>
      <c r="L41" s="16"/>
      <c r="M41" s="3"/>
      <c r="N41" s="13">
        <f t="shared" si="5"/>
        <v>0</v>
      </c>
      <c r="O41" s="13"/>
      <c r="P41" s="21">
        <f t="shared" si="1"/>
        <v>0</v>
      </c>
      <c r="Q41" s="22">
        <f t="shared" si="2"/>
        <v>0</v>
      </c>
      <c r="R41" s="22">
        <f t="shared" si="3"/>
        <v>0</v>
      </c>
      <c r="S41" s="22"/>
      <c r="T41" s="21">
        <f t="shared" si="4"/>
        <v>0</v>
      </c>
      <c r="U41" s="19">
        <f t="shared" si="0"/>
        <v>0</v>
      </c>
      <c r="V41" s="4"/>
      <c r="W41" s="8"/>
      <c r="X41" s="3"/>
      <c r="Y41" s="3"/>
      <c r="Z41" s="29">
        <f t="shared" si="20"/>
        <v>-30</v>
      </c>
      <c r="AA41" s="30">
        <f t="shared" si="21"/>
        <v>2800</v>
      </c>
      <c r="AB41" s="31">
        <v>85382.445988237218</v>
      </c>
      <c r="AC41" s="34">
        <f t="shared" si="22"/>
        <v>-9.7899905263109162</v>
      </c>
      <c r="AD41" s="3"/>
      <c r="AE41" s="29">
        <f t="shared" si="23"/>
        <v>-30</v>
      </c>
      <c r="AF41" s="32">
        <f t="shared" si="24"/>
        <v>28000</v>
      </c>
      <c r="AG41" s="31">
        <v>69524.39970045707</v>
      </c>
      <c r="AH41" s="34">
        <f t="shared" si="25"/>
        <v>-26.544658178393977</v>
      </c>
    </row>
    <row r="42" spans="1:34" ht="15.75" customHeight="1" x14ac:dyDescent="0.25">
      <c r="A42" s="23" t="s">
        <v>96</v>
      </c>
      <c r="B42" s="4"/>
      <c r="C42" s="1"/>
      <c r="D42" s="3"/>
      <c r="E42" s="17"/>
      <c r="F42" s="27"/>
      <c r="G42" s="3"/>
      <c r="H42" s="3"/>
      <c r="I42" s="1"/>
      <c r="J42" s="3"/>
      <c r="K42" s="3"/>
      <c r="L42" s="16"/>
      <c r="M42" s="3"/>
      <c r="N42" s="13">
        <f t="shared" si="5"/>
        <v>0</v>
      </c>
      <c r="O42" s="13"/>
      <c r="P42" s="21">
        <f t="shared" si="1"/>
        <v>0</v>
      </c>
      <c r="Q42" s="22">
        <f t="shared" si="2"/>
        <v>0</v>
      </c>
      <c r="R42" s="22">
        <f t="shared" si="3"/>
        <v>0</v>
      </c>
      <c r="S42" s="22"/>
      <c r="T42" s="21">
        <f t="shared" si="4"/>
        <v>0</v>
      </c>
      <c r="U42" s="19">
        <f t="shared" si="0"/>
        <v>0</v>
      </c>
      <c r="V42" s="4"/>
      <c r="W42" s="8"/>
      <c r="X42" s="3"/>
      <c r="Y42" s="3"/>
      <c r="Z42" s="29">
        <f t="shared" si="20"/>
        <v>-20</v>
      </c>
      <c r="AA42" s="30">
        <f t="shared" si="21"/>
        <v>3200</v>
      </c>
      <c r="AB42" s="31">
        <v>88471.139959911146</v>
      </c>
      <c r="AC42" s="34">
        <f t="shared" si="22"/>
        <v>-6.5266603508739491</v>
      </c>
      <c r="AD42" s="3"/>
      <c r="AE42" s="29">
        <f t="shared" si="23"/>
        <v>-20</v>
      </c>
      <c r="AF42" s="32">
        <f t="shared" si="24"/>
        <v>32000</v>
      </c>
      <c r="AG42" s="31">
        <v>77899.109101391048</v>
      </c>
      <c r="AH42" s="34">
        <f t="shared" si="25"/>
        <v>-17.696438785595987</v>
      </c>
    </row>
    <row r="43" spans="1:34" ht="15.75" customHeight="1" x14ac:dyDescent="0.25">
      <c r="A43" s="17" t="s">
        <v>161</v>
      </c>
      <c r="B43" s="8">
        <f>J8/B8</f>
        <v>9677.4193548387102</v>
      </c>
      <c r="C43" s="3" t="s">
        <v>3</v>
      </c>
      <c r="D43" s="3"/>
      <c r="E43" s="3"/>
      <c r="F43" s="3"/>
      <c r="G43" s="3"/>
      <c r="H43" s="3"/>
      <c r="I43" s="17"/>
      <c r="J43" s="6"/>
      <c r="K43" s="3"/>
      <c r="L43" s="16"/>
      <c r="M43" s="3"/>
      <c r="N43" s="13">
        <f t="shared" si="5"/>
        <v>0</v>
      </c>
      <c r="O43" s="13"/>
      <c r="P43" s="21">
        <f t="shared" si="1"/>
        <v>0</v>
      </c>
      <c r="Q43" s="22">
        <f t="shared" si="2"/>
        <v>0</v>
      </c>
      <c r="R43" s="22">
        <f t="shared" si="3"/>
        <v>0</v>
      </c>
      <c r="S43" s="22"/>
      <c r="T43" s="21">
        <f t="shared" si="4"/>
        <v>0</v>
      </c>
      <c r="U43" s="19">
        <f t="shared" si="0"/>
        <v>0</v>
      </c>
      <c r="V43" s="4"/>
      <c r="W43" s="8"/>
      <c r="X43" s="3"/>
      <c r="Y43" s="3"/>
      <c r="Z43" s="29">
        <f t="shared" si="20"/>
        <v>-10</v>
      </c>
      <c r="AA43" s="30">
        <f t="shared" si="21"/>
        <v>3600</v>
      </c>
      <c r="AB43" s="31">
        <v>91559.83393158509</v>
      </c>
      <c r="AC43" s="34">
        <f t="shared" si="22"/>
        <v>-3.2633301754369666</v>
      </c>
      <c r="AD43" s="3"/>
      <c r="AE43" s="29">
        <f t="shared" si="23"/>
        <v>-10</v>
      </c>
      <c r="AF43" s="32">
        <f t="shared" si="24"/>
        <v>36000</v>
      </c>
      <c r="AG43" s="31">
        <v>86273.818502324997</v>
      </c>
      <c r="AH43" s="34">
        <f t="shared" si="25"/>
        <v>-8.8482193927980326</v>
      </c>
    </row>
    <row r="44" spans="1:34" ht="15.75" customHeight="1" x14ac:dyDescent="0.25">
      <c r="A44" s="3" t="s">
        <v>100</v>
      </c>
      <c r="B44" s="24">
        <f>(1+B16/100)*B43</f>
        <v>10354.83870967742</v>
      </c>
      <c r="C44" s="3" t="s">
        <v>3</v>
      </c>
      <c r="D44" s="3"/>
      <c r="E44" s="3"/>
      <c r="F44" s="3"/>
      <c r="G44" s="3"/>
      <c r="H44" s="3"/>
      <c r="I44" s="3"/>
      <c r="J44" s="3"/>
      <c r="K44" s="3"/>
      <c r="L44" s="16"/>
      <c r="M44" s="3"/>
      <c r="N44" s="13">
        <f t="shared" si="5"/>
        <v>0</v>
      </c>
      <c r="O44" s="13"/>
      <c r="P44" s="21">
        <f t="shared" si="1"/>
        <v>0</v>
      </c>
      <c r="Q44" s="22">
        <f t="shared" si="2"/>
        <v>0</v>
      </c>
      <c r="R44" s="22">
        <f t="shared" si="3"/>
        <v>0</v>
      </c>
      <c r="S44" s="22"/>
      <c r="T44" s="21">
        <f t="shared" si="4"/>
        <v>0</v>
      </c>
      <c r="U44" s="19">
        <f t="shared" si="0"/>
        <v>0</v>
      </c>
      <c r="V44" s="4"/>
      <c r="W44" s="8"/>
      <c r="X44" s="3"/>
      <c r="Y44" s="3"/>
      <c r="Z44" s="39">
        <v>0</v>
      </c>
      <c r="AA44" s="51">
        <f t="shared" si="21"/>
        <v>4000</v>
      </c>
      <c r="AB44" s="40">
        <v>94648.527903259019</v>
      </c>
      <c r="AC44" s="34">
        <f t="shared" si="22"/>
        <v>0</v>
      </c>
      <c r="AD44" s="3"/>
      <c r="AE44" s="39">
        <v>0</v>
      </c>
      <c r="AF44" s="45">
        <f t="shared" si="24"/>
        <v>40000</v>
      </c>
      <c r="AG44" s="40">
        <v>94648.527903259019</v>
      </c>
      <c r="AH44" s="52">
        <f t="shared" si="25"/>
        <v>0</v>
      </c>
    </row>
    <row r="45" spans="1:34" ht="15.75" customHeight="1" x14ac:dyDescent="0.25">
      <c r="A45" s="25" t="s">
        <v>123</v>
      </c>
      <c r="B45" s="8">
        <f>SUM(B33:B40)+B44</f>
        <v>11390.322580645163</v>
      </c>
      <c r="C45" s="3" t="s">
        <v>3</v>
      </c>
      <c r="D45" s="3"/>
      <c r="E45" s="3"/>
      <c r="F45" s="3"/>
      <c r="G45" s="3"/>
      <c r="H45" s="3"/>
      <c r="I45" s="3"/>
      <c r="J45" s="3"/>
      <c r="K45" s="3"/>
      <c r="L45" s="16"/>
      <c r="M45" s="3"/>
      <c r="N45" s="13">
        <f t="shared" si="5"/>
        <v>0</v>
      </c>
      <c r="O45" s="13"/>
      <c r="P45" s="21">
        <f t="shared" si="1"/>
        <v>0</v>
      </c>
      <c r="Q45" s="22">
        <f t="shared" si="2"/>
        <v>0</v>
      </c>
      <c r="R45" s="22">
        <f t="shared" si="3"/>
        <v>0</v>
      </c>
      <c r="S45" s="22"/>
      <c r="T45" s="21">
        <f t="shared" si="4"/>
        <v>0</v>
      </c>
      <c r="U45" s="19">
        <f t="shared" si="0"/>
        <v>0</v>
      </c>
      <c r="V45" s="4"/>
      <c r="W45" s="8"/>
      <c r="X45" s="3"/>
      <c r="Y45" s="3"/>
      <c r="Z45" s="29">
        <f t="shared" ref="Z45:Z49" si="26">Z44+10</f>
        <v>10</v>
      </c>
      <c r="AA45" s="30">
        <f t="shared" si="21"/>
        <v>4400</v>
      </c>
      <c r="AB45" s="31">
        <v>97737.221874932919</v>
      </c>
      <c r="AC45" s="34">
        <f t="shared" si="22"/>
        <v>3.2633301754369364</v>
      </c>
      <c r="AD45" s="3"/>
      <c r="AE45" s="29">
        <f t="shared" ref="AE45:AE49" si="27">AE44+10</f>
        <v>10</v>
      </c>
      <c r="AF45" s="32">
        <f t="shared" si="24"/>
        <v>44000</v>
      </c>
      <c r="AG45" s="31">
        <v>103023.23730419298</v>
      </c>
      <c r="AH45" s="34">
        <f t="shared" si="25"/>
        <v>8.8482193927979704</v>
      </c>
    </row>
    <row r="46" spans="1:34" ht="15.75" customHeight="1" x14ac:dyDescent="0.25">
      <c r="A46" s="25" t="s">
        <v>168</v>
      </c>
      <c r="B46" s="8">
        <f>SUM(B31:B32)</f>
        <v>0</v>
      </c>
      <c r="C46" s="3" t="s">
        <v>3</v>
      </c>
      <c r="D46" s="3"/>
      <c r="E46" s="3"/>
      <c r="F46" s="3"/>
      <c r="G46" s="3"/>
      <c r="H46" s="3"/>
      <c r="I46" s="3"/>
      <c r="J46" s="3"/>
      <c r="K46" s="3"/>
      <c r="L46" s="16"/>
      <c r="M46" s="3"/>
      <c r="N46" s="13">
        <f t="shared" si="5"/>
        <v>0</v>
      </c>
      <c r="O46" s="13"/>
      <c r="P46" s="21">
        <f t="shared" si="1"/>
        <v>0</v>
      </c>
      <c r="Q46" s="22">
        <f t="shared" si="2"/>
        <v>0</v>
      </c>
      <c r="R46" s="22">
        <f t="shared" si="3"/>
        <v>0</v>
      </c>
      <c r="S46" s="22"/>
      <c r="T46" s="21">
        <f t="shared" si="4"/>
        <v>0</v>
      </c>
      <c r="U46" s="19">
        <f t="shared" si="0"/>
        <v>0</v>
      </c>
      <c r="V46" s="4"/>
      <c r="W46" s="8"/>
      <c r="X46" s="3"/>
      <c r="Y46" s="3"/>
      <c r="Z46" s="29">
        <f t="shared" si="26"/>
        <v>20</v>
      </c>
      <c r="AA46" s="30">
        <f t="shared" si="21"/>
        <v>4800</v>
      </c>
      <c r="AB46" s="31">
        <v>100825.91584660683</v>
      </c>
      <c r="AC46" s="34">
        <f t="shared" si="22"/>
        <v>6.5266603508738879</v>
      </c>
      <c r="AD46" s="3"/>
      <c r="AE46" s="29">
        <f t="shared" si="27"/>
        <v>20</v>
      </c>
      <c r="AF46" s="32">
        <f t="shared" si="24"/>
        <v>48000</v>
      </c>
      <c r="AG46" s="31">
        <v>111397.94670512695</v>
      </c>
      <c r="AH46" s="34">
        <f t="shared" si="25"/>
        <v>17.696438785595941</v>
      </c>
    </row>
    <row r="47" spans="1:34" ht="15.75" customHeight="1" x14ac:dyDescent="0.25">
      <c r="A47" s="25" t="s">
        <v>164</v>
      </c>
      <c r="B47" s="8">
        <f>SUM(B45:B46)</f>
        <v>11390.322580645163</v>
      </c>
      <c r="C47" s="3" t="s">
        <v>3</v>
      </c>
      <c r="D47" s="3"/>
      <c r="E47" s="3"/>
      <c r="F47" s="3"/>
      <c r="G47" s="3"/>
      <c r="H47" s="3"/>
      <c r="I47" s="3"/>
      <c r="J47" s="3"/>
      <c r="K47" s="3"/>
      <c r="L47" s="16"/>
      <c r="M47" s="3"/>
      <c r="N47" s="13">
        <f t="shared" si="5"/>
        <v>0</v>
      </c>
      <c r="O47" s="13"/>
      <c r="P47" s="21">
        <f t="shared" si="1"/>
        <v>0</v>
      </c>
      <c r="Q47" s="22">
        <f t="shared" si="2"/>
        <v>0</v>
      </c>
      <c r="R47" s="22">
        <f t="shared" si="3"/>
        <v>0</v>
      </c>
      <c r="S47" s="22"/>
      <c r="T47" s="21">
        <f t="shared" si="4"/>
        <v>0</v>
      </c>
      <c r="U47" s="19">
        <f t="shared" si="0"/>
        <v>0</v>
      </c>
      <c r="V47" s="4"/>
      <c r="W47" s="8"/>
      <c r="X47" s="3"/>
      <c r="Y47" s="3"/>
      <c r="Z47" s="29">
        <f t="shared" si="26"/>
        <v>30</v>
      </c>
      <c r="AA47" s="30">
        <f t="shared" si="21"/>
        <v>5200</v>
      </c>
      <c r="AB47" s="31">
        <v>103914.60981828076</v>
      </c>
      <c r="AC47" s="34">
        <f t="shared" si="22"/>
        <v>9.789990526310854</v>
      </c>
      <c r="AD47" s="3"/>
      <c r="AE47" s="29">
        <f t="shared" si="27"/>
        <v>30</v>
      </c>
      <c r="AF47" s="32">
        <f t="shared" si="24"/>
        <v>52000</v>
      </c>
      <c r="AG47" s="31">
        <v>119772.65610606094</v>
      </c>
      <c r="AH47" s="34">
        <f t="shared" si="25"/>
        <v>26.544658178393941</v>
      </c>
    </row>
    <row r="48" spans="1:34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6"/>
      <c r="M48" s="3"/>
      <c r="N48" s="13">
        <f t="shared" si="5"/>
        <v>0</v>
      </c>
      <c r="O48" s="13"/>
      <c r="P48" s="21">
        <f t="shared" si="1"/>
        <v>0</v>
      </c>
      <c r="Q48" s="22">
        <f t="shared" si="2"/>
        <v>0</v>
      </c>
      <c r="R48" s="22">
        <f t="shared" si="3"/>
        <v>0</v>
      </c>
      <c r="S48" s="22"/>
      <c r="T48" s="21">
        <f t="shared" si="4"/>
        <v>0</v>
      </c>
      <c r="U48" s="19">
        <f t="shared" si="0"/>
        <v>0</v>
      </c>
      <c r="V48" s="4"/>
      <c r="W48" s="8"/>
      <c r="X48" s="3"/>
      <c r="Y48" s="3"/>
      <c r="Z48" s="29">
        <f t="shared" si="26"/>
        <v>40</v>
      </c>
      <c r="AA48" s="30">
        <f t="shared" si="21"/>
        <v>5600</v>
      </c>
      <c r="AB48" s="31">
        <v>107003.30378995469</v>
      </c>
      <c r="AC48" s="34">
        <f t="shared" si="22"/>
        <v>13.05332070174782</v>
      </c>
      <c r="AD48" s="3"/>
      <c r="AE48" s="29">
        <f t="shared" si="27"/>
        <v>40</v>
      </c>
      <c r="AF48" s="32">
        <f t="shared" si="24"/>
        <v>56000</v>
      </c>
      <c r="AG48" s="31">
        <v>128147.36550699493</v>
      </c>
      <c r="AH48" s="34">
        <f t="shared" si="25"/>
        <v>35.392877571191946</v>
      </c>
    </row>
    <row r="49" spans="1:34" ht="15.75" customHeight="1" x14ac:dyDescent="0.25">
      <c r="A49" s="15"/>
      <c r="B49" s="7"/>
      <c r="C49" s="3"/>
      <c r="D49" s="3"/>
      <c r="E49" s="3"/>
      <c r="F49" s="3"/>
      <c r="G49" s="3"/>
      <c r="H49" s="3"/>
      <c r="I49" s="3"/>
      <c r="J49" s="3"/>
      <c r="K49" s="3"/>
      <c r="L49" s="16"/>
      <c r="M49" s="3"/>
      <c r="N49" s="14" t="s">
        <v>102</v>
      </c>
      <c r="O49" s="19">
        <f t="shared" ref="O49:R49" si="28">SUM(O8:O48)</f>
        <v>3417.0967741935488</v>
      </c>
      <c r="P49" s="19">
        <f t="shared" si="28"/>
        <v>10238.600892207567</v>
      </c>
      <c r="Q49" s="19">
        <f t="shared" si="28"/>
        <v>52860.154292600513</v>
      </c>
      <c r="R49" s="19">
        <f t="shared" si="28"/>
        <v>31182.974570566515</v>
      </c>
      <c r="S49" s="19"/>
      <c r="T49" s="19">
        <f t="shared" ref="T49:U49" si="29">SUM(T8:T48)</f>
        <v>-3050.2986263091566</v>
      </c>
      <c r="U49" s="19">
        <f t="shared" si="29"/>
        <v>94648.527903259019</v>
      </c>
      <c r="V49" s="4"/>
      <c r="W49" s="4"/>
      <c r="X49" s="3"/>
      <c r="Y49" s="3"/>
      <c r="Z49" s="29">
        <f t="shared" si="26"/>
        <v>50</v>
      </c>
      <c r="AA49" s="30">
        <f t="shared" si="21"/>
        <v>6000</v>
      </c>
      <c r="AB49" s="31">
        <v>110091.99776162863</v>
      </c>
      <c r="AC49" s="34">
        <f t="shared" si="22"/>
        <v>16.316650877184802</v>
      </c>
      <c r="AD49" s="3"/>
      <c r="AE49" s="29">
        <f t="shared" si="27"/>
        <v>50</v>
      </c>
      <c r="AF49" s="32">
        <f t="shared" si="24"/>
        <v>60000</v>
      </c>
      <c r="AG49" s="31">
        <v>136522.07490792888</v>
      </c>
      <c r="AH49" s="34">
        <f t="shared" si="25"/>
        <v>44.241096963989904</v>
      </c>
    </row>
    <row r="50" spans="1:34" ht="15.75" customHeight="1" x14ac:dyDescent="0.25">
      <c r="A50" s="3"/>
      <c r="B50" s="33"/>
      <c r="C50" s="3"/>
      <c r="D50" s="3"/>
      <c r="E50" s="3"/>
      <c r="F50" s="3"/>
      <c r="G50" s="3"/>
      <c r="H50" s="3"/>
      <c r="I50" s="3"/>
      <c r="J50" s="3"/>
      <c r="K50" s="3"/>
      <c r="L50" s="16"/>
      <c r="M50" s="3"/>
      <c r="N50" s="3"/>
      <c r="O50" s="3"/>
      <c r="P50" s="3"/>
      <c r="Q50" s="3"/>
      <c r="R50" s="24">
        <f>SUM(R49:S49)</f>
        <v>31182.974570566515</v>
      </c>
      <c r="S50" s="3"/>
      <c r="T50" s="3"/>
      <c r="U50" s="3"/>
      <c r="V50" s="3"/>
      <c r="W50" s="3"/>
      <c r="X50" s="24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96" t="s">
        <v>194</v>
      </c>
      <c r="AA51" s="97"/>
      <c r="AB51" s="97"/>
      <c r="AC51" s="97"/>
      <c r="AD51" s="3"/>
      <c r="AE51" s="3"/>
      <c r="AF51" s="3"/>
      <c r="AG51" s="3"/>
      <c r="AH51" s="3"/>
    </row>
    <row r="52" spans="1:34" ht="15.75" customHeight="1" x14ac:dyDescent="0.25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1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97" t="s">
        <v>67</v>
      </c>
      <c r="AA52" s="97" t="s">
        <v>194</v>
      </c>
      <c r="AB52" s="97" t="s">
        <v>22</v>
      </c>
      <c r="AC52" s="97" t="s">
        <v>69</v>
      </c>
      <c r="AD52" s="3"/>
      <c r="AE52" s="3"/>
      <c r="AF52" s="3"/>
      <c r="AG52" s="3"/>
      <c r="AH52" s="3"/>
    </row>
    <row r="53" spans="1:34" ht="15.75" customHeight="1" x14ac:dyDescent="0.2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"/>
      <c r="N53" s="3"/>
      <c r="O53" s="1"/>
      <c r="P53" s="1"/>
      <c r="Q53" s="3"/>
      <c r="R53" s="3"/>
      <c r="S53" s="3"/>
      <c r="T53" s="3"/>
      <c r="U53" s="3"/>
      <c r="V53" s="3"/>
      <c r="W53" s="3"/>
      <c r="X53" s="33"/>
      <c r="Y53" s="3"/>
      <c r="Z53" s="97" t="s">
        <v>74</v>
      </c>
      <c r="AA53" s="121">
        <v>0.16</v>
      </c>
      <c r="AB53" s="99">
        <f>U49</f>
        <v>94648.527903259019</v>
      </c>
      <c r="AC53" s="97"/>
      <c r="AD53" s="3"/>
      <c r="AE53" s="3"/>
      <c r="AF53" s="3"/>
      <c r="AG53" s="3"/>
      <c r="AH53" s="3"/>
    </row>
    <row r="54" spans="1:34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6"/>
      <c r="O54" s="47" t="s">
        <v>106</v>
      </c>
      <c r="P54" s="2" t="str">
        <f>B1</f>
        <v>Cambodia</v>
      </c>
      <c r="Q54" s="46"/>
      <c r="R54" s="46"/>
      <c r="S54" s="46"/>
      <c r="T54" s="46"/>
      <c r="U54" s="3"/>
      <c r="V54" s="3"/>
      <c r="W54" s="3"/>
      <c r="X54" s="33"/>
      <c r="Y54" s="3"/>
      <c r="Z54" s="97">
        <f t="shared" ref="Z54:Z58" si="30">Z55-10</f>
        <v>-50</v>
      </c>
      <c r="AA54" s="121">
        <f>$AA$53*(1-(Z54/100))</f>
        <v>0.24</v>
      </c>
      <c r="AB54" s="99">
        <f t="dataTable" ref="AB54:AB64" dt2D="0" dtr="0" r1="J10"/>
        <v>121078.60504955926</v>
      </c>
      <c r="AC54" s="100">
        <f>100*((AB54-$AB$59)/$AB$59)</f>
        <v>27.924446086805098</v>
      </c>
      <c r="AD54" s="3"/>
      <c r="AE54" s="3"/>
      <c r="AF54" s="3"/>
      <c r="AG54" s="3"/>
      <c r="AH54" s="3"/>
    </row>
    <row r="55" spans="1:34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107</v>
      </c>
      <c r="P55" s="24">
        <f>SUM(O49:P49)</f>
        <v>13655.697666401116</v>
      </c>
      <c r="Q55" s="3" t="s">
        <v>3</v>
      </c>
      <c r="R55" s="49">
        <f t="shared" ref="R55:R58" si="31">P55/$F$41</f>
        <v>3.4139244166002794E-2</v>
      </c>
      <c r="S55" s="3" t="s">
        <v>4</v>
      </c>
      <c r="T55" s="3"/>
      <c r="U55" s="3"/>
      <c r="V55" s="3"/>
      <c r="W55" s="3"/>
      <c r="X55" s="33"/>
      <c r="Y55" s="3"/>
      <c r="Z55" s="97">
        <f t="shared" si="30"/>
        <v>-40</v>
      </c>
      <c r="AA55" s="121">
        <f t="shared" ref="AA55:AA58" si="32">$AA$53*(1-(Z55/100))</f>
        <v>0.22399999999999998</v>
      </c>
      <c r="AB55" s="99">
        <v>115792.5896202992</v>
      </c>
      <c r="AC55" s="100">
        <f t="shared" ref="AC55:AC64" si="33">100*((AB55-$AB$59)/$AB$59)</f>
        <v>22.339556869444063</v>
      </c>
      <c r="AD55" s="3"/>
      <c r="AE55" s="3"/>
      <c r="AF55" s="3"/>
      <c r="AG55" s="3"/>
      <c r="AH55" s="3"/>
    </row>
    <row r="56" spans="1:34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87</v>
      </c>
      <c r="P56" s="24">
        <f>SUM(Q49)</f>
        <v>52860.154292600513</v>
      </c>
      <c r="Q56" s="3" t="s">
        <v>3</v>
      </c>
      <c r="R56" s="49">
        <f t="shared" si="31"/>
        <v>0.13215038573150129</v>
      </c>
      <c r="S56" s="3" t="s">
        <v>4</v>
      </c>
      <c r="T56" s="3"/>
      <c r="U56" s="3"/>
      <c r="V56" s="3"/>
      <c r="W56" s="3"/>
      <c r="X56" s="33"/>
      <c r="Y56" s="3"/>
      <c r="Z56" s="97">
        <f t="shared" si="30"/>
        <v>-30</v>
      </c>
      <c r="AA56" s="121">
        <f t="shared" si="32"/>
        <v>0.20800000000000002</v>
      </c>
      <c r="AB56" s="99">
        <v>110506.57419103917</v>
      </c>
      <c r="AC56" s="100">
        <f t="shared" si="33"/>
        <v>16.754667652083061</v>
      </c>
      <c r="AD56" s="3"/>
      <c r="AE56" s="3"/>
      <c r="AF56" s="3"/>
      <c r="AG56" s="3"/>
      <c r="AH56" s="3"/>
    </row>
    <row r="57" spans="1:34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108</v>
      </c>
      <c r="P57" s="24">
        <f>SUM(R49:S49)</f>
        <v>31182.974570566515</v>
      </c>
      <c r="Q57" s="3" t="s">
        <v>3</v>
      </c>
      <c r="R57" s="49">
        <f t="shared" si="31"/>
        <v>7.7957436426416282E-2</v>
      </c>
      <c r="S57" s="3" t="s">
        <v>4</v>
      </c>
      <c r="T57" s="3"/>
      <c r="U57" s="3"/>
      <c r="V57" s="3"/>
      <c r="W57" s="3"/>
      <c r="X57" s="33"/>
      <c r="Y57" s="3"/>
      <c r="Z57" s="97">
        <f t="shared" si="30"/>
        <v>-20</v>
      </c>
      <c r="AA57" s="121">
        <f t="shared" si="32"/>
        <v>0.192</v>
      </c>
      <c r="AB57" s="99">
        <v>105220.55876177912</v>
      </c>
      <c r="AC57" s="100">
        <f t="shared" si="33"/>
        <v>11.169778434722041</v>
      </c>
      <c r="AD57" s="3"/>
      <c r="AE57" s="3"/>
      <c r="AF57" s="3"/>
      <c r="AG57" s="3"/>
      <c r="AH57" s="3"/>
    </row>
    <row r="58" spans="1:34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110</v>
      </c>
      <c r="P58" s="24">
        <f>T49</f>
        <v>-3050.2986263091566</v>
      </c>
      <c r="Q58" s="3" t="s">
        <v>3</v>
      </c>
      <c r="R58" s="49">
        <f t="shared" si="31"/>
        <v>-7.6257465657728913E-3</v>
      </c>
      <c r="S58" s="3" t="s">
        <v>4</v>
      </c>
      <c r="T58" s="3"/>
      <c r="U58" s="3"/>
      <c r="V58" s="3"/>
      <c r="W58" s="3"/>
      <c r="X58" s="33"/>
      <c r="Y58" s="3"/>
      <c r="Z58" s="97">
        <f t="shared" si="30"/>
        <v>-10</v>
      </c>
      <c r="AA58" s="121">
        <f t="shared" si="32"/>
        <v>0.17600000000000002</v>
      </c>
      <c r="AB58" s="99">
        <v>99934.543332519053</v>
      </c>
      <c r="AC58" s="100">
        <f t="shared" si="33"/>
        <v>5.5848892173610043</v>
      </c>
      <c r="AD58" s="3"/>
      <c r="AE58" s="3"/>
      <c r="AF58" s="3"/>
      <c r="AG58" s="3"/>
      <c r="AH58" s="3"/>
    </row>
    <row r="59" spans="1:34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3"/>
      <c r="Y59" s="3"/>
      <c r="Z59" s="101">
        <v>0</v>
      </c>
      <c r="AA59" s="122">
        <f t="shared" ref="AA59" si="34">$AA$53*(1+(Z59/100))</f>
        <v>0.16</v>
      </c>
      <c r="AB59" s="103">
        <v>94648.527903259019</v>
      </c>
      <c r="AC59" s="104">
        <f t="shared" si="33"/>
        <v>0</v>
      </c>
      <c r="AD59" s="3"/>
      <c r="AE59" s="3"/>
      <c r="AF59" s="3"/>
      <c r="AG59" s="3"/>
      <c r="AH59" s="3"/>
    </row>
    <row r="60" spans="1:34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" t="s">
        <v>2</v>
      </c>
      <c r="P60" s="4">
        <f>SUM(P55:P58)</f>
        <v>94648.527903258975</v>
      </c>
      <c r="Q60" s="1" t="s">
        <v>3</v>
      </c>
      <c r="R60" s="44">
        <f>SUM(R55:R58)</f>
        <v>0.23662131975814746</v>
      </c>
      <c r="S60" s="1" t="s">
        <v>4</v>
      </c>
      <c r="T60" s="3"/>
      <c r="U60" s="3"/>
      <c r="V60" s="3"/>
      <c r="W60" s="3"/>
      <c r="X60" s="33"/>
      <c r="Y60" s="3"/>
      <c r="Z60" s="97">
        <f t="shared" ref="Z60:Z64" si="35">Z59+10</f>
        <v>10</v>
      </c>
      <c r="AA60" s="121">
        <f t="shared" ref="AA60:AA64" si="36">$AA$53*(1-(Z60/100))</f>
        <v>0.14400000000000002</v>
      </c>
      <c r="AB60" s="99">
        <v>89362.512473998955</v>
      </c>
      <c r="AC60" s="100">
        <f t="shared" si="33"/>
        <v>-5.5848892173610354</v>
      </c>
      <c r="AD60" s="3"/>
      <c r="AE60" s="3"/>
      <c r="AF60" s="3"/>
      <c r="AG60" s="3"/>
      <c r="AH60" s="3"/>
    </row>
    <row r="61" spans="1:34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3"/>
      <c r="Y61" s="3"/>
      <c r="Z61" s="97">
        <f t="shared" si="35"/>
        <v>20</v>
      </c>
      <c r="AA61" s="121">
        <f t="shared" si="36"/>
        <v>0.128</v>
      </c>
      <c r="AB61" s="99">
        <v>84076.497044738906</v>
      </c>
      <c r="AC61" s="100">
        <f t="shared" si="33"/>
        <v>-11.169778434722055</v>
      </c>
      <c r="AD61" s="3"/>
      <c r="AE61" s="3"/>
      <c r="AF61" s="3"/>
      <c r="AG61" s="3"/>
      <c r="AH61" s="3"/>
    </row>
    <row r="62" spans="1:34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3"/>
      <c r="Y62" s="3"/>
      <c r="Z62" s="97">
        <f t="shared" si="35"/>
        <v>30</v>
      </c>
      <c r="AA62" s="121">
        <f t="shared" si="36"/>
        <v>0.11199999999999999</v>
      </c>
      <c r="AB62" s="99">
        <v>78790.481615478842</v>
      </c>
      <c r="AC62" s="100">
        <f t="shared" si="33"/>
        <v>-16.754667652083093</v>
      </c>
      <c r="AD62" s="3"/>
      <c r="AE62" s="3"/>
      <c r="AF62" s="3"/>
      <c r="AG62" s="3"/>
      <c r="AH62" s="3"/>
    </row>
    <row r="63" spans="1:34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3"/>
      <c r="Y63" s="3"/>
      <c r="Z63" s="97">
        <f t="shared" si="35"/>
        <v>40</v>
      </c>
      <c r="AA63" s="121">
        <f t="shared" si="36"/>
        <v>9.6000000000000002E-2</v>
      </c>
      <c r="AB63" s="99">
        <v>73504.466186218779</v>
      </c>
      <c r="AC63" s="100">
        <f t="shared" si="33"/>
        <v>-22.339556869444124</v>
      </c>
      <c r="AD63" s="3"/>
      <c r="AE63" s="3"/>
      <c r="AF63" s="3"/>
      <c r="AG63" s="3"/>
      <c r="AH63" s="3"/>
    </row>
    <row r="64" spans="1:34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3"/>
      <c r="Y64" s="3"/>
      <c r="Z64" s="97">
        <f t="shared" si="35"/>
        <v>50</v>
      </c>
      <c r="AA64" s="121">
        <f t="shared" si="36"/>
        <v>0.08</v>
      </c>
      <c r="AB64" s="99">
        <v>68218.450756958744</v>
      </c>
      <c r="AC64" s="100">
        <f t="shared" si="33"/>
        <v>-27.924446086805133</v>
      </c>
      <c r="AD64" s="3"/>
      <c r="AE64" s="3"/>
      <c r="AF64" s="3"/>
      <c r="AG64" s="3"/>
      <c r="AH64" s="3"/>
    </row>
    <row r="65" spans="1:34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pageMargins left="0.7" right="0.7" top="0.75" bottom="0.75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AY1000"/>
  <sheetViews>
    <sheetView topLeftCell="C4" zoomScale="90" zoomScaleNormal="90" workbookViewId="0">
      <selection activeCell="J8" sqref="J8:J2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28515625" customWidth="1"/>
    <col min="9" max="9" width="47" bestFit="1" customWidth="1"/>
    <col min="10" max="10" width="17.710937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33.7109375" customWidth="1"/>
    <col min="19" max="19" width="16.5703125" customWidth="1"/>
    <col min="20" max="20" width="11.140625" customWidth="1"/>
    <col min="21" max="22" width="31.28515625" customWidth="1"/>
    <col min="23" max="23" width="23.85546875" customWidth="1"/>
    <col min="24" max="25" width="13.42578125" customWidth="1"/>
    <col min="26" max="26" width="19.5703125" customWidth="1"/>
    <col min="27" max="27" width="12.28515625" customWidth="1"/>
    <col min="28" max="28" width="20.140625" customWidth="1"/>
    <col min="29" max="29" width="25.28515625" customWidth="1"/>
    <col min="30" max="30" width="12.85546875" customWidth="1"/>
    <col min="31" max="31" width="19" customWidth="1"/>
    <col min="32" max="32" width="4.7109375" customWidth="1"/>
    <col min="33" max="33" width="20.140625" customWidth="1"/>
    <col min="34" max="34" width="19.28515625" customWidth="1"/>
    <col min="35" max="35" width="11.28515625" customWidth="1"/>
    <col min="36" max="36" width="17.85546875" customWidth="1"/>
    <col min="37" max="38" width="8.85546875" customWidth="1"/>
    <col min="39" max="39" width="17.5703125" customWidth="1"/>
    <col min="40" max="40" width="9.7109375" customWidth="1"/>
    <col min="41" max="41" width="15.5703125" customWidth="1"/>
    <col min="42" max="42" width="8.85546875" customWidth="1"/>
    <col min="43" max="44" width="12.7109375" customWidth="1"/>
    <col min="45" max="51" width="8.85546875" customWidth="1"/>
  </cols>
  <sheetData>
    <row r="1" spans="1:51" x14ac:dyDescent="0.25">
      <c r="A1" s="1" t="s">
        <v>0</v>
      </c>
      <c r="B1" s="2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5">
      <c r="A2" s="1" t="s">
        <v>2</v>
      </c>
      <c r="B2" s="4">
        <f>X49</f>
        <v>35289.602517731808</v>
      </c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25">
      <c r="A3" s="3"/>
      <c r="B3" s="5">
        <f>B2/J34</f>
        <v>0.23180243377385581</v>
      </c>
      <c r="C3" s="1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25">
      <c r="A4" s="1" t="s">
        <v>5</v>
      </c>
      <c r="B4" s="3"/>
      <c r="C4" s="3"/>
      <c r="D4" s="3"/>
      <c r="E4" s="6"/>
      <c r="F4" s="3"/>
      <c r="G4" s="3"/>
      <c r="H4" s="3"/>
      <c r="I4" s="3"/>
      <c r="J4" s="7"/>
      <c r="K4" s="3"/>
      <c r="L4" s="3"/>
      <c r="M4" s="3"/>
      <c r="N4" s="1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" t="s">
        <v>7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25">
      <c r="A5" s="3" t="s">
        <v>8</v>
      </c>
      <c r="B5" s="8">
        <v>10</v>
      </c>
      <c r="C5" s="3" t="s">
        <v>9</v>
      </c>
      <c r="D5" s="3"/>
      <c r="E5" s="3"/>
      <c r="F5" s="6"/>
      <c r="G5" s="3"/>
      <c r="H5" s="3"/>
      <c r="I5" s="3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25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16</v>
      </c>
      <c r="R7" s="13" t="s">
        <v>17</v>
      </c>
      <c r="S7" s="13" t="s">
        <v>18</v>
      </c>
      <c r="T7" s="13"/>
      <c r="U7" s="13" t="s">
        <v>19</v>
      </c>
      <c r="V7" s="13" t="s">
        <v>20</v>
      </c>
      <c r="W7" s="13" t="s">
        <v>21</v>
      </c>
      <c r="X7" s="14" t="s">
        <v>22</v>
      </c>
      <c r="Y7" s="1"/>
      <c r="Z7" s="3"/>
      <c r="AA7" s="3"/>
      <c r="AB7" s="3" t="s">
        <v>23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25">
      <c r="A8" s="15" t="s">
        <v>24</v>
      </c>
      <c r="B8" s="8">
        <v>4043</v>
      </c>
      <c r="C8" s="3" t="s">
        <v>25</v>
      </c>
      <c r="D8" s="3"/>
      <c r="E8" s="3"/>
      <c r="F8" s="3"/>
      <c r="G8" s="3"/>
      <c r="H8" s="16"/>
      <c r="I8" s="17" t="s">
        <v>195</v>
      </c>
      <c r="J8" s="8">
        <v>47472645.161290325</v>
      </c>
      <c r="K8" s="3" t="s">
        <v>27</v>
      </c>
      <c r="L8" s="16"/>
      <c r="M8" s="3"/>
      <c r="N8" s="13">
        <v>0</v>
      </c>
      <c r="O8" s="18">
        <f>F31</f>
        <v>7801.3848387096778</v>
      </c>
      <c r="P8" s="13"/>
      <c r="Q8" s="13"/>
      <c r="R8" s="13"/>
      <c r="S8" s="13"/>
      <c r="T8" s="13"/>
      <c r="U8" s="13"/>
      <c r="V8" s="13"/>
      <c r="W8" s="13"/>
      <c r="X8" s="19">
        <f t="shared" ref="X8:X48" si="0">SUM(O8:W8)</f>
        <v>7801.3848387096778</v>
      </c>
      <c r="Y8" s="4"/>
      <c r="Z8" s="8"/>
      <c r="AA8" s="3"/>
      <c r="AB8" s="3" t="s">
        <v>28</v>
      </c>
      <c r="AC8" s="20">
        <f>F36</f>
        <v>0.18</v>
      </c>
      <c r="AD8" s="3" t="s">
        <v>29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25">
      <c r="A9" s="15"/>
      <c r="B9" s="3"/>
      <c r="C9" s="3"/>
      <c r="D9" s="3"/>
      <c r="E9" s="3"/>
      <c r="F9" s="6"/>
      <c r="G9" s="3"/>
      <c r="H9" s="16"/>
      <c r="I9" s="17" t="s">
        <v>30</v>
      </c>
      <c r="J9" s="8">
        <v>105</v>
      </c>
      <c r="K9" s="3" t="s">
        <v>29</v>
      </c>
      <c r="L9" s="16"/>
      <c r="M9" s="3"/>
      <c r="N9" s="13">
        <v>1</v>
      </c>
      <c r="O9" s="13"/>
      <c r="P9" s="21">
        <f t="shared" ref="P9:P48" si="1">IF(N9&gt;0,IF(N9&lt;=$J$20,(($F$32+$F$33)/$J$20)/((1+($F$11/100))^N9),0),0)</f>
        <v>5141.9794292473125</v>
      </c>
      <c r="Q9" s="22">
        <f t="shared" ref="Q9:Q48" si="2">IF(N9&gt;0,($F$41*((1+($F$14/100))^(N9-1)))/((1+($F$11/100))^N9),0)</f>
        <v>370.59565714285702</v>
      </c>
      <c r="R9" s="22">
        <f t="shared" ref="R9:R48" si="3">IF(N9&gt;0,$F$40/((1+($F$11/100))^N9),0)</f>
        <v>0</v>
      </c>
      <c r="S9" s="22">
        <f t="shared" ref="S9:S48" si="4">IF(N9&gt;0,$J$37/((1+($F$11/100))^N9),0)</f>
        <v>397.53854087605851</v>
      </c>
      <c r="T9" s="22"/>
      <c r="U9" s="22">
        <f t="shared" ref="U9:U48" si="5">IF(AND(MOD(N9,$J$31)=0,N9&gt;0),$B$46/((1+($F$11/100))^N9),0)</f>
        <v>0</v>
      </c>
      <c r="V9" s="22">
        <f t="shared" ref="V9:V48" si="6">IF(N9&gt;0,$J$32/((1+($F$11/100))^N9),0)</f>
        <v>0</v>
      </c>
      <c r="W9" s="21">
        <f t="shared" ref="W9:W18" si="7">IF(N9=$B$5,((((1-$J$15/100)^N9)*$B$47+((1-$J$16/100)^N9)*$B$48)/((1+($F$11/100))^N9))*-1,0)</f>
        <v>0</v>
      </c>
      <c r="X9" s="19">
        <f t="shared" si="0"/>
        <v>5910.1136272662279</v>
      </c>
      <c r="Y9" s="4"/>
      <c r="Z9" s="8"/>
      <c r="AA9" s="3"/>
      <c r="AB9" s="3" t="s">
        <v>31</v>
      </c>
      <c r="AC9" s="7">
        <f>B48</f>
        <v>5071.5</v>
      </c>
      <c r="AD9" s="3" t="s">
        <v>3</v>
      </c>
      <c r="AE9" s="3"/>
      <c r="AF9" s="8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25">
      <c r="A10" s="23" t="s">
        <v>32</v>
      </c>
      <c r="B10" s="3"/>
      <c r="C10" s="3"/>
      <c r="D10" s="3"/>
      <c r="E10" s="1" t="s">
        <v>33</v>
      </c>
      <c r="F10" s="3"/>
      <c r="G10" s="3"/>
      <c r="H10" s="16"/>
      <c r="I10" s="17" t="s">
        <v>34</v>
      </c>
      <c r="J10" s="8">
        <v>42</v>
      </c>
      <c r="K10" s="3" t="s">
        <v>35</v>
      </c>
      <c r="L10" s="16"/>
      <c r="M10" s="3"/>
      <c r="N10" s="13">
        <f t="shared" ref="N10:N48" si="8">IF((N9+1)&gt;$B$5,,IF(N9=0,,N9+1))</f>
        <v>2</v>
      </c>
      <c r="O10" s="13"/>
      <c r="P10" s="21">
        <f t="shared" si="1"/>
        <v>4897.123265949821</v>
      </c>
      <c r="Q10" s="22">
        <f t="shared" si="2"/>
        <v>356.47772734693865</v>
      </c>
      <c r="R10" s="22">
        <f t="shared" si="3"/>
        <v>0</v>
      </c>
      <c r="S10" s="22">
        <f t="shared" si="4"/>
        <v>378.60813416767479</v>
      </c>
      <c r="T10" s="22"/>
      <c r="U10" s="22">
        <f t="shared" si="5"/>
        <v>0</v>
      </c>
      <c r="V10" s="22">
        <f t="shared" si="6"/>
        <v>0</v>
      </c>
      <c r="W10" s="21">
        <f t="shared" si="7"/>
        <v>0</v>
      </c>
      <c r="X10" s="19">
        <f t="shared" si="0"/>
        <v>5632.2091274644345</v>
      </c>
      <c r="Y10" s="4"/>
      <c r="Z10" s="8"/>
      <c r="AA10" s="3"/>
      <c r="AB10" s="3" t="s">
        <v>176</v>
      </c>
      <c r="AC10" s="24">
        <f>B52</f>
        <v>26004.61612903226</v>
      </c>
      <c r="AD10" s="3" t="s">
        <v>3</v>
      </c>
      <c r="AE10" s="3"/>
      <c r="AF10" s="8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25">
      <c r="A11" s="25" t="s">
        <v>169</v>
      </c>
      <c r="B11" s="26">
        <v>0</v>
      </c>
      <c r="C11" s="3" t="s">
        <v>36</v>
      </c>
      <c r="D11" s="3"/>
      <c r="E11" s="17" t="s">
        <v>37</v>
      </c>
      <c r="F11" s="3">
        <v>5</v>
      </c>
      <c r="G11" s="3" t="s">
        <v>36</v>
      </c>
      <c r="H11" s="16"/>
      <c r="I11" s="17" t="s">
        <v>38</v>
      </c>
      <c r="J11" s="8">
        <v>536</v>
      </c>
      <c r="K11" s="3" t="s">
        <v>125</v>
      </c>
      <c r="L11" s="16"/>
      <c r="M11" s="3"/>
      <c r="N11" s="13">
        <f t="shared" si="8"/>
        <v>3</v>
      </c>
      <c r="O11" s="13"/>
      <c r="P11" s="21">
        <f t="shared" si="1"/>
        <v>4663.9269199522105</v>
      </c>
      <c r="Q11" s="22">
        <f t="shared" si="2"/>
        <v>342.89762344800766</v>
      </c>
      <c r="R11" s="22">
        <f t="shared" si="3"/>
        <v>0</v>
      </c>
      <c r="S11" s="22">
        <f t="shared" si="4"/>
        <v>360.57917539778549</v>
      </c>
      <c r="T11" s="22"/>
      <c r="U11" s="22">
        <f t="shared" si="5"/>
        <v>0</v>
      </c>
      <c r="V11" s="22">
        <f t="shared" si="6"/>
        <v>0</v>
      </c>
      <c r="W11" s="21">
        <f t="shared" si="7"/>
        <v>0</v>
      </c>
      <c r="X11" s="19">
        <f t="shared" si="0"/>
        <v>5367.4037187980039</v>
      </c>
      <c r="Y11" s="4"/>
      <c r="Z11" s="8"/>
      <c r="AA11" s="3"/>
      <c r="AB11" s="3" t="s">
        <v>40</v>
      </c>
      <c r="AC11" s="8">
        <f>F12</f>
        <v>15224</v>
      </c>
      <c r="AD11" s="3" t="s">
        <v>41</v>
      </c>
      <c r="AE11" s="3"/>
      <c r="AF11" s="8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25">
      <c r="A12" s="25" t="s">
        <v>42</v>
      </c>
      <c r="B12" s="3">
        <v>0</v>
      </c>
      <c r="C12" s="3" t="s">
        <v>36</v>
      </c>
      <c r="D12" s="3"/>
      <c r="E12" s="17" t="s">
        <v>43</v>
      </c>
      <c r="F12" s="8">
        <v>15224</v>
      </c>
      <c r="G12" s="3" t="s">
        <v>41</v>
      </c>
      <c r="H12" s="16"/>
      <c r="I12" s="17" t="s">
        <v>44</v>
      </c>
      <c r="J12" s="8">
        <v>300</v>
      </c>
      <c r="K12" s="3" t="s">
        <v>45</v>
      </c>
      <c r="L12" s="16"/>
      <c r="M12" s="3"/>
      <c r="N12" s="13">
        <f t="shared" si="8"/>
        <v>4</v>
      </c>
      <c r="O12" s="13"/>
      <c r="P12" s="21">
        <f t="shared" si="1"/>
        <v>4441.8351618592487</v>
      </c>
      <c r="Q12" s="22">
        <f t="shared" si="2"/>
        <v>329.83485684046451</v>
      </c>
      <c r="R12" s="22">
        <f t="shared" si="3"/>
        <v>0</v>
      </c>
      <c r="S12" s="22">
        <f t="shared" si="4"/>
        <v>343.40873847408142</v>
      </c>
      <c r="T12" s="22"/>
      <c r="U12" s="22">
        <f t="shared" si="5"/>
        <v>0</v>
      </c>
      <c r="V12" s="22">
        <f t="shared" si="6"/>
        <v>0</v>
      </c>
      <c r="W12" s="21">
        <f t="shared" si="7"/>
        <v>0</v>
      </c>
      <c r="X12" s="19">
        <f t="shared" si="0"/>
        <v>5115.0787571737947</v>
      </c>
      <c r="Y12" s="4"/>
      <c r="Z12" s="8"/>
      <c r="AA12" s="3"/>
      <c r="AB12" s="17" t="s">
        <v>46</v>
      </c>
      <c r="AC12" s="24">
        <f>J40</f>
        <v>379.07759999999996</v>
      </c>
      <c r="AD12" s="3" t="s">
        <v>47</v>
      </c>
      <c r="AE12" s="3"/>
      <c r="AF12" s="8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25">
      <c r="A13" s="25" t="s">
        <v>48</v>
      </c>
      <c r="B13" s="3">
        <v>10</v>
      </c>
      <c r="C13" s="3" t="s">
        <v>36</v>
      </c>
      <c r="D13" s="3"/>
      <c r="E13" s="17" t="s">
        <v>28</v>
      </c>
      <c r="F13" s="8">
        <v>727.74</v>
      </c>
      <c r="G13" s="3" t="s">
        <v>49</v>
      </c>
      <c r="H13" s="16"/>
      <c r="I13" s="17" t="s">
        <v>50</v>
      </c>
      <c r="J13" s="3">
        <v>30</v>
      </c>
      <c r="K13" s="3" t="s">
        <v>51</v>
      </c>
      <c r="L13" s="16"/>
      <c r="M13" s="3"/>
      <c r="N13" s="13">
        <f t="shared" si="8"/>
        <v>5</v>
      </c>
      <c r="O13" s="13"/>
      <c r="P13" s="21">
        <f t="shared" si="1"/>
        <v>4230.3192017707124</v>
      </c>
      <c r="Q13" s="22">
        <f t="shared" si="2"/>
        <v>317.26971943701824</v>
      </c>
      <c r="R13" s="22">
        <f t="shared" si="3"/>
        <v>0</v>
      </c>
      <c r="S13" s="22">
        <f t="shared" si="4"/>
        <v>327.05594140388706</v>
      </c>
      <c r="T13" s="22"/>
      <c r="U13" s="22">
        <f t="shared" si="5"/>
        <v>0</v>
      </c>
      <c r="V13" s="22">
        <f t="shared" si="6"/>
        <v>0</v>
      </c>
      <c r="W13" s="21">
        <f t="shared" si="7"/>
        <v>0</v>
      </c>
      <c r="X13" s="19">
        <f t="shared" si="0"/>
        <v>4874.644862611618</v>
      </c>
      <c r="Y13" s="4"/>
      <c r="Z13" s="8"/>
      <c r="AA13" s="3"/>
      <c r="AB13" s="70" t="s">
        <v>160</v>
      </c>
      <c r="AC13" s="91">
        <f>J26</f>
        <v>150</v>
      </c>
      <c r="AD13" s="70" t="s">
        <v>151</v>
      </c>
      <c r="AE13" s="3"/>
      <c r="AF13" s="8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25">
      <c r="A14" s="25"/>
      <c r="B14" s="3"/>
      <c r="C14" s="3"/>
      <c r="D14" s="3"/>
      <c r="E14" s="17" t="s">
        <v>52</v>
      </c>
      <c r="F14" s="3">
        <v>1</v>
      </c>
      <c r="G14" s="3" t="s">
        <v>53</v>
      </c>
      <c r="H14" s="16"/>
      <c r="I14" s="17" t="s">
        <v>54</v>
      </c>
      <c r="J14" s="7">
        <v>20</v>
      </c>
      <c r="K14" s="3" t="s">
        <v>36</v>
      </c>
      <c r="L14" s="16"/>
      <c r="M14" s="3"/>
      <c r="N14" s="13">
        <f t="shared" si="8"/>
        <v>6</v>
      </c>
      <c r="O14" s="13"/>
      <c r="P14" s="21">
        <f t="shared" si="1"/>
        <v>0</v>
      </c>
      <c r="Q14" s="22">
        <f t="shared" si="2"/>
        <v>305.18325393465568</v>
      </c>
      <c r="R14" s="22">
        <f t="shared" si="3"/>
        <v>0</v>
      </c>
      <c r="S14" s="22">
        <f t="shared" si="4"/>
        <v>311.48184895608296</v>
      </c>
      <c r="T14" s="22"/>
      <c r="U14" s="22">
        <f t="shared" si="5"/>
        <v>0</v>
      </c>
      <c r="V14" s="22">
        <f t="shared" si="6"/>
        <v>0</v>
      </c>
      <c r="W14" s="21">
        <f t="shared" si="7"/>
        <v>0</v>
      </c>
      <c r="X14" s="19">
        <f t="shared" si="0"/>
        <v>616.66510289073858</v>
      </c>
      <c r="Y14" s="4"/>
      <c r="Z14" s="8"/>
      <c r="AA14" s="3"/>
      <c r="AB14" s="70" t="s">
        <v>194</v>
      </c>
      <c r="AC14" s="95">
        <f>J17</f>
        <v>0.14199999999999999</v>
      </c>
      <c r="AD14" s="70" t="s">
        <v>62</v>
      </c>
      <c r="AE14" s="3"/>
      <c r="AF14" s="8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x14ac:dyDescent="0.25">
      <c r="A15" s="17" t="s">
        <v>55</v>
      </c>
      <c r="B15" s="3">
        <v>30</v>
      </c>
      <c r="C15" s="3" t="s">
        <v>36</v>
      </c>
      <c r="D15" s="3"/>
      <c r="E15" s="17" t="s">
        <v>56</v>
      </c>
      <c r="F15" s="3">
        <v>0</v>
      </c>
      <c r="G15" s="3" t="s">
        <v>57</v>
      </c>
      <c r="H15" s="16"/>
      <c r="I15" s="17" t="s">
        <v>58</v>
      </c>
      <c r="J15" s="3">
        <v>7.08</v>
      </c>
      <c r="K15" s="3" t="s">
        <v>59</v>
      </c>
      <c r="L15" s="16"/>
      <c r="M15" s="3"/>
      <c r="N15" s="13">
        <f t="shared" si="8"/>
        <v>7</v>
      </c>
      <c r="O15" s="13"/>
      <c r="P15" s="21">
        <f t="shared" si="1"/>
        <v>0</v>
      </c>
      <c r="Q15" s="22">
        <f t="shared" si="2"/>
        <v>293.55722521333547</v>
      </c>
      <c r="R15" s="22">
        <f t="shared" si="3"/>
        <v>0</v>
      </c>
      <c r="S15" s="22">
        <f t="shared" si="4"/>
        <v>296.64937995817417</v>
      </c>
      <c r="T15" s="22"/>
      <c r="U15" s="22">
        <f t="shared" si="5"/>
        <v>0</v>
      </c>
      <c r="V15" s="22">
        <f t="shared" si="6"/>
        <v>0</v>
      </c>
      <c r="W15" s="21">
        <f t="shared" si="7"/>
        <v>0</v>
      </c>
      <c r="X15" s="19">
        <f t="shared" si="0"/>
        <v>590.20660517150964</v>
      </c>
      <c r="Y15" s="4"/>
      <c r="Z15" s="8"/>
      <c r="AA15" s="3"/>
      <c r="AB15" s="3"/>
      <c r="AC15" s="3"/>
      <c r="AD15" s="3"/>
      <c r="AE15" s="3"/>
      <c r="AF15" s="8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25">
      <c r="A16" s="25" t="s">
        <v>131</v>
      </c>
      <c r="B16" s="3">
        <v>15</v>
      </c>
      <c r="C16" s="3" t="s">
        <v>36</v>
      </c>
      <c r="D16" s="3"/>
      <c r="E16" s="17" t="s">
        <v>175</v>
      </c>
      <c r="F16" s="8">
        <v>155000</v>
      </c>
      <c r="G16" s="3" t="s">
        <v>57</v>
      </c>
      <c r="H16" s="16"/>
      <c r="I16" s="17" t="s">
        <v>60</v>
      </c>
      <c r="J16" s="3">
        <v>11</v>
      </c>
      <c r="K16" s="3" t="s">
        <v>59</v>
      </c>
      <c r="L16" s="16"/>
      <c r="M16" s="3"/>
      <c r="N16" s="13">
        <f t="shared" si="8"/>
        <v>8</v>
      </c>
      <c r="O16" s="13"/>
      <c r="P16" s="21">
        <f t="shared" si="1"/>
        <v>0</v>
      </c>
      <c r="Q16" s="22">
        <f t="shared" si="2"/>
        <v>282.37409282425597</v>
      </c>
      <c r="R16" s="22">
        <f t="shared" si="3"/>
        <v>0</v>
      </c>
      <c r="S16" s="22">
        <f t="shared" si="4"/>
        <v>282.52321900778497</v>
      </c>
      <c r="T16" s="22"/>
      <c r="U16" s="22">
        <f t="shared" si="5"/>
        <v>0</v>
      </c>
      <c r="V16" s="22">
        <f t="shared" si="6"/>
        <v>0</v>
      </c>
      <c r="W16" s="21">
        <f t="shared" si="7"/>
        <v>0</v>
      </c>
      <c r="X16" s="19">
        <f t="shared" si="0"/>
        <v>564.89731183204094</v>
      </c>
      <c r="Y16" s="4"/>
      <c r="Z16" s="8"/>
      <c r="AA16" s="3"/>
      <c r="AB16" s="3"/>
      <c r="AC16" s="3"/>
      <c r="AD16" s="3"/>
      <c r="AE16" s="3"/>
      <c r="AF16" s="8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x14ac:dyDescent="0.25">
      <c r="A17" s="25"/>
      <c r="B17" s="3"/>
      <c r="C17" s="3"/>
      <c r="D17" s="3"/>
      <c r="E17" s="17" t="s">
        <v>64</v>
      </c>
      <c r="F17" s="8"/>
      <c r="G17" s="3" t="s">
        <v>65</v>
      </c>
      <c r="H17" s="16"/>
      <c r="I17" s="17" t="s">
        <v>61</v>
      </c>
      <c r="J17" s="27">
        <v>0.14199999999999999</v>
      </c>
      <c r="K17" s="3" t="s">
        <v>62</v>
      </c>
      <c r="L17" s="16"/>
      <c r="M17" s="3"/>
      <c r="N17" s="13">
        <f t="shared" si="8"/>
        <v>9</v>
      </c>
      <c r="O17" s="13"/>
      <c r="P17" s="21">
        <f t="shared" si="1"/>
        <v>0</v>
      </c>
      <c r="Q17" s="22">
        <f t="shared" si="2"/>
        <v>271.61698452618913</v>
      </c>
      <c r="R17" s="22">
        <f t="shared" si="3"/>
        <v>0</v>
      </c>
      <c r="S17" s="22">
        <f t="shared" si="4"/>
        <v>269.06973238836662</v>
      </c>
      <c r="T17" s="22"/>
      <c r="U17" s="22">
        <f t="shared" si="5"/>
        <v>0</v>
      </c>
      <c r="V17" s="22">
        <f t="shared" si="6"/>
        <v>0</v>
      </c>
      <c r="W17" s="21">
        <f t="shared" si="7"/>
        <v>0</v>
      </c>
      <c r="X17" s="19">
        <f t="shared" si="0"/>
        <v>540.68671691455575</v>
      </c>
      <c r="Y17" s="4"/>
      <c r="Z17" s="8"/>
      <c r="AA17" s="3"/>
      <c r="AB17" s="3"/>
      <c r="AC17" s="3"/>
      <c r="AD17" s="3"/>
      <c r="AE17" s="3"/>
      <c r="AF17" s="8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x14ac:dyDescent="0.25">
      <c r="A18" s="25"/>
      <c r="B18" s="8"/>
      <c r="C18" s="3"/>
      <c r="D18" s="3"/>
      <c r="E18" s="17" t="s">
        <v>46</v>
      </c>
      <c r="F18" s="7">
        <v>100.6707</v>
      </c>
      <c r="G18" s="70" t="s">
        <v>142</v>
      </c>
      <c r="H18" s="16"/>
      <c r="I18" s="3"/>
      <c r="J18" s="3"/>
      <c r="K18" s="3"/>
      <c r="L18" s="16"/>
      <c r="M18" s="3"/>
      <c r="N18" s="13">
        <f t="shared" si="8"/>
        <v>10</v>
      </c>
      <c r="O18" s="13"/>
      <c r="P18" s="21">
        <f t="shared" si="1"/>
        <v>0</v>
      </c>
      <c r="Q18" s="22">
        <f t="shared" si="2"/>
        <v>261.26967082995338</v>
      </c>
      <c r="R18" s="22">
        <f t="shared" si="3"/>
        <v>0</v>
      </c>
      <c r="S18" s="22">
        <f t="shared" si="4"/>
        <v>256.2568879889206</v>
      </c>
      <c r="T18" s="22"/>
      <c r="U18" s="22">
        <f t="shared" si="5"/>
        <v>2707.3574481147484</v>
      </c>
      <c r="V18" s="22">
        <f t="shared" si="6"/>
        <v>0</v>
      </c>
      <c r="W18" s="21">
        <f t="shared" si="7"/>
        <v>-4948.5721580344116</v>
      </c>
      <c r="X18" s="19">
        <f t="shared" si="0"/>
        <v>-1723.6881511007891</v>
      </c>
      <c r="Y18" s="4"/>
      <c r="Z18" s="8"/>
      <c r="AA18" s="3"/>
      <c r="AB18" s="3"/>
      <c r="AC18" s="3"/>
      <c r="AD18" s="3"/>
      <c r="AE18" s="3"/>
      <c r="AF18" s="8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x14ac:dyDescent="0.25">
      <c r="A19" s="25"/>
      <c r="B19" s="3"/>
      <c r="C19" s="3"/>
      <c r="D19" s="3"/>
      <c r="E19" s="17" t="s">
        <v>71</v>
      </c>
      <c r="F19" s="3">
        <v>9.66</v>
      </c>
      <c r="G19" s="3" t="s">
        <v>59</v>
      </c>
      <c r="H19" s="16"/>
      <c r="I19" s="1" t="s">
        <v>66</v>
      </c>
      <c r="J19" s="3"/>
      <c r="K19" s="3"/>
      <c r="L19" s="16"/>
      <c r="M19" s="3"/>
      <c r="N19" s="13">
        <f t="shared" si="8"/>
        <v>0</v>
      </c>
      <c r="O19" s="13"/>
      <c r="P19" s="21">
        <f t="shared" si="1"/>
        <v>0</v>
      </c>
      <c r="Q19" s="22">
        <f t="shared" si="2"/>
        <v>0</v>
      </c>
      <c r="R19" s="22">
        <f t="shared" si="3"/>
        <v>0</v>
      </c>
      <c r="S19" s="22">
        <f t="shared" si="4"/>
        <v>0</v>
      </c>
      <c r="T19" s="22"/>
      <c r="U19" s="22">
        <f t="shared" si="5"/>
        <v>0</v>
      </c>
      <c r="V19" s="22">
        <f t="shared" si="6"/>
        <v>0</v>
      </c>
      <c r="W19" s="21">
        <f t="shared" ref="W19:W48" si="9">IF(N19=$B$5,((((1-$J$15/100)^N19)*$B$52+((1-$J$16/100)^N19)*$B$48)/((1+($F$11/100))^N19))*-1,0)</f>
        <v>0</v>
      </c>
      <c r="X19" s="19">
        <f t="shared" si="0"/>
        <v>0</v>
      </c>
      <c r="Y19" s="4"/>
      <c r="Z19" s="8"/>
      <c r="AA19" s="3"/>
      <c r="AB19" s="3"/>
      <c r="AC19" s="3"/>
      <c r="AD19" s="3"/>
      <c r="AE19" s="3"/>
      <c r="AF19" s="8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x14ac:dyDescent="0.25">
      <c r="A20" s="25"/>
      <c r="B20" s="3"/>
      <c r="C20" s="3"/>
      <c r="D20" s="3"/>
      <c r="E20" s="17"/>
      <c r="F20" s="8"/>
      <c r="G20" s="3"/>
      <c r="H20" s="16"/>
      <c r="I20" s="17" t="s">
        <v>72</v>
      </c>
      <c r="J20" s="3">
        <v>5</v>
      </c>
      <c r="K20" s="3" t="s">
        <v>51</v>
      </c>
      <c r="L20" s="16"/>
      <c r="M20" s="3"/>
      <c r="N20" s="13">
        <f t="shared" si="8"/>
        <v>0</v>
      </c>
      <c r="O20" s="13"/>
      <c r="P20" s="21">
        <f t="shared" si="1"/>
        <v>0</v>
      </c>
      <c r="Q20" s="22">
        <f t="shared" si="2"/>
        <v>0</v>
      </c>
      <c r="R20" s="22">
        <f t="shared" si="3"/>
        <v>0</v>
      </c>
      <c r="S20" s="22">
        <f t="shared" si="4"/>
        <v>0</v>
      </c>
      <c r="T20" s="22"/>
      <c r="U20" s="22">
        <f t="shared" si="5"/>
        <v>0</v>
      </c>
      <c r="V20" s="22">
        <f t="shared" si="6"/>
        <v>0</v>
      </c>
      <c r="W20" s="21">
        <f t="shared" si="9"/>
        <v>0</v>
      </c>
      <c r="X20" s="19">
        <f t="shared" si="0"/>
        <v>0</v>
      </c>
      <c r="Y20" s="4"/>
      <c r="Z20" s="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 ht="15.75" customHeight="1" x14ac:dyDescent="0.25">
      <c r="A21" s="25"/>
      <c r="B21" s="3"/>
      <c r="C21" s="3"/>
      <c r="D21" s="3"/>
      <c r="E21" s="87"/>
      <c r="F21" s="87"/>
      <c r="G21" s="87"/>
      <c r="H21" s="16"/>
      <c r="I21" s="17" t="s">
        <v>75</v>
      </c>
      <c r="J21" s="3">
        <v>30</v>
      </c>
      <c r="K21" s="3" t="s">
        <v>76</v>
      </c>
      <c r="L21" s="16"/>
      <c r="M21" s="3"/>
      <c r="N21" s="13">
        <f t="shared" si="8"/>
        <v>0</v>
      </c>
      <c r="O21" s="13"/>
      <c r="P21" s="21">
        <f t="shared" si="1"/>
        <v>0</v>
      </c>
      <c r="Q21" s="22">
        <f t="shared" si="2"/>
        <v>0</v>
      </c>
      <c r="R21" s="22">
        <f t="shared" si="3"/>
        <v>0</v>
      </c>
      <c r="S21" s="22">
        <f t="shared" si="4"/>
        <v>0</v>
      </c>
      <c r="T21" s="22"/>
      <c r="U21" s="22">
        <f t="shared" si="5"/>
        <v>0</v>
      </c>
      <c r="V21" s="22">
        <f t="shared" si="6"/>
        <v>0</v>
      </c>
      <c r="W21" s="21">
        <f t="shared" si="9"/>
        <v>0</v>
      </c>
      <c r="X21" s="19">
        <f t="shared" si="0"/>
        <v>0</v>
      </c>
      <c r="Y21" s="4"/>
      <c r="Z21" s="8"/>
      <c r="AA21" s="3"/>
      <c r="AB21" s="28" t="s">
        <v>28</v>
      </c>
      <c r="AC21" s="29"/>
      <c r="AD21" s="29"/>
      <c r="AE21" s="29"/>
      <c r="AF21" s="3"/>
      <c r="AG21" s="28" t="s">
        <v>26</v>
      </c>
      <c r="AH21" s="29"/>
      <c r="AI21" s="29"/>
      <c r="AJ21" s="29"/>
      <c r="AK21" s="3"/>
      <c r="AL21" s="116" t="s">
        <v>182</v>
      </c>
      <c r="AM21" s="116" t="s">
        <v>184</v>
      </c>
      <c r="AN21" s="116" t="s">
        <v>185</v>
      </c>
      <c r="AO21" s="116" t="s">
        <v>31</v>
      </c>
      <c r="AP21" s="116" t="s">
        <v>186</v>
      </c>
      <c r="AQ21" s="116" t="s">
        <v>187</v>
      </c>
      <c r="AR21" s="123" t="str">
        <f>AB66</f>
        <v>Energy Efficiency</v>
      </c>
      <c r="AS21" s="3"/>
      <c r="AT21" s="3"/>
      <c r="AU21" s="3"/>
      <c r="AV21" s="3"/>
      <c r="AW21" s="3"/>
      <c r="AX21" s="3"/>
      <c r="AY21" s="3"/>
    </row>
    <row r="22" spans="1:51" ht="15.75" customHeight="1" x14ac:dyDescent="0.25">
      <c r="A22" s="25"/>
      <c r="B22" s="3"/>
      <c r="C22" s="3"/>
      <c r="D22" s="3"/>
      <c r="E22" s="87"/>
      <c r="F22" s="87"/>
      <c r="G22" s="87"/>
      <c r="H22" s="16"/>
      <c r="I22" s="87"/>
      <c r="J22" s="87"/>
      <c r="K22" s="87"/>
      <c r="L22" s="16"/>
      <c r="M22" s="3"/>
      <c r="N22" s="13">
        <f t="shared" si="8"/>
        <v>0</v>
      </c>
      <c r="O22" s="13"/>
      <c r="P22" s="21">
        <f t="shared" si="1"/>
        <v>0</v>
      </c>
      <c r="Q22" s="22">
        <f t="shared" si="2"/>
        <v>0</v>
      </c>
      <c r="R22" s="22">
        <f t="shared" si="3"/>
        <v>0</v>
      </c>
      <c r="S22" s="22">
        <f t="shared" si="4"/>
        <v>0</v>
      </c>
      <c r="T22" s="22"/>
      <c r="U22" s="22">
        <f t="shared" si="5"/>
        <v>0</v>
      </c>
      <c r="V22" s="22">
        <f t="shared" si="6"/>
        <v>0</v>
      </c>
      <c r="W22" s="21">
        <f t="shared" si="9"/>
        <v>0</v>
      </c>
      <c r="X22" s="19">
        <f t="shared" si="0"/>
        <v>0</v>
      </c>
      <c r="Y22" s="4"/>
      <c r="Z22" s="8"/>
      <c r="AA22" s="3"/>
      <c r="AB22" s="29" t="s">
        <v>67</v>
      </c>
      <c r="AC22" s="29" t="s">
        <v>68</v>
      </c>
      <c r="AD22" s="29" t="s">
        <v>22</v>
      </c>
      <c r="AE22" s="29" t="s">
        <v>69</v>
      </c>
      <c r="AF22" s="3"/>
      <c r="AG22" s="29" t="s">
        <v>67</v>
      </c>
      <c r="AH22" s="29" t="s">
        <v>70</v>
      </c>
      <c r="AI22" s="29" t="s">
        <v>22</v>
      </c>
      <c r="AJ22" s="29" t="s">
        <v>69</v>
      </c>
      <c r="AK22" s="3"/>
      <c r="AL22" s="117">
        <v>-50</v>
      </c>
      <c r="AM22" s="118">
        <f>AJ24</f>
        <v>-44.172456748165175</v>
      </c>
      <c r="AN22" s="118">
        <f>AE24</f>
        <v>-4.4362596744613274</v>
      </c>
      <c r="AO22" s="119">
        <f t="shared" ref="AO22:AO32" si="10">AE39</f>
        <v>-10.684987730331121</v>
      </c>
      <c r="AP22" s="119">
        <f t="shared" ref="AP22:AP32" si="11">AJ39</f>
        <v>-16.255394838748831</v>
      </c>
      <c r="AQ22" s="119">
        <f>AE54</f>
        <v>-4.147307614644788</v>
      </c>
      <c r="AR22" s="124">
        <f>AE69</f>
        <v>4.4362596744613692</v>
      </c>
      <c r="AS22" s="3"/>
      <c r="AT22" s="3"/>
      <c r="AU22" s="3"/>
      <c r="AV22" s="3"/>
      <c r="AW22" s="3"/>
      <c r="AX22" s="3"/>
      <c r="AY22" s="3"/>
    </row>
    <row r="23" spans="1:51" ht="15.75" customHeight="1" x14ac:dyDescent="0.25">
      <c r="A23" s="3"/>
      <c r="B23" s="3"/>
      <c r="C23" s="3"/>
      <c r="D23" s="3"/>
      <c r="E23" s="87"/>
      <c r="F23" s="87"/>
      <c r="G23" s="87"/>
      <c r="H23" s="16"/>
      <c r="I23" s="79" t="s">
        <v>146</v>
      </c>
      <c r="J23" s="80"/>
      <c r="K23" s="80"/>
      <c r="L23" s="81"/>
      <c r="M23" s="3"/>
      <c r="N23" s="13">
        <f t="shared" si="8"/>
        <v>0</v>
      </c>
      <c r="O23" s="13"/>
      <c r="P23" s="21">
        <f t="shared" si="1"/>
        <v>0</v>
      </c>
      <c r="Q23" s="22">
        <f t="shared" si="2"/>
        <v>0</v>
      </c>
      <c r="R23" s="22">
        <f t="shared" si="3"/>
        <v>0</v>
      </c>
      <c r="S23" s="22">
        <f t="shared" si="4"/>
        <v>0</v>
      </c>
      <c r="T23" s="22"/>
      <c r="U23" s="22">
        <f t="shared" si="5"/>
        <v>0</v>
      </c>
      <c r="V23" s="22">
        <f t="shared" si="6"/>
        <v>0</v>
      </c>
      <c r="W23" s="21">
        <f t="shared" si="9"/>
        <v>0</v>
      </c>
      <c r="X23" s="19">
        <f t="shared" si="0"/>
        <v>0</v>
      </c>
      <c r="Y23" s="4"/>
      <c r="Z23" s="8"/>
      <c r="AA23" s="3"/>
      <c r="AB23" s="29" t="s">
        <v>73</v>
      </c>
      <c r="AC23" s="30">
        <v>0.18</v>
      </c>
      <c r="AD23" s="31">
        <f>X49</f>
        <v>35289.602517731808</v>
      </c>
      <c r="AE23" s="29"/>
      <c r="AF23" s="3"/>
      <c r="AG23" s="29" t="s">
        <v>73</v>
      </c>
      <c r="AH23" s="32">
        <v>26004.61612903226</v>
      </c>
      <c r="AI23" s="31">
        <f>X49</f>
        <v>35289.602517731808</v>
      </c>
      <c r="AJ23" s="29"/>
      <c r="AK23" s="3"/>
      <c r="AL23" s="117">
        <v>-40</v>
      </c>
      <c r="AM23" s="118">
        <f>AJ25</f>
        <v>-35.33796539853212</v>
      </c>
      <c r="AN23" s="118">
        <f t="shared" ref="AN23:AN32" si="12">AE25</f>
        <v>-3.5490077395690953</v>
      </c>
      <c r="AO23" s="119">
        <f t="shared" si="10"/>
        <v>-8.54799018426489</v>
      </c>
      <c r="AP23" s="119">
        <f t="shared" si="11"/>
        <v>-14.538681380927592</v>
      </c>
      <c r="AQ23" s="119">
        <f t="shared" ref="AQ23:AQ32" si="13">AE55</f>
        <v>-3.3178460917158015</v>
      </c>
      <c r="AR23" s="124">
        <f t="shared" ref="AR23:AR32" si="14">AE70</f>
        <v>3.5490077395690953</v>
      </c>
      <c r="AS23" s="33"/>
      <c r="AT23" s="33"/>
      <c r="AU23" s="33"/>
      <c r="AV23" s="33"/>
      <c r="AW23" s="33"/>
      <c r="AX23" s="33"/>
      <c r="AY23" s="33"/>
    </row>
    <row r="24" spans="1:51" ht="15.75" customHeight="1" x14ac:dyDescent="0.25">
      <c r="A24" s="15"/>
      <c r="B24" s="3"/>
      <c r="C24" s="3"/>
      <c r="D24" s="3"/>
      <c r="E24" s="3"/>
      <c r="F24" s="7"/>
      <c r="G24" s="3"/>
      <c r="H24" s="16"/>
      <c r="I24" s="80" t="s">
        <v>147</v>
      </c>
      <c r="J24" s="82" t="s">
        <v>145</v>
      </c>
      <c r="K24" s="80"/>
      <c r="L24" s="81"/>
      <c r="M24" s="3"/>
      <c r="N24" s="13">
        <f t="shared" si="8"/>
        <v>0</v>
      </c>
      <c r="O24" s="13"/>
      <c r="P24" s="21">
        <f t="shared" si="1"/>
        <v>0</v>
      </c>
      <c r="Q24" s="22">
        <f t="shared" si="2"/>
        <v>0</v>
      </c>
      <c r="R24" s="22">
        <f t="shared" si="3"/>
        <v>0</v>
      </c>
      <c r="S24" s="22">
        <f t="shared" si="4"/>
        <v>0</v>
      </c>
      <c r="T24" s="22"/>
      <c r="U24" s="22">
        <f t="shared" si="5"/>
        <v>0</v>
      </c>
      <c r="V24" s="22">
        <f t="shared" si="6"/>
        <v>0</v>
      </c>
      <c r="W24" s="21">
        <f t="shared" si="9"/>
        <v>0</v>
      </c>
      <c r="X24" s="19">
        <f t="shared" si="0"/>
        <v>0</v>
      </c>
      <c r="Y24" s="4"/>
      <c r="Z24" s="8"/>
      <c r="AA24" s="3"/>
      <c r="AB24" s="29">
        <f t="shared" ref="AB24:AB28" si="15">AB25-10</f>
        <v>-50</v>
      </c>
      <c r="AC24" s="30">
        <f t="shared" ref="AC24:AC34" si="16">$AC$23*(1+(AB24/100))</f>
        <v>0.09</v>
      </c>
      <c r="AD24" s="31">
        <f t="dataTable" ref="AD24:AD34" dt2D="0" dtr="0" r1="F36" ca="1"/>
        <v>33724.064111959982</v>
      </c>
      <c r="AE24" s="34">
        <f t="shared" ref="AE24:AE34" si="17">100*((AD24-$AD$29)/$AD$29)</f>
        <v>-4.4362596744613274</v>
      </c>
      <c r="AF24" s="3"/>
      <c r="AG24" s="29">
        <f t="shared" ref="AG24:AG28" si="18">AG25-10</f>
        <v>-50</v>
      </c>
      <c r="AH24" s="32">
        <f t="shared" ref="AH24:AH34" si="19">$AH$23*(1+(AG24/100))</f>
        <v>13002.30806451613</v>
      </c>
      <c r="AI24" s="31">
        <f t="dataTable" ref="AI24:AI34" dt2D="0" dtr="0" r1="B52" ca="1"/>
        <v>19701.318108987318</v>
      </c>
      <c r="AJ24" s="34">
        <f t="shared" ref="AJ24:AJ34" si="20">100*((AI24-$AI$29)/$AI$29)</f>
        <v>-44.172456748165175</v>
      </c>
      <c r="AK24" s="3"/>
      <c r="AL24" s="117">
        <v>-30</v>
      </c>
      <c r="AM24" s="118">
        <f t="shared" ref="AM24:AM32" si="21">AJ26</f>
        <v>-26.503474048899118</v>
      </c>
      <c r="AN24" s="118">
        <f t="shared" si="12"/>
        <v>-2.6617558046768215</v>
      </c>
      <c r="AO24" s="119">
        <f t="shared" si="10"/>
        <v>-6.41099263819864</v>
      </c>
      <c r="AP24" s="119">
        <f t="shared" si="11"/>
        <v>-12.821967923106396</v>
      </c>
      <c r="AQ24" s="119">
        <f t="shared" si="13"/>
        <v>-2.4883845687868766</v>
      </c>
      <c r="AR24" s="124">
        <f t="shared" si="14"/>
        <v>2.6617558046768424</v>
      </c>
      <c r="AS24" s="33"/>
      <c r="AT24" s="33"/>
      <c r="AU24" s="33"/>
      <c r="AV24" s="33"/>
      <c r="AW24" s="33"/>
      <c r="AX24" s="33"/>
      <c r="AY24" s="33"/>
    </row>
    <row r="25" spans="1:51" ht="15.75" customHeight="1" x14ac:dyDescent="0.25">
      <c r="A25" s="15"/>
      <c r="B25" s="3"/>
      <c r="C25" s="3"/>
      <c r="D25" s="3"/>
      <c r="E25" s="3"/>
      <c r="F25" s="3"/>
      <c r="G25" s="3"/>
      <c r="H25" s="16"/>
      <c r="I25" s="83" t="s">
        <v>148</v>
      </c>
      <c r="J25" s="83">
        <v>1.3</v>
      </c>
      <c r="K25" s="83" t="s">
        <v>149</v>
      </c>
      <c r="L25" s="81"/>
      <c r="M25" s="3"/>
      <c r="N25" s="13">
        <f t="shared" si="8"/>
        <v>0</v>
      </c>
      <c r="O25" s="13"/>
      <c r="P25" s="21">
        <f t="shared" si="1"/>
        <v>0</v>
      </c>
      <c r="Q25" s="22">
        <f t="shared" si="2"/>
        <v>0</v>
      </c>
      <c r="R25" s="22">
        <f t="shared" si="3"/>
        <v>0</v>
      </c>
      <c r="S25" s="22">
        <f t="shared" si="4"/>
        <v>0</v>
      </c>
      <c r="T25" s="22"/>
      <c r="U25" s="22">
        <f t="shared" si="5"/>
        <v>0</v>
      </c>
      <c r="V25" s="22">
        <f t="shared" si="6"/>
        <v>0</v>
      </c>
      <c r="W25" s="21">
        <f t="shared" si="9"/>
        <v>0</v>
      </c>
      <c r="X25" s="19">
        <f t="shared" si="0"/>
        <v>0</v>
      </c>
      <c r="Y25" s="4"/>
      <c r="Z25" s="8"/>
      <c r="AA25" s="3"/>
      <c r="AB25" s="29">
        <f t="shared" si="15"/>
        <v>-40</v>
      </c>
      <c r="AC25" s="30">
        <f t="shared" si="16"/>
        <v>0.108</v>
      </c>
      <c r="AD25" s="31">
        <v>34037.171793114336</v>
      </c>
      <c r="AE25" s="34">
        <f t="shared" si="17"/>
        <v>-3.5490077395690953</v>
      </c>
      <c r="AF25" s="3"/>
      <c r="AG25" s="29">
        <f t="shared" si="18"/>
        <v>-40</v>
      </c>
      <c r="AH25" s="32">
        <f t="shared" si="19"/>
        <v>15602.769677419356</v>
      </c>
      <c r="AI25" s="31">
        <v>22818.97499073622</v>
      </c>
      <c r="AJ25" s="34">
        <f t="shared" si="20"/>
        <v>-35.33796539853212</v>
      </c>
      <c r="AK25" s="3"/>
      <c r="AL25" s="117">
        <v>-20</v>
      </c>
      <c r="AM25" s="118">
        <f t="shared" si="21"/>
        <v>-17.668982699266053</v>
      </c>
      <c r="AN25" s="118">
        <f t="shared" si="12"/>
        <v>-1.7745038697845268</v>
      </c>
      <c r="AO25" s="119">
        <f t="shared" si="10"/>
        <v>-4.273995092132461</v>
      </c>
      <c r="AP25" s="119">
        <f t="shared" si="11"/>
        <v>-11.105254465285155</v>
      </c>
      <c r="AQ25" s="119">
        <f t="shared" si="13"/>
        <v>-1.6589230458579109</v>
      </c>
      <c r="AR25" s="124">
        <f t="shared" si="14"/>
        <v>1.7745038697845477</v>
      </c>
      <c r="AS25" s="33"/>
      <c r="AT25" s="33"/>
      <c r="AU25" s="33"/>
      <c r="AV25" s="33"/>
      <c r="AW25" s="33"/>
      <c r="AX25" s="33"/>
      <c r="AY25" s="33"/>
    </row>
    <row r="26" spans="1:51" ht="15.75" customHeight="1" x14ac:dyDescent="0.25">
      <c r="A26" s="36"/>
      <c r="B26" s="37"/>
      <c r="C26" s="37"/>
      <c r="D26" s="37"/>
      <c r="E26" s="37"/>
      <c r="F26" s="37"/>
      <c r="G26" s="37"/>
      <c r="H26" s="38"/>
      <c r="I26" s="84" t="s">
        <v>150</v>
      </c>
      <c r="J26" s="85">
        <f>J12/2</f>
        <v>150</v>
      </c>
      <c r="K26" s="84" t="s">
        <v>151</v>
      </c>
      <c r="L26" s="86"/>
      <c r="M26" s="3"/>
      <c r="N26" s="13">
        <f t="shared" si="8"/>
        <v>0</v>
      </c>
      <c r="O26" s="13"/>
      <c r="P26" s="21">
        <f t="shared" si="1"/>
        <v>0</v>
      </c>
      <c r="Q26" s="22">
        <f t="shared" si="2"/>
        <v>0</v>
      </c>
      <c r="R26" s="22">
        <f t="shared" si="3"/>
        <v>0</v>
      </c>
      <c r="S26" s="22">
        <f t="shared" si="4"/>
        <v>0</v>
      </c>
      <c r="T26" s="22"/>
      <c r="U26" s="22">
        <f t="shared" si="5"/>
        <v>0</v>
      </c>
      <c r="V26" s="22">
        <f t="shared" si="6"/>
        <v>0</v>
      </c>
      <c r="W26" s="21">
        <f t="shared" si="9"/>
        <v>0</v>
      </c>
      <c r="X26" s="19">
        <f t="shared" si="0"/>
        <v>0</v>
      </c>
      <c r="Y26" s="4"/>
      <c r="Z26" s="8"/>
      <c r="AA26" s="3"/>
      <c r="AB26" s="29">
        <f t="shared" si="15"/>
        <v>-30</v>
      </c>
      <c r="AC26" s="30">
        <f t="shared" si="16"/>
        <v>0.126</v>
      </c>
      <c r="AD26" s="31">
        <v>34350.279474268704</v>
      </c>
      <c r="AE26" s="34">
        <f t="shared" si="17"/>
        <v>-2.6617558046768215</v>
      </c>
      <c r="AF26" s="3"/>
      <c r="AG26" s="29">
        <f t="shared" si="18"/>
        <v>-30</v>
      </c>
      <c r="AH26" s="32">
        <f t="shared" si="19"/>
        <v>18203.231290322579</v>
      </c>
      <c r="AI26" s="31">
        <v>25936.631872485108</v>
      </c>
      <c r="AJ26" s="34">
        <f t="shared" si="20"/>
        <v>-26.503474048899118</v>
      </c>
      <c r="AK26" s="3"/>
      <c r="AL26" s="117">
        <v>-10</v>
      </c>
      <c r="AM26" s="118">
        <f t="shared" si="21"/>
        <v>-8.8344913496330264</v>
      </c>
      <c r="AN26" s="118">
        <f t="shared" si="12"/>
        <v>-0.88725193489225318</v>
      </c>
      <c r="AO26" s="119">
        <f t="shared" si="10"/>
        <v>-2.1369975460661994</v>
      </c>
      <c r="AP26" s="119">
        <f t="shared" si="11"/>
        <v>-9.3885410074639157</v>
      </c>
      <c r="AQ26" s="119">
        <f t="shared" si="13"/>
        <v>-0.82946152292892461</v>
      </c>
      <c r="AR26" s="124">
        <f t="shared" si="14"/>
        <v>0.88725193489227383</v>
      </c>
      <c r="AS26" s="33"/>
      <c r="AT26" s="33"/>
      <c r="AU26" s="33"/>
      <c r="AV26" s="33"/>
      <c r="AW26" s="33"/>
      <c r="AX26" s="33"/>
      <c r="AY26" s="33"/>
    </row>
    <row r="27" spans="1:5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8"/>
      <c r="K27" s="3"/>
      <c r="L27" s="3"/>
      <c r="M27" s="3"/>
      <c r="N27" s="13">
        <f t="shared" si="8"/>
        <v>0</v>
      </c>
      <c r="O27" s="13"/>
      <c r="P27" s="21">
        <f t="shared" si="1"/>
        <v>0</v>
      </c>
      <c r="Q27" s="22">
        <f t="shared" si="2"/>
        <v>0</v>
      </c>
      <c r="R27" s="22">
        <f t="shared" si="3"/>
        <v>0</v>
      </c>
      <c r="S27" s="22">
        <f t="shared" si="4"/>
        <v>0</v>
      </c>
      <c r="T27" s="22"/>
      <c r="U27" s="22">
        <f t="shared" si="5"/>
        <v>0</v>
      </c>
      <c r="V27" s="22">
        <f t="shared" si="6"/>
        <v>0</v>
      </c>
      <c r="W27" s="21">
        <f t="shared" si="9"/>
        <v>0</v>
      </c>
      <c r="X27" s="19">
        <f t="shared" si="0"/>
        <v>0</v>
      </c>
      <c r="Y27" s="4"/>
      <c r="Z27" s="8"/>
      <c r="AA27" s="3"/>
      <c r="AB27" s="29">
        <f t="shared" si="15"/>
        <v>-20</v>
      </c>
      <c r="AC27" s="30">
        <f t="shared" si="16"/>
        <v>0.14399999999999999</v>
      </c>
      <c r="AD27" s="31">
        <v>34663.387155423079</v>
      </c>
      <c r="AE27" s="34">
        <f t="shared" si="17"/>
        <v>-1.7745038697845268</v>
      </c>
      <c r="AF27" s="3"/>
      <c r="AG27" s="29">
        <f t="shared" si="18"/>
        <v>-20</v>
      </c>
      <c r="AH27" s="32">
        <f t="shared" si="19"/>
        <v>20803.692903225809</v>
      </c>
      <c r="AI27" s="31">
        <v>29054.288754234018</v>
      </c>
      <c r="AJ27" s="34">
        <f t="shared" si="20"/>
        <v>-17.668982699266053</v>
      </c>
      <c r="AK27" s="3"/>
      <c r="AL27" s="117">
        <v>0</v>
      </c>
      <c r="AM27" s="118">
        <f t="shared" si="21"/>
        <v>0</v>
      </c>
      <c r="AN27" s="118">
        <f t="shared" si="12"/>
        <v>0</v>
      </c>
      <c r="AO27" s="119">
        <f t="shared" si="10"/>
        <v>0</v>
      </c>
      <c r="AP27" s="119">
        <f t="shared" si="11"/>
        <v>0</v>
      </c>
      <c r="AQ27" s="119">
        <f t="shared" si="13"/>
        <v>0</v>
      </c>
      <c r="AR27" s="124">
        <f t="shared" si="14"/>
        <v>0</v>
      </c>
      <c r="AS27" s="33"/>
      <c r="AT27" s="33"/>
      <c r="AU27" s="33"/>
      <c r="AV27" s="33"/>
      <c r="AW27" s="33"/>
      <c r="AX27" s="33"/>
      <c r="AY27" s="33"/>
    </row>
    <row r="28" spans="1:51" ht="15.75" customHeight="1" x14ac:dyDescent="0.25">
      <c r="A28" s="1" t="s">
        <v>77</v>
      </c>
      <c r="B28" s="3"/>
      <c r="C28" s="3"/>
      <c r="D28" s="3"/>
      <c r="E28" s="3"/>
      <c r="F28" s="3"/>
      <c r="G28" s="3"/>
      <c r="H28" s="3"/>
      <c r="I28" s="3"/>
      <c r="J28" s="8"/>
      <c r="K28" s="3"/>
      <c r="L28" s="3"/>
      <c r="M28" s="3"/>
      <c r="N28" s="13">
        <f t="shared" si="8"/>
        <v>0</v>
      </c>
      <c r="O28" s="13"/>
      <c r="P28" s="21">
        <f t="shared" si="1"/>
        <v>0</v>
      </c>
      <c r="Q28" s="22">
        <f t="shared" si="2"/>
        <v>0</v>
      </c>
      <c r="R28" s="22">
        <f t="shared" si="3"/>
        <v>0</v>
      </c>
      <c r="S28" s="22">
        <f t="shared" si="4"/>
        <v>0</v>
      </c>
      <c r="T28" s="22"/>
      <c r="U28" s="22">
        <f t="shared" si="5"/>
        <v>0</v>
      </c>
      <c r="V28" s="22">
        <f t="shared" si="6"/>
        <v>0</v>
      </c>
      <c r="W28" s="21">
        <f t="shared" si="9"/>
        <v>0</v>
      </c>
      <c r="X28" s="19">
        <f t="shared" si="0"/>
        <v>0</v>
      </c>
      <c r="Y28" s="4"/>
      <c r="Z28" s="8"/>
      <c r="AA28" s="3"/>
      <c r="AB28" s="29">
        <f t="shared" si="15"/>
        <v>-10</v>
      </c>
      <c r="AC28" s="30">
        <f t="shared" si="16"/>
        <v>0.16200000000000001</v>
      </c>
      <c r="AD28" s="31">
        <v>34976.494836577447</v>
      </c>
      <c r="AE28" s="34">
        <f t="shared" si="17"/>
        <v>-0.88725193489225318</v>
      </c>
      <c r="AF28" s="3"/>
      <c r="AG28" s="29">
        <f t="shared" si="18"/>
        <v>-10</v>
      </c>
      <c r="AH28" s="32">
        <f t="shared" si="19"/>
        <v>23404.154516129034</v>
      </c>
      <c r="AI28" s="31">
        <v>32171.945635982913</v>
      </c>
      <c r="AJ28" s="34">
        <f t="shared" si="20"/>
        <v>-8.8344913496330264</v>
      </c>
      <c r="AK28" s="3"/>
      <c r="AL28" s="117">
        <v>10</v>
      </c>
      <c r="AM28" s="118">
        <f t="shared" si="21"/>
        <v>8.8344913496330459</v>
      </c>
      <c r="AN28" s="118">
        <f t="shared" si="12"/>
        <v>0.88725193489227383</v>
      </c>
      <c r="AO28" s="119">
        <f t="shared" si="10"/>
        <v>2.1369975460662198</v>
      </c>
      <c r="AP28" s="119">
        <f t="shared" si="11"/>
        <v>2.1003048353033784</v>
      </c>
      <c r="AQ28" s="119">
        <f t="shared" si="13"/>
        <v>0.82946152292900699</v>
      </c>
      <c r="AR28" s="124">
        <f t="shared" si="14"/>
        <v>-0.88725193489225318</v>
      </c>
      <c r="AS28" s="33"/>
      <c r="AT28" s="33"/>
      <c r="AU28" s="33"/>
      <c r="AV28" s="33"/>
      <c r="AW28" s="33"/>
      <c r="AX28" s="33"/>
      <c r="AY28" s="33"/>
    </row>
    <row r="29" spans="1:5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8"/>
      <c r="K29" s="3"/>
      <c r="L29" s="3"/>
      <c r="M29" s="3"/>
      <c r="N29" s="13">
        <f t="shared" si="8"/>
        <v>0</v>
      </c>
      <c r="O29" s="13"/>
      <c r="P29" s="21">
        <f t="shared" si="1"/>
        <v>0</v>
      </c>
      <c r="Q29" s="22">
        <f t="shared" si="2"/>
        <v>0</v>
      </c>
      <c r="R29" s="22">
        <f t="shared" si="3"/>
        <v>0</v>
      </c>
      <c r="S29" s="22">
        <f t="shared" si="4"/>
        <v>0</v>
      </c>
      <c r="T29" s="22"/>
      <c r="U29" s="22">
        <f t="shared" si="5"/>
        <v>0</v>
      </c>
      <c r="V29" s="22">
        <f t="shared" si="6"/>
        <v>0</v>
      </c>
      <c r="W29" s="21">
        <f t="shared" si="9"/>
        <v>0</v>
      </c>
      <c r="X29" s="19">
        <f t="shared" si="0"/>
        <v>0</v>
      </c>
      <c r="Y29" s="4"/>
      <c r="Z29" s="8"/>
      <c r="AA29" s="3"/>
      <c r="AB29" s="39">
        <v>0</v>
      </c>
      <c r="AC29" s="51">
        <f t="shared" si="16"/>
        <v>0.18</v>
      </c>
      <c r="AD29" s="40">
        <v>35289.602517731808</v>
      </c>
      <c r="AE29" s="52">
        <f t="shared" si="17"/>
        <v>0</v>
      </c>
      <c r="AF29" s="3"/>
      <c r="AG29" s="39">
        <v>0</v>
      </c>
      <c r="AH29" s="45">
        <f t="shared" si="19"/>
        <v>26004.61612903226</v>
      </c>
      <c r="AI29" s="40">
        <v>35289.602517731808</v>
      </c>
      <c r="AJ29" s="52">
        <f t="shared" si="20"/>
        <v>0</v>
      </c>
      <c r="AK29" s="3"/>
      <c r="AL29" s="117">
        <v>20</v>
      </c>
      <c r="AM29" s="118">
        <f t="shared" si="21"/>
        <v>17.668982699266092</v>
      </c>
      <c r="AN29" s="118">
        <f t="shared" si="12"/>
        <v>1.7745038697845477</v>
      </c>
      <c r="AO29" s="119">
        <f t="shared" si="10"/>
        <v>4.2739950921324397</v>
      </c>
      <c r="AP29" s="119">
        <f t="shared" si="11"/>
        <v>4.2197892394808889</v>
      </c>
      <c r="AQ29" s="119">
        <f t="shared" si="13"/>
        <v>1.6589230458579316</v>
      </c>
      <c r="AR29" s="124">
        <f t="shared" si="14"/>
        <v>-1.7745038697845268</v>
      </c>
      <c r="AS29" s="33"/>
      <c r="AT29" s="33"/>
      <c r="AU29" s="33"/>
      <c r="AV29" s="33"/>
      <c r="AW29" s="33"/>
      <c r="AX29" s="33"/>
      <c r="AY29" s="33"/>
    </row>
    <row r="30" spans="1:51" ht="15.75" customHeight="1" x14ac:dyDescent="0.25">
      <c r="A30" s="9" t="s">
        <v>78</v>
      </c>
      <c r="B30" s="10"/>
      <c r="C30" s="10"/>
      <c r="D30" s="10"/>
      <c r="E30" s="12" t="s">
        <v>79</v>
      </c>
      <c r="F30" s="10"/>
      <c r="G30" s="10"/>
      <c r="H30" s="10"/>
      <c r="I30" s="12" t="s">
        <v>80</v>
      </c>
      <c r="J30" s="41"/>
      <c r="K30" s="10"/>
      <c r="L30" s="11"/>
      <c r="M30" s="3"/>
      <c r="N30" s="13">
        <f t="shared" si="8"/>
        <v>0</v>
      </c>
      <c r="O30" s="13"/>
      <c r="P30" s="21">
        <f t="shared" si="1"/>
        <v>0</v>
      </c>
      <c r="Q30" s="22">
        <f t="shared" si="2"/>
        <v>0</v>
      </c>
      <c r="R30" s="22">
        <f t="shared" si="3"/>
        <v>0</v>
      </c>
      <c r="S30" s="22">
        <f t="shared" si="4"/>
        <v>0</v>
      </c>
      <c r="T30" s="22"/>
      <c r="U30" s="22">
        <f t="shared" si="5"/>
        <v>0</v>
      </c>
      <c r="V30" s="22">
        <f t="shared" si="6"/>
        <v>0</v>
      </c>
      <c r="W30" s="21">
        <f t="shared" si="9"/>
        <v>0</v>
      </c>
      <c r="X30" s="19">
        <f t="shared" si="0"/>
        <v>0</v>
      </c>
      <c r="Y30" s="4"/>
      <c r="Z30" s="8"/>
      <c r="AA30" s="3"/>
      <c r="AB30" s="29">
        <f t="shared" ref="AB30:AB34" si="22">AB29+10</f>
        <v>10</v>
      </c>
      <c r="AC30" s="30">
        <f t="shared" si="16"/>
        <v>0.19800000000000001</v>
      </c>
      <c r="AD30" s="31">
        <v>35602.710198886176</v>
      </c>
      <c r="AE30" s="34">
        <f t="shared" si="17"/>
        <v>0.88725193489227383</v>
      </c>
      <c r="AF30" s="3"/>
      <c r="AG30" s="29">
        <f t="shared" ref="AG30:AG34" si="23">AG29+10</f>
        <v>10</v>
      </c>
      <c r="AH30" s="32">
        <f t="shared" si="19"/>
        <v>28605.077741935489</v>
      </c>
      <c r="AI30" s="31">
        <v>38407.25939948071</v>
      </c>
      <c r="AJ30" s="34">
        <f t="shared" si="20"/>
        <v>8.8344913496330459</v>
      </c>
      <c r="AK30" s="3"/>
      <c r="AL30" s="117">
        <v>30</v>
      </c>
      <c r="AM30" s="118">
        <f t="shared" si="21"/>
        <v>26.503474048899118</v>
      </c>
      <c r="AN30" s="118">
        <f t="shared" si="12"/>
        <v>2.6617558046768424</v>
      </c>
      <c r="AO30" s="119">
        <f t="shared" si="10"/>
        <v>6.41099263819864</v>
      </c>
      <c r="AP30" s="119">
        <f t="shared" si="11"/>
        <v>5.9365026973020667</v>
      </c>
      <c r="AQ30" s="119">
        <f t="shared" si="13"/>
        <v>2.4883845687868766</v>
      </c>
      <c r="AR30" s="124">
        <f t="shared" si="14"/>
        <v>-2.6617558046768215</v>
      </c>
      <c r="AS30" s="33"/>
      <c r="AT30" s="33"/>
      <c r="AU30" s="33"/>
      <c r="AV30" s="33"/>
      <c r="AW30" s="33"/>
      <c r="AX30" s="33"/>
      <c r="AY30" s="33"/>
    </row>
    <row r="31" spans="1:51" ht="15.75" customHeight="1" x14ac:dyDescent="0.25">
      <c r="A31" s="25" t="s">
        <v>167</v>
      </c>
      <c r="B31" s="8">
        <f t="shared" ref="B31:B32" si="24">IF(B11=0,0,-(B11/100)*$B$50)</f>
        <v>0</v>
      </c>
      <c r="C31" s="3" t="s">
        <v>3</v>
      </c>
      <c r="D31" s="3"/>
      <c r="E31" s="17" t="s">
        <v>81</v>
      </c>
      <c r="F31" s="24">
        <f>(J21/100)*B52</f>
        <v>7801.3848387096778</v>
      </c>
      <c r="G31" s="3" t="s">
        <v>3</v>
      </c>
      <c r="H31" s="3"/>
      <c r="I31" s="17" t="s">
        <v>82</v>
      </c>
      <c r="J31" s="33">
        <f>ROUNDDOWN(J11/(F12/J12),0)</f>
        <v>10</v>
      </c>
      <c r="K31" s="3" t="s">
        <v>51</v>
      </c>
      <c r="L31" s="16"/>
      <c r="M31" s="3"/>
      <c r="N31" s="13">
        <f t="shared" si="8"/>
        <v>0</v>
      </c>
      <c r="O31" s="13"/>
      <c r="P31" s="21">
        <f t="shared" si="1"/>
        <v>0</v>
      </c>
      <c r="Q31" s="22">
        <f t="shared" si="2"/>
        <v>0</v>
      </c>
      <c r="R31" s="22">
        <f t="shared" si="3"/>
        <v>0</v>
      </c>
      <c r="S31" s="22">
        <f t="shared" si="4"/>
        <v>0</v>
      </c>
      <c r="T31" s="22"/>
      <c r="U31" s="22">
        <f t="shared" si="5"/>
        <v>0</v>
      </c>
      <c r="V31" s="22">
        <f t="shared" si="6"/>
        <v>0</v>
      </c>
      <c r="W31" s="21">
        <f t="shared" si="9"/>
        <v>0</v>
      </c>
      <c r="X31" s="19">
        <f t="shared" si="0"/>
        <v>0</v>
      </c>
      <c r="Y31" s="4"/>
      <c r="Z31" s="8"/>
      <c r="AA31" s="3"/>
      <c r="AB31" s="29">
        <f t="shared" si="22"/>
        <v>20</v>
      </c>
      <c r="AC31" s="30">
        <f t="shared" si="16"/>
        <v>0.216</v>
      </c>
      <c r="AD31" s="31">
        <v>35915.817880040544</v>
      </c>
      <c r="AE31" s="34">
        <f t="shared" si="17"/>
        <v>1.7745038697845477</v>
      </c>
      <c r="AF31" s="3"/>
      <c r="AG31" s="29">
        <f t="shared" si="23"/>
        <v>20</v>
      </c>
      <c r="AH31" s="32">
        <f t="shared" si="19"/>
        <v>31205.539354838711</v>
      </c>
      <c r="AI31" s="31">
        <v>41524.916281229613</v>
      </c>
      <c r="AJ31" s="34">
        <f t="shared" si="20"/>
        <v>17.668982699266092</v>
      </c>
      <c r="AK31" s="3"/>
      <c r="AL31" s="117">
        <v>40</v>
      </c>
      <c r="AM31" s="118">
        <f t="shared" si="21"/>
        <v>35.337965398532106</v>
      </c>
      <c r="AN31" s="118">
        <f t="shared" si="12"/>
        <v>3.5490077395690953</v>
      </c>
      <c r="AO31" s="119">
        <f t="shared" si="10"/>
        <v>8.547990184264858</v>
      </c>
      <c r="AP31" s="119">
        <f t="shared" si="11"/>
        <v>8.076125648797353</v>
      </c>
      <c r="AQ31" s="119">
        <f t="shared" si="13"/>
        <v>3.3178460917158632</v>
      </c>
      <c r="AR31" s="124">
        <f t="shared" si="14"/>
        <v>-3.5490077395690953</v>
      </c>
      <c r="AS31" s="33"/>
      <c r="AT31" s="33"/>
      <c r="AU31" s="33"/>
      <c r="AV31" s="33"/>
      <c r="AW31" s="33"/>
      <c r="AX31" s="33"/>
      <c r="AY31" s="33"/>
    </row>
    <row r="32" spans="1:51" ht="15.75" customHeight="1" x14ac:dyDescent="0.25">
      <c r="A32" s="25" t="s">
        <v>42</v>
      </c>
      <c r="B32" s="8">
        <f t="shared" si="24"/>
        <v>0</v>
      </c>
      <c r="C32" s="3" t="s">
        <v>3</v>
      </c>
      <c r="D32" s="3"/>
      <c r="E32" s="17" t="s">
        <v>83</v>
      </c>
      <c r="F32" s="8">
        <f>B52-F31</f>
        <v>18203.231290322583</v>
      </c>
      <c r="G32" s="3" t="s">
        <v>3</v>
      </c>
      <c r="H32" s="3"/>
      <c r="I32" s="17" t="s">
        <v>56</v>
      </c>
      <c r="J32" s="95">
        <f>IF(J24="Yes",SUM(F50:F51),0)</f>
        <v>0</v>
      </c>
      <c r="K32" s="3" t="s">
        <v>47</v>
      </c>
      <c r="L32" s="16"/>
      <c r="M32" s="3"/>
      <c r="N32" s="13">
        <f t="shared" si="8"/>
        <v>0</v>
      </c>
      <c r="O32" s="13"/>
      <c r="P32" s="21">
        <f t="shared" si="1"/>
        <v>0</v>
      </c>
      <c r="Q32" s="22">
        <f t="shared" si="2"/>
        <v>0</v>
      </c>
      <c r="R32" s="22">
        <f t="shared" si="3"/>
        <v>0</v>
      </c>
      <c r="S32" s="22">
        <f t="shared" si="4"/>
        <v>0</v>
      </c>
      <c r="T32" s="22"/>
      <c r="U32" s="22">
        <f t="shared" si="5"/>
        <v>0</v>
      </c>
      <c r="V32" s="22">
        <f t="shared" si="6"/>
        <v>0</v>
      </c>
      <c r="W32" s="21">
        <f t="shared" si="9"/>
        <v>0</v>
      </c>
      <c r="X32" s="19">
        <f t="shared" si="0"/>
        <v>0</v>
      </c>
      <c r="Y32" s="4"/>
      <c r="Z32" s="8"/>
      <c r="AA32" s="3"/>
      <c r="AB32" s="29">
        <f t="shared" si="22"/>
        <v>30</v>
      </c>
      <c r="AC32" s="30">
        <f t="shared" si="16"/>
        <v>0.23399999999999999</v>
      </c>
      <c r="AD32" s="31">
        <v>36228.925561194919</v>
      </c>
      <c r="AE32" s="34">
        <f t="shared" si="17"/>
        <v>2.6617558046768424</v>
      </c>
      <c r="AF32" s="3"/>
      <c r="AG32" s="29">
        <f t="shared" si="23"/>
        <v>30</v>
      </c>
      <c r="AH32" s="32">
        <f t="shared" si="19"/>
        <v>33806.000967741937</v>
      </c>
      <c r="AI32" s="31">
        <v>44642.573162978508</v>
      </c>
      <c r="AJ32" s="34">
        <f t="shared" si="20"/>
        <v>26.503474048899118</v>
      </c>
      <c r="AK32" s="3"/>
      <c r="AL32" s="117">
        <v>50</v>
      </c>
      <c r="AM32" s="118">
        <f t="shared" si="21"/>
        <v>44.172456748165175</v>
      </c>
      <c r="AN32" s="118">
        <f t="shared" si="12"/>
        <v>4.4362596744613692</v>
      </c>
      <c r="AO32" s="119">
        <f t="shared" si="10"/>
        <v>10.684987730331121</v>
      </c>
      <c r="AP32" s="119">
        <f t="shared" si="11"/>
        <v>9.7928391066186133</v>
      </c>
      <c r="AQ32" s="119">
        <f t="shared" si="13"/>
        <v>4.1473076146448085</v>
      </c>
      <c r="AR32" s="124">
        <f t="shared" si="14"/>
        <v>-4.4362596744613274</v>
      </c>
      <c r="AS32" s="33"/>
      <c r="AT32" s="33"/>
      <c r="AU32" s="33"/>
      <c r="AV32" s="33"/>
      <c r="AW32" s="33"/>
      <c r="AX32" s="33"/>
      <c r="AY32" s="33"/>
    </row>
    <row r="33" spans="1:51" ht="15.75" customHeight="1" x14ac:dyDescent="0.25">
      <c r="A33" s="25" t="s">
        <v>48</v>
      </c>
      <c r="B33" s="8">
        <f>IF(B13=0,0,(B13/100)*B49)</f>
        <v>1857.4725806451615</v>
      </c>
      <c r="C33" s="3" t="s">
        <v>3</v>
      </c>
      <c r="D33" s="3"/>
      <c r="E33" s="17" t="s">
        <v>84</v>
      </c>
      <c r="F33" s="24">
        <f>F32*(F19/100)*J20</f>
        <v>8792.1607132258068</v>
      </c>
      <c r="G33" s="3" t="s">
        <v>3</v>
      </c>
      <c r="H33" s="3"/>
      <c r="I33" s="3"/>
      <c r="J33" s="3"/>
      <c r="K33" s="3"/>
      <c r="L33" s="16"/>
      <c r="M33" s="3"/>
      <c r="N33" s="13">
        <f t="shared" si="8"/>
        <v>0</v>
      </c>
      <c r="O33" s="13"/>
      <c r="P33" s="21">
        <f t="shared" si="1"/>
        <v>0</v>
      </c>
      <c r="Q33" s="22">
        <f t="shared" si="2"/>
        <v>0</v>
      </c>
      <c r="R33" s="22">
        <f t="shared" si="3"/>
        <v>0</v>
      </c>
      <c r="S33" s="22">
        <f t="shared" si="4"/>
        <v>0</v>
      </c>
      <c r="T33" s="22"/>
      <c r="U33" s="22">
        <f t="shared" si="5"/>
        <v>0</v>
      </c>
      <c r="V33" s="22">
        <f t="shared" si="6"/>
        <v>0</v>
      </c>
      <c r="W33" s="21">
        <f t="shared" si="9"/>
        <v>0</v>
      </c>
      <c r="X33" s="19">
        <f t="shared" si="0"/>
        <v>0</v>
      </c>
      <c r="Y33" s="4"/>
      <c r="Z33" s="8"/>
      <c r="AA33" s="3"/>
      <c r="AB33" s="29">
        <f t="shared" si="22"/>
        <v>40</v>
      </c>
      <c r="AC33" s="30">
        <f t="shared" si="16"/>
        <v>0.252</v>
      </c>
      <c r="AD33" s="31">
        <v>36542.03324234928</v>
      </c>
      <c r="AE33" s="34">
        <f t="shared" si="17"/>
        <v>3.5490077395690953</v>
      </c>
      <c r="AF33" s="3"/>
      <c r="AG33" s="29">
        <f t="shared" si="23"/>
        <v>40</v>
      </c>
      <c r="AH33" s="32">
        <f t="shared" si="19"/>
        <v>36406.462580645159</v>
      </c>
      <c r="AI33" s="31">
        <v>47760.230044727388</v>
      </c>
      <c r="AJ33" s="34">
        <f t="shared" si="20"/>
        <v>35.337965398532106</v>
      </c>
      <c r="AK33" s="3"/>
      <c r="AL33" s="3"/>
      <c r="AM33" s="6"/>
      <c r="AN33" s="8"/>
      <c r="AO33" s="35"/>
      <c r="AP33" s="3"/>
      <c r="AQ33" s="33"/>
      <c r="AR33" s="33"/>
      <c r="AS33" s="33"/>
      <c r="AT33" s="33"/>
      <c r="AU33" s="33"/>
      <c r="AV33" s="33"/>
      <c r="AW33" s="33"/>
      <c r="AX33" s="33"/>
      <c r="AY33" s="33"/>
    </row>
    <row r="34" spans="1:51" ht="15.75" customHeight="1" x14ac:dyDescent="0.25">
      <c r="A34" s="25"/>
      <c r="B34" s="8"/>
      <c r="C34" s="3"/>
      <c r="D34" s="3"/>
      <c r="E34" s="3"/>
      <c r="F34" s="33"/>
      <c r="G34" s="3"/>
      <c r="H34" s="3"/>
      <c r="I34" s="17" t="s">
        <v>85</v>
      </c>
      <c r="J34" s="8">
        <f>F12*B5</f>
        <v>152240</v>
      </c>
      <c r="K34" s="3" t="s">
        <v>86</v>
      </c>
      <c r="L34" s="16"/>
      <c r="M34" s="3"/>
      <c r="N34" s="13">
        <f t="shared" si="8"/>
        <v>0</v>
      </c>
      <c r="O34" s="13"/>
      <c r="P34" s="21">
        <f t="shared" si="1"/>
        <v>0</v>
      </c>
      <c r="Q34" s="22">
        <f t="shared" si="2"/>
        <v>0</v>
      </c>
      <c r="R34" s="22">
        <f t="shared" si="3"/>
        <v>0</v>
      </c>
      <c r="S34" s="22">
        <f t="shared" si="4"/>
        <v>0</v>
      </c>
      <c r="T34" s="22"/>
      <c r="U34" s="22">
        <f t="shared" si="5"/>
        <v>0</v>
      </c>
      <c r="V34" s="22">
        <f t="shared" si="6"/>
        <v>0</v>
      </c>
      <c r="W34" s="21">
        <f t="shared" si="9"/>
        <v>0</v>
      </c>
      <c r="X34" s="19">
        <f t="shared" si="0"/>
        <v>0</v>
      </c>
      <c r="Y34" s="4"/>
      <c r="Z34" s="8"/>
      <c r="AA34" s="3"/>
      <c r="AB34" s="29">
        <f t="shared" si="22"/>
        <v>50</v>
      </c>
      <c r="AC34" s="30">
        <f t="shared" si="16"/>
        <v>0.27</v>
      </c>
      <c r="AD34" s="31">
        <v>36855.140923503648</v>
      </c>
      <c r="AE34" s="34">
        <f t="shared" si="17"/>
        <v>4.4362596744613692</v>
      </c>
      <c r="AF34" s="3"/>
      <c r="AG34" s="29">
        <f t="shared" si="23"/>
        <v>50</v>
      </c>
      <c r="AH34" s="32">
        <f t="shared" si="19"/>
        <v>39006.924193548388</v>
      </c>
      <c r="AI34" s="31">
        <v>50877.886926476298</v>
      </c>
      <c r="AJ34" s="34">
        <f t="shared" si="20"/>
        <v>44.172456748165175</v>
      </c>
      <c r="AK34" s="3"/>
      <c r="AL34" s="3"/>
      <c r="AM34" s="6"/>
      <c r="AN34" s="8"/>
      <c r="AO34" s="35"/>
      <c r="AP34" s="3"/>
      <c r="AQ34" s="33"/>
      <c r="AR34" s="33"/>
      <c r="AS34" s="33"/>
      <c r="AT34" s="33"/>
      <c r="AU34" s="33"/>
      <c r="AV34" s="33"/>
      <c r="AW34" s="33"/>
      <c r="AX34" s="33"/>
      <c r="AY34" s="33"/>
    </row>
    <row r="35" spans="1:51" ht="15.75" customHeight="1" x14ac:dyDescent="0.25">
      <c r="A35" s="17" t="s">
        <v>55</v>
      </c>
      <c r="B35" s="7">
        <f>IF(B15=0,0,(B15/100)*$B$49)</f>
        <v>5572.4177419354837</v>
      </c>
      <c r="C35" s="3" t="s">
        <v>3</v>
      </c>
      <c r="D35" s="3"/>
      <c r="E35" s="1" t="s">
        <v>87</v>
      </c>
      <c r="F35" s="3"/>
      <c r="G35" s="3"/>
      <c r="H35" s="3"/>
      <c r="I35" s="3"/>
      <c r="J35" s="3"/>
      <c r="K35" s="3"/>
      <c r="L35" s="16"/>
      <c r="M35" s="3"/>
      <c r="N35" s="13">
        <f t="shared" si="8"/>
        <v>0</v>
      </c>
      <c r="O35" s="13"/>
      <c r="P35" s="21">
        <f t="shared" si="1"/>
        <v>0</v>
      </c>
      <c r="Q35" s="22">
        <f t="shared" si="2"/>
        <v>0</v>
      </c>
      <c r="R35" s="22">
        <f t="shared" si="3"/>
        <v>0</v>
      </c>
      <c r="S35" s="22">
        <f t="shared" si="4"/>
        <v>0</v>
      </c>
      <c r="T35" s="22"/>
      <c r="U35" s="22">
        <f t="shared" si="5"/>
        <v>0</v>
      </c>
      <c r="V35" s="22">
        <f t="shared" si="6"/>
        <v>0</v>
      </c>
      <c r="W35" s="21">
        <f t="shared" si="9"/>
        <v>0</v>
      </c>
      <c r="X35" s="19">
        <f t="shared" si="0"/>
        <v>0</v>
      </c>
      <c r="Y35" s="4"/>
      <c r="Z35" s="8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ht="15.75" customHeight="1" x14ac:dyDescent="0.25">
      <c r="A36" s="25"/>
      <c r="B36" s="8"/>
      <c r="C36" s="3"/>
      <c r="D36" s="3"/>
      <c r="E36" s="17" t="s">
        <v>28</v>
      </c>
      <c r="F36" s="27">
        <f>F13/$B$8</f>
        <v>0.18</v>
      </c>
      <c r="G36" s="3" t="s">
        <v>29</v>
      </c>
      <c r="H36" s="3"/>
      <c r="I36" s="3"/>
      <c r="J36" s="3"/>
      <c r="K36" s="3"/>
      <c r="L36" s="16"/>
      <c r="M36" s="3"/>
      <c r="N36" s="13">
        <f t="shared" si="8"/>
        <v>0</v>
      </c>
      <c r="O36" s="13"/>
      <c r="P36" s="21">
        <f t="shared" si="1"/>
        <v>0</v>
      </c>
      <c r="Q36" s="22">
        <f t="shared" si="2"/>
        <v>0</v>
      </c>
      <c r="R36" s="22">
        <f t="shared" si="3"/>
        <v>0</v>
      </c>
      <c r="S36" s="22">
        <f t="shared" si="4"/>
        <v>0</v>
      </c>
      <c r="T36" s="22"/>
      <c r="U36" s="22">
        <f t="shared" si="5"/>
        <v>0</v>
      </c>
      <c r="V36" s="22">
        <f t="shared" si="6"/>
        <v>0</v>
      </c>
      <c r="W36" s="21">
        <f t="shared" si="9"/>
        <v>0</v>
      </c>
      <c r="X36" s="19">
        <f t="shared" si="0"/>
        <v>0</v>
      </c>
      <c r="Y36" s="4"/>
      <c r="Z36" s="8"/>
      <c r="AA36" s="3"/>
      <c r="AB36" s="28" t="s">
        <v>31</v>
      </c>
      <c r="AC36" s="29"/>
      <c r="AD36" s="29"/>
      <c r="AE36" s="29"/>
      <c r="AF36" s="3"/>
      <c r="AG36" s="28" t="s">
        <v>88</v>
      </c>
      <c r="AH36" s="29"/>
      <c r="AI36" s="29"/>
      <c r="AJ36" s="29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ht="15.75" customHeight="1" x14ac:dyDescent="0.25">
      <c r="A37" s="25"/>
      <c r="B37" s="8"/>
      <c r="C37" s="3"/>
      <c r="D37" s="3"/>
      <c r="E37" s="17" t="s">
        <v>89</v>
      </c>
      <c r="F37" s="27">
        <f>(F17/((1-J14%)*J10))/B8</f>
        <v>0</v>
      </c>
      <c r="G37" s="3" t="s">
        <v>29</v>
      </c>
      <c r="H37" s="3"/>
      <c r="I37" s="1" t="s">
        <v>90</v>
      </c>
      <c r="J37" s="43">
        <f>SUM(J38:J41)</f>
        <v>417.41546791986144</v>
      </c>
      <c r="K37" s="1" t="s">
        <v>47</v>
      </c>
      <c r="L37" s="16"/>
      <c r="M37" s="3"/>
      <c r="N37" s="13">
        <f t="shared" si="8"/>
        <v>0</v>
      </c>
      <c r="O37" s="13"/>
      <c r="P37" s="21">
        <f t="shared" si="1"/>
        <v>0</v>
      </c>
      <c r="Q37" s="22">
        <f t="shared" si="2"/>
        <v>0</v>
      </c>
      <c r="R37" s="22">
        <f t="shared" si="3"/>
        <v>0</v>
      </c>
      <c r="S37" s="22">
        <f t="shared" si="4"/>
        <v>0</v>
      </c>
      <c r="T37" s="22"/>
      <c r="U37" s="22">
        <f t="shared" si="5"/>
        <v>0</v>
      </c>
      <c r="V37" s="22">
        <f t="shared" si="6"/>
        <v>0</v>
      </c>
      <c r="W37" s="21">
        <f t="shared" si="9"/>
        <v>0</v>
      </c>
      <c r="X37" s="19">
        <f t="shared" si="0"/>
        <v>0</v>
      </c>
      <c r="Y37" s="4"/>
      <c r="Z37" s="8"/>
      <c r="AA37" s="3"/>
      <c r="AB37" s="29" t="s">
        <v>67</v>
      </c>
      <c r="AC37" s="29" t="s">
        <v>91</v>
      </c>
      <c r="AD37" s="29" t="s">
        <v>22</v>
      </c>
      <c r="AE37" s="29" t="s">
        <v>69</v>
      </c>
      <c r="AF37" s="3"/>
      <c r="AG37" s="29" t="s">
        <v>67</v>
      </c>
      <c r="AH37" s="29" t="s">
        <v>92</v>
      </c>
      <c r="AI37" s="29" t="s">
        <v>22</v>
      </c>
      <c r="AJ37" s="29" t="s">
        <v>69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ht="15.75" customHeight="1" x14ac:dyDescent="0.25">
      <c r="A38" s="25"/>
      <c r="B38" s="8"/>
      <c r="C38" s="3"/>
      <c r="D38" s="3"/>
      <c r="E38" s="17" t="s">
        <v>93</v>
      </c>
      <c r="F38" s="27">
        <f>F36*J17</f>
        <v>2.5559999999999996E-2</v>
      </c>
      <c r="G38" s="3" t="s">
        <v>4</v>
      </c>
      <c r="H38" s="3"/>
      <c r="I38" s="17" t="s">
        <v>175</v>
      </c>
      <c r="J38" s="27">
        <f>F16/$B$8</f>
        <v>38.337867919861488</v>
      </c>
      <c r="K38" s="3" t="s">
        <v>47</v>
      </c>
      <c r="L38" s="16"/>
      <c r="M38" s="3"/>
      <c r="N38" s="13">
        <f t="shared" si="8"/>
        <v>0</v>
      </c>
      <c r="O38" s="13"/>
      <c r="P38" s="21">
        <f t="shared" si="1"/>
        <v>0</v>
      </c>
      <c r="Q38" s="22">
        <f t="shared" si="2"/>
        <v>0</v>
      </c>
      <c r="R38" s="22">
        <f t="shared" si="3"/>
        <v>0</v>
      </c>
      <c r="S38" s="22">
        <f t="shared" si="4"/>
        <v>0</v>
      </c>
      <c r="T38" s="22"/>
      <c r="U38" s="22">
        <f t="shared" si="5"/>
        <v>0</v>
      </c>
      <c r="V38" s="22">
        <f t="shared" si="6"/>
        <v>0</v>
      </c>
      <c r="W38" s="21">
        <f t="shared" si="9"/>
        <v>0</v>
      </c>
      <c r="X38" s="19">
        <f t="shared" si="0"/>
        <v>0</v>
      </c>
      <c r="Y38" s="4"/>
      <c r="Z38" s="8"/>
      <c r="AA38" s="3"/>
      <c r="AB38" s="29" t="s">
        <v>73</v>
      </c>
      <c r="AC38" s="32">
        <v>5071.5</v>
      </c>
      <c r="AD38" s="31">
        <f>X49</f>
        <v>35289.602517731808</v>
      </c>
      <c r="AE38" s="29"/>
      <c r="AF38" s="3"/>
      <c r="AG38" s="29" t="s">
        <v>73</v>
      </c>
      <c r="AH38" s="32">
        <v>15224</v>
      </c>
      <c r="AI38" s="31">
        <f>X49</f>
        <v>35289.602517731808</v>
      </c>
      <c r="AJ38" s="29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ht="15.75" customHeight="1" x14ac:dyDescent="0.25">
      <c r="A39" s="25"/>
      <c r="B39" s="8"/>
      <c r="C39" s="3"/>
      <c r="D39" s="3"/>
      <c r="E39" s="3"/>
      <c r="F39" s="3"/>
      <c r="G39" s="3"/>
      <c r="H39" s="3"/>
      <c r="I39" s="17"/>
      <c r="J39" s="27"/>
      <c r="K39" s="3"/>
      <c r="L39" s="16"/>
      <c r="M39" s="3"/>
      <c r="N39" s="13">
        <f t="shared" si="8"/>
        <v>0</v>
      </c>
      <c r="O39" s="13"/>
      <c r="P39" s="21">
        <f t="shared" si="1"/>
        <v>0</v>
      </c>
      <c r="Q39" s="22">
        <f t="shared" si="2"/>
        <v>0</v>
      </c>
      <c r="R39" s="22">
        <f t="shared" si="3"/>
        <v>0</v>
      </c>
      <c r="S39" s="22">
        <f t="shared" si="4"/>
        <v>0</v>
      </c>
      <c r="T39" s="22"/>
      <c r="U39" s="22">
        <f t="shared" si="5"/>
        <v>0</v>
      </c>
      <c r="V39" s="22">
        <f t="shared" si="6"/>
        <v>0</v>
      </c>
      <c r="W39" s="21">
        <f t="shared" si="9"/>
        <v>0</v>
      </c>
      <c r="X39" s="19">
        <f t="shared" si="0"/>
        <v>0</v>
      </c>
      <c r="Y39" s="4"/>
      <c r="Z39" s="8"/>
      <c r="AA39" s="3"/>
      <c r="AB39" s="29">
        <f t="shared" ref="AB39:AB43" si="25">AB40-10</f>
        <v>-50</v>
      </c>
      <c r="AC39" s="32">
        <f t="shared" ref="AC39:AC49" si="26">$AC$38*(1+(AB39/100))</f>
        <v>2535.75</v>
      </c>
      <c r="AD39" s="31">
        <f t="dataTable" ref="AD39:AD49" dt2D="0" dtr="0" r1="B48" ca="1"/>
        <v>31518.912818629542</v>
      </c>
      <c r="AE39" s="34">
        <f>100*((AD39-$AD$44)/$AD$44)</f>
        <v>-10.684987730331121</v>
      </c>
      <c r="AF39" s="3"/>
      <c r="AG39" s="29">
        <f t="shared" ref="AG39:AG43" si="27">AG40-10</f>
        <v>-50</v>
      </c>
      <c r="AH39" s="32">
        <f t="shared" ref="AH39:AH49" si="28">$AH$38*(1+(AG39/100))</f>
        <v>7612</v>
      </c>
      <c r="AI39" s="31">
        <f t="dataTable" ref="AI39:AI49" dt2D="0" dtr="0" r1="F12" ca="1"/>
        <v>29553.138291449453</v>
      </c>
      <c r="AJ39" s="34">
        <f t="shared" ref="AJ39:AJ49" si="29">100*((AI39-$AI$44)/$AI$44)</f>
        <v>-16.255394838748831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ht="15.75" customHeight="1" x14ac:dyDescent="0.25">
      <c r="A40" s="25"/>
      <c r="B40" s="8"/>
      <c r="C40" s="3"/>
      <c r="D40" s="3"/>
      <c r="E40" s="17" t="s">
        <v>94</v>
      </c>
      <c r="F40" s="27">
        <f>F37*F12*J17</f>
        <v>0</v>
      </c>
      <c r="G40" s="3" t="s">
        <v>47</v>
      </c>
      <c r="H40" s="3"/>
      <c r="I40" s="17" t="s">
        <v>46</v>
      </c>
      <c r="J40" s="44">
        <f>F18*F12/$B$8</f>
        <v>379.07759999999996</v>
      </c>
      <c r="K40" s="3" t="s">
        <v>47</v>
      </c>
      <c r="L40" s="16"/>
      <c r="M40" s="3"/>
      <c r="N40" s="13">
        <f t="shared" si="8"/>
        <v>0</v>
      </c>
      <c r="O40" s="13"/>
      <c r="P40" s="21">
        <f t="shared" si="1"/>
        <v>0</v>
      </c>
      <c r="Q40" s="22">
        <f t="shared" si="2"/>
        <v>0</v>
      </c>
      <c r="R40" s="22">
        <f t="shared" si="3"/>
        <v>0</v>
      </c>
      <c r="S40" s="22">
        <f t="shared" si="4"/>
        <v>0</v>
      </c>
      <c r="T40" s="22"/>
      <c r="U40" s="22">
        <f t="shared" si="5"/>
        <v>0</v>
      </c>
      <c r="V40" s="22">
        <f t="shared" si="6"/>
        <v>0</v>
      </c>
      <c r="W40" s="21">
        <f t="shared" si="9"/>
        <v>0</v>
      </c>
      <c r="X40" s="19">
        <f t="shared" si="0"/>
        <v>0</v>
      </c>
      <c r="Y40" s="4"/>
      <c r="Z40" s="8"/>
      <c r="AA40" s="3"/>
      <c r="AB40" s="29">
        <f t="shared" si="25"/>
        <v>-40</v>
      </c>
      <c r="AC40" s="32">
        <f t="shared" si="26"/>
        <v>3042.9</v>
      </c>
      <c r="AD40" s="31">
        <v>32273.050758449997</v>
      </c>
      <c r="AE40" s="34">
        <f t="shared" ref="AE40:AE49" si="30">100*((AD40-$AD$29)/$AD$29)</f>
        <v>-8.54799018426489</v>
      </c>
      <c r="AF40" s="3"/>
      <c r="AG40" s="29">
        <f t="shared" si="27"/>
        <v>-40</v>
      </c>
      <c r="AH40" s="32">
        <f t="shared" si="28"/>
        <v>9134.4</v>
      </c>
      <c r="AI40" s="31">
        <v>30158.959647082978</v>
      </c>
      <c r="AJ40" s="34">
        <f t="shared" si="29"/>
        <v>-14.538681380927592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ht="15.75" customHeight="1" x14ac:dyDescent="0.25">
      <c r="A41" s="3"/>
      <c r="B41" s="3"/>
      <c r="C41" s="3"/>
      <c r="D41" s="3"/>
      <c r="E41" s="17" t="s">
        <v>95</v>
      </c>
      <c r="F41" s="33">
        <f>F38*F12</f>
        <v>389.12543999999991</v>
      </c>
      <c r="G41" s="26" t="s">
        <v>47</v>
      </c>
      <c r="H41" s="3"/>
      <c r="I41" s="3"/>
      <c r="J41" s="33"/>
      <c r="K41" s="3"/>
      <c r="L41" s="16"/>
      <c r="M41" s="3"/>
      <c r="N41" s="13">
        <f t="shared" si="8"/>
        <v>0</v>
      </c>
      <c r="O41" s="13"/>
      <c r="P41" s="21">
        <f t="shared" si="1"/>
        <v>0</v>
      </c>
      <c r="Q41" s="22">
        <f t="shared" si="2"/>
        <v>0</v>
      </c>
      <c r="R41" s="22">
        <f t="shared" si="3"/>
        <v>0</v>
      </c>
      <c r="S41" s="22">
        <f t="shared" si="4"/>
        <v>0</v>
      </c>
      <c r="T41" s="22"/>
      <c r="U41" s="22">
        <f t="shared" si="5"/>
        <v>0</v>
      </c>
      <c r="V41" s="22">
        <f t="shared" si="6"/>
        <v>0</v>
      </c>
      <c r="W41" s="21">
        <f t="shared" si="9"/>
        <v>0</v>
      </c>
      <c r="X41" s="19">
        <f t="shared" si="0"/>
        <v>0</v>
      </c>
      <c r="Y41" s="4"/>
      <c r="Z41" s="8"/>
      <c r="AA41" s="3"/>
      <c r="AB41" s="29">
        <f t="shared" si="25"/>
        <v>-30</v>
      </c>
      <c r="AC41" s="32">
        <f t="shared" si="26"/>
        <v>3550.0499999999997</v>
      </c>
      <c r="AD41" s="31">
        <v>33027.18869827046</v>
      </c>
      <c r="AE41" s="34">
        <f t="shared" si="30"/>
        <v>-6.41099263819864</v>
      </c>
      <c r="AF41" s="3"/>
      <c r="AG41" s="29">
        <f t="shared" si="27"/>
        <v>-30</v>
      </c>
      <c r="AH41" s="32">
        <f t="shared" si="28"/>
        <v>10656.8</v>
      </c>
      <c r="AI41" s="31">
        <v>30764.781002716489</v>
      </c>
      <c r="AJ41" s="34">
        <f t="shared" si="29"/>
        <v>-12.821967923106396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ht="15.75" customHeight="1" x14ac:dyDescent="0.25">
      <c r="A42" s="3"/>
      <c r="B42" s="3"/>
      <c r="C42" s="3"/>
      <c r="D42" s="3"/>
      <c r="E42" s="3"/>
      <c r="F42" s="3"/>
      <c r="G42" s="3"/>
      <c r="H42" s="3"/>
      <c r="I42" s="87"/>
      <c r="J42" s="87"/>
      <c r="K42" s="87"/>
      <c r="L42" s="16"/>
      <c r="M42" s="3"/>
      <c r="N42" s="13">
        <f t="shared" si="8"/>
        <v>0</v>
      </c>
      <c r="O42" s="13"/>
      <c r="P42" s="21">
        <f t="shared" si="1"/>
        <v>0</v>
      </c>
      <c r="Q42" s="22">
        <f t="shared" si="2"/>
        <v>0</v>
      </c>
      <c r="R42" s="22">
        <f t="shared" si="3"/>
        <v>0</v>
      </c>
      <c r="S42" s="22">
        <f t="shared" si="4"/>
        <v>0</v>
      </c>
      <c r="T42" s="22"/>
      <c r="U42" s="22">
        <f t="shared" si="5"/>
        <v>0</v>
      </c>
      <c r="V42" s="22">
        <f t="shared" si="6"/>
        <v>0</v>
      </c>
      <c r="W42" s="21">
        <f t="shared" si="9"/>
        <v>0</v>
      </c>
      <c r="X42" s="19">
        <f t="shared" si="0"/>
        <v>0</v>
      </c>
      <c r="Y42" s="4"/>
      <c r="Z42" s="8"/>
      <c r="AA42" s="3"/>
      <c r="AB42" s="29">
        <f t="shared" si="25"/>
        <v>-20</v>
      </c>
      <c r="AC42" s="32">
        <f t="shared" si="26"/>
        <v>4057.2000000000003</v>
      </c>
      <c r="AD42" s="31">
        <v>33781.326638090897</v>
      </c>
      <c r="AE42" s="34">
        <f t="shared" si="30"/>
        <v>-4.273995092132461</v>
      </c>
      <c r="AF42" s="3"/>
      <c r="AG42" s="29">
        <f t="shared" si="27"/>
        <v>-20</v>
      </c>
      <c r="AH42" s="32">
        <f t="shared" si="28"/>
        <v>12179.2</v>
      </c>
      <c r="AI42" s="31">
        <v>31370.602358350014</v>
      </c>
      <c r="AJ42" s="34">
        <f t="shared" si="29"/>
        <v>-11.105254465285155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16"/>
      <c r="M43" s="3"/>
      <c r="N43" s="13">
        <f t="shared" si="8"/>
        <v>0</v>
      </c>
      <c r="O43" s="13"/>
      <c r="P43" s="21">
        <f t="shared" si="1"/>
        <v>0</v>
      </c>
      <c r="Q43" s="22">
        <f t="shared" si="2"/>
        <v>0</v>
      </c>
      <c r="R43" s="22">
        <f t="shared" si="3"/>
        <v>0</v>
      </c>
      <c r="S43" s="22">
        <f t="shared" si="4"/>
        <v>0</v>
      </c>
      <c r="T43" s="22"/>
      <c r="U43" s="22">
        <f t="shared" si="5"/>
        <v>0</v>
      </c>
      <c r="V43" s="22">
        <f t="shared" si="6"/>
        <v>0</v>
      </c>
      <c r="W43" s="21">
        <f t="shared" si="9"/>
        <v>0</v>
      </c>
      <c r="X43" s="19">
        <f t="shared" si="0"/>
        <v>0</v>
      </c>
      <c r="Y43" s="4"/>
      <c r="Z43" s="8"/>
      <c r="AA43" s="3"/>
      <c r="AB43" s="29">
        <f t="shared" si="25"/>
        <v>-10</v>
      </c>
      <c r="AC43" s="32">
        <f t="shared" si="26"/>
        <v>4564.3500000000004</v>
      </c>
      <c r="AD43" s="31">
        <v>34535.464577911363</v>
      </c>
      <c r="AE43" s="34">
        <f t="shared" si="30"/>
        <v>-2.1369975460661994</v>
      </c>
      <c r="AF43" s="3"/>
      <c r="AG43" s="29">
        <f t="shared" si="27"/>
        <v>-10</v>
      </c>
      <c r="AH43" s="32">
        <f t="shared" si="28"/>
        <v>13701.6</v>
      </c>
      <c r="AI43" s="31">
        <v>31976.423713983539</v>
      </c>
      <c r="AJ43" s="34">
        <f t="shared" si="29"/>
        <v>-9.3885410074639157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ht="15.75" customHeight="1" x14ac:dyDescent="0.25">
      <c r="A44" s="23" t="s">
        <v>96</v>
      </c>
      <c r="B44" s="4"/>
      <c r="C44" s="1"/>
      <c r="D44" s="3"/>
      <c r="E44" s="88" t="s">
        <v>152</v>
      </c>
      <c r="F44" s="70"/>
      <c r="G44" s="70"/>
      <c r="H44" s="3"/>
      <c r="I44" s="3"/>
      <c r="J44" s="3"/>
      <c r="K44" s="3"/>
      <c r="L44" s="16"/>
      <c r="M44" s="3"/>
      <c r="N44" s="13">
        <f t="shared" si="8"/>
        <v>0</v>
      </c>
      <c r="O44" s="13"/>
      <c r="P44" s="21">
        <f t="shared" si="1"/>
        <v>0</v>
      </c>
      <c r="Q44" s="22">
        <f t="shared" si="2"/>
        <v>0</v>
      </c>
      <c r="R44" s="22">
        <f t="shared" si="3"/>
        <v>0</v>
      </c>
      <c r="S44" s="22">
        <f t="shared" si="4"/>
        <v>0</v>
      </c>
      <c r="T44" s="22"/>
      <c r="U44" s="22">
        <f t="shared" si="5"/>
        <v>0</v>
      </c>
      <c r="V44" s="22">
        <f t="shared" si="6"/>
        <v>0</v>
      </c>
      <c r="W44" s="21">
        <f t="shared" si="9"/>
        <v>0</v>
      </c>
      <c r="X44" s="19">
        <f t="shared" si="0"/>
        <v>0</v>
      </c>
      <c r="Y44" s="4"/>
      <c r="Z44" s="8"/>
      <c r="AA44" s="3"/>
      <c r="AB44" s="39">
        <v>0</v>
      </c>
      <c r="AC44" s="45">
        <f t="shared" si="26"/>
        <v>5071.5</v>
      </c>
      <c r="AD44" s="40">
        <v>35289.602517731808</v>
      </c>
      <c r="AE44" s="52">
        <f t="shared" si="30"/>
        <v>0</v>
      </c>
      <c r="AF44" s="3"/>
      <c r="AG44" s="39">
        <v>0</v>
      </c>
      <c r="AH44" s="45">
        <f t="shared" si="28"/>
        <v>15224</v>
      </c>
      <c r="AI44" s="40">
        <v>35289.602517731808</v>
      </c>
      <c r="AJ44" s="52">
        <f t="shared" si="29"/>
        <v>0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ht="15.75" customHeight="1" x14ac:dyDescent="0.25">
      <c r="A45" s="17" t="s">
        <v>161</v>
      </c>
      <c r="B45" s="8">
        <f>J8/B8</f>
        <v>11741.935483870968</v>
      </c>
      <c r="C45" s="3" t="s">
        <v>3</v>
      </c>
      <c r="D45" s="3"/>
      <c r="E45" s="78" t="s">
        <v>153</v>
      </c>
      <c r="F45" s="89">
        <f>((1+(B16/100))*J9*J10)*(1+(B13%+B15%))</f>
        <v>7100.0999999999985</v>
      </c>
      <c r="G45" s="70" t="s">
        <v>3</v>
      </c>
      <c r="H45" s="3"/>
      <c r="I45" s="1"/>
      <c r="J45" s="3"/>
      <c r="K45" s="3"/>
      <c r="L45" s="16"/>
      <c r="M45" s="3"/>
      <c r="N45" s="13">
        <f t="shared" si="8"/>
        <v>0</v>
      </c>
      <c r="O45" s="13"/>
      <c r="P45" s="21">
        <f t="shared" si="1"/>
        <v>0</v>
      </c>
      <c r="Q45" s="22">
        <f t="shared" si="2"/>
        <v>0</v>
      </c>
      <c r="R45" s="22">
        <f t="shared" si="3"/>
        <v>0</v>
      </c>
      <c r="S45" s="22">
        <f t="shared" si="4"/>
        <v>0</v>
      </c>
      <c r="T45" s="22"/>
      <c r="U45" s="22">
        <f t="shared" si="5"/>
        <v>0</v>
      </c>
      <c r="V45" s="22">
        <f t="shared" si="6"/>
        <v>0</v>
      </c>
      <c r="W45" s="21">
        <f t="shared" si="9"/>
        <v>0</v>
      </c>
      <c r="X45" s="19">
        <f t="shared" si="0"/>
        <v>0</v>
      </c>
      <c r="Y45" s="4"/>
      <c r="Z45" s="8"/>
      <c r="AA45" s="3"/>
      <c r="AB45" s="29">
        <f t="shared" ref="AB45:AB49" si="31">AB44+10</f>
        <v>10</v>
      </c>
      <c r="AC45" s="32">
        <f t="shared" si="26"/>
        <v>5578.6500000000005</v>
      </c>
      <c r="AD45" s="31">
        <v>36043.74045755226</v>
      </c>
      <c r="AE45" s="34">
        <f t="shared" si="30"/>
        <v>2.1369975460662198</v>
      </c>
      <c r="AF45" s="3"/>
      <c r="AG45" s="29">
        <f t="shared" ref="AG45:AG49" si="32">AG44+10</f>
        <v>10</v>
      </c>
      <c r="AH45" s="32">
        <f t="shared" si="28"/>
        <v>16746.400000000001</v>
      </c>
      <c r="AI45" s="31">
        <v>36030.791745771072</v>
      </c>
      <c r="AJ45" s="34">
        <f t="shared" si="29"/>
        <v>2.1003048353033784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ht="15.75" customHeight="1" x14ac:dyDescent="0.25">
      <c r="A46" s="17" t="s">
        <v>97</v>
      </c>
      <c r="B46" s="8">
        <f>IF(J24="No",J9*J10,0)</f>
        <v>4410</v>
      </c>
      <c r="C46" s="3" t="s">
        <v>3</v>
      </c>
      <c r="D46" s="3"/>
      <c r="E46" s="70" t="s">
        <v>154</v>
      </c>
      <c r="F46" s="89">
        <f>((J21%)*F45)+(((1-J21%)*F45)*(1+(F19%*J20)))</f>
        <v>9500.6438099999978</v>
      </c>
      <c r="G46" s="70" t="s">
        <v>3</v>
      </c>
      <c r="H46" s="3"/>
      <c r="I46" s="17"/>
      <c r="J46" s="6"/>
      <c r="K46" s="3"/>
      <c r="L46" s="16"/>
      <c r="M46" s="3"/>
      <c r="N46" s="13">
        <f t="shared" si="8"/>
        <v>0</v>
      </c>
      <c r="O46" s="13"/>
      <c r="P46" s="21">
        <f t="shared" si="1"/>
        <v>0</v>
      </c>
      <c r="Q46" s="22">
        <f t="shared" si="2"/>
        <v>0</v>
      </c>
      <c r="R46" s="22">
        <f t="shared" si="3"/>
        <v>0</v>
      </c>
      <c r="S46" s="22">
        <f t="shared" si="4"/>
        <v>0</v>
      </c>
      <c r="T46" s="22"/>
      <c r="U46" s="22">
        <f t="shared" si="5"/>
        <v>0</v>
      </c>
      <c r="V46" s="22">
        <f t="shared" si="6"/>
        <v>0</v>
      </c>
      <c r="W46" s="21">
        <f t="shared" si="9"/>
        <v>0</v>
      </c>
      <c r="X46" s="19">
        <f t="shared" si="0"/>
        <v>0</v>
      </c>
      <c r="Y46" s="4"/>
      <c r="Z46" s="8"/>
      <c r="AA46" s="3"/>
      <c r="AB46" s="29">
        <f t="shared" si="31"/>
        <v>20</v>
      </c>
      <c r="AC46" s="32">
        <f t="shared" si="26"/>
        <v>6085.8</v>
      </c>
      <c r="AD46" s="31">
        <v>36797.878397372711</v>
      </c>
      <c r="AE46" s="34">
        <f t="shared" si="30"/>
        <v>4.2739950921324397</v>
      </c>
      <c r="AF46" s="3"/>
      <c r="AG46" s="29">
        <f t="shared" si="32"/>
        <v>20</v>
      </c>
      <c r="AH46" s="32">
        <f t="shared" si="28"/>
        <v>18268.8</v>
      </c>
      <c r="AI46" s="31">
        <v>36778.749367430632</v>
      </c>
      <c r="AJ46" s="34">
        <f t="shared" si="29"/>
        <v>4.2197892394808889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ht="15.75" customHeight="1" x14ac:dyDescent="0.25">
      <c r="A47" s="25" t="s">
        <v>98</v>
      </c>
      <c r="B47" s="24">
        <f>(1+(B16/100))*B45</f>
        <v>13503.225806451612</v>
      </c>
      <c r="C47" s="3" t="s">
        <v>3</v>
      </c>
      <c r="D47" s="3"/>
      <c r="E47" s="70" t="s">
        <v>82</v>
      </c>
      <c r="F47" s="89">
        <f>J12*J11</f>
        <v>160800</v>
      </c>
      <c r="G47" s="70" t="s">
        <v>86</v>
      </c>
      <c r="H47" s="3"/>
      <c r="I47" s="3"/>
      <c r="J47" s="3"/>
      <c r="K47" s="3"/>
      <c r="L47" s="16"/>
      <c r="M47" s="3"/>
      <c r="N47" s="13">
        <f t="shared" si="8"/>
        <v>0</v>
      </c>
      <c r="O47" s="13"/>
      <c r="P47" s="21">
        <f t="shared" si="1"/>
        <v>0</v>
      </c>
      <c r="Q47" s="22">
        <f t="shared" si="2"/>
        <v>0</v>
      </c>
      <c r="R47" s="22">
        <f t="shared" si="3"/>
        <v>0</v>
      </c>
      <c r="S47" s="22">
        <f t="shared" si="4"/>
        <v>0</v>
      </c>
      <c r="T47" s="22"/>
      <c r="U47" s="22">
        <f t="shared" si="5"/>
        <v>0</v>
      </c>
      <c r="V47" s="22">
        <f t="shared" si="6"/>
        <v>0</v>
      </c>
      <c r="W47" s="21">
        <f t="shared" si="9"/>
        <v>0</v>
      </c>
      <c r="X47" s="19">
        <f t="shared" si="0"/>
        <v>0</v>
      </c>
      <c r="Y47" s="4"/>
      <c r="Z47" s="8"/>
      <c r="AA47" s="3"/>
      <c r="AB47" s="29">
        <f t="shared" si="31"/>
        <v>30</v>
      </c>
      <c r="AC47" s="32">
        <f t="shared" si="26"/>
        <v>6592.95</v>
      </c>
      <c r="AD47" s="31">
        <v>37552.016337193156</v>
      </c>
      <c r="AE47" s="34">
        <f t="shared" si="30"/>
        <v>6.41099263819864</v>
      </c>
      <c r="AF47" s="3"/>
      <c r="AG47" s="29">
        <f t="shared" si="32"/>
        <v>30</v>
      </c>
      <c r="AH47" s="32">
        <f t="shared" si="28"/>
        <v>19791.2</v>
      </c>
      <c r="AI47" s="31">
        <v>37384.570723064135</v>
      </c>
      <c r="AJ47" s="34">
        <f t="shared" si="29"/>
        <v>5.9365026973020667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ht="15.75" customHeight="1" x14ac:dyDescent="0.25">
      <c r="A48" s="25" t="s">
        <v>163</v>
      </c>
      <c r="B48" s="7">
        <f>(1+(B16/100))*B46</f>
        <v>5071.5</v>
      </c>
      <c r="C48" s="3" t="s">
        <v>3</v>
      </c>
      <c r="D48" s="3"/>
      <c r="E48" s="70" t="s">
        <v>155</v>
      </c>
      <c r="F48" s="90">
        <f>(F46/F47)*J25</f>
        <v>7.6808687518656701E-2</v>
      </c>
      <c r="G48" s="70" t="s">
        <v>4</v>
      </c>
      <c r="H48" s="3"/>
      <c r="I48" s="3"/>
      <c r="J48" s="3"/>
      <c r="K48" s="3"/>
      <c r="L48" s="16"/>
      <c r="M48" s="3"/>
      <c r="N48" s="13">
        <f t="shared" si="8"/>
        <v>0</v>
      </c>
      <c r="O48" s="13"/>
      <c r="P48" s="21">
        <f t="shared" si="1"/>
        <v>0</v>
      </c>
      <c r="Q48" s="22">
        <f t="shared" si="2"/>
        <v>0</v>
      </c>
      <c r="R48" s="22">
        <f t="shared" si="3"/>
        <v>0</v>
      </c>
      <c r="S48" s="22">
        <f t="shared" si="4"/>
        <v>0</v>
      </c>
      <c r="T48" s="22"/>
      <c r="U48" s="22">
        <f t="shared" si="5"/>
        <v>0</v>
      </c>
      <c r="V48" s="22">
        <f t="shared" si="6"/>
        <v>0</v>
      </c>
      <c r="W48" s="21">
        <f t="shared" si="9"/>
        <v>0</v>
      </c>
      <c r="X48" s="19">
        <f t="shared" si="0"/>
        <v>0</v>
      </c>
      <c r="Y48" s="4"/>
      <c r="Z48" s="8"/>
      <c r="AA48" s="3"/>
      <c r="AB48" s="29">
        <f t="shared" si="31"/>
        <v>40</v>
      </c>
      <c r="AC48" s="32">
        <f t="shared" si="26"/>
        <v>7100.0999999999995</v>
      </c>
      <c r="AD48" s="31">
        <v>38306.154277013607</v>
      </c>
      <c r="AE48" s="34">
        <f t="shared" si="30"/>
        <v>8.547990184264858</v>
      </c>
      <c r="AF48" s="3"/>
      <c r="AG48" s="29">
        <f t="shared" si="32"/>
        <v>40</v>
      </c>
      <c r="AH48" s="32">
        <f t="shared" si="28"/>
        <v>21313.599999999999</v>
      </c>
      <c r="AI48" s="31">
        <v>38139.635158024983</v>
      </c>
      <c r="AJ48" s="34">
        <f t="shared" si="29"/>
        <v>8.076125648797353</v>
      </c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t="15.75" customHeight="1" x14ac:dyDescent="0.25">
      <c r="A49" s="3" t="s">
        <v>100</v>
      </c>
      <c r="B49" s="24">
        <f>B47+B48</f>
        <v>18574.725806451614</v>
      </c>
      <c r="C49" s="3" t="s">
        <v>3</v>
      </c>
      <c r="D49" s="3"/>
      <c r="E49" s="70" t="s">
        <v>156</v>
      </c>
      <c r="F49" s="91">
        <f>J26*365</f>
        <v>54750</v>
      </c>
      <c r="G49" s="70" t="s">
        <v>41</v>
      </c>
      <c r="H49" s="3"/>
      <c r="I49" s="3"/>
      <c r="J49" s="3"/>
      <c r="K49" s="3"/>
      <c r="L49" s="16"/>
      <c r="M49" s="3"/>
      <c r="N49" s="14" t="s">
        <v>102</v>
      </c>
      <c r="O49" s="19">
        <f t="shared" ref="O49:S49" si="33">SUM(O8:O48)</f>
        <v>7801.3848387096778</v>
      </c>
      <c r="P49" s="19">
        <f t="shared" si="33"/>
        <v>23375.183978779303</v>
      </c>
      <c r="Q49" s="19">
        <f t="shared" si="33"/>
        <v>3131.0768115436758</v>
      </c>
      <c r="R49" s="19">
        <f t="shared" si="33"/>
        <v>0</v>
      </c>
      <c r="S49" s="19">
        <f t="shared" si="33"/>
        <v>3223.171598618816</v>
      </c>
      <c r="T49" s="19"/>
      <c r="U49" s="19">
        <f t="shared" ref="U49:X49" si="34">SUM(U8:U48)</f>
        <v>2707.3574481147484</v>
      </c>
      <c r="V49" s="19">
        <f t="shared" si="34"/>
        <v>0</v>
      </c>
      <c r="W49" s="19">
        <f t="shared" si="34"/>
        <v>-4948.5721580344116</v>
      </c>
      <c r="X49" s="19">
        <f t="shared" si="34"/>
        <v>35289.602517731808</v>
      </c>
      <c r="Y49" s="4"/>
      <c r="Z49" s="4"/>
      <c r="AA49" s="3"/>
      <c r="AB49" s="29">
        <f t="shared" si="31"/>
        <v>50</v>
      </c>
      <c r="AC49" s="32">
        <f t="shared" si="26"/>
        <v>7607.25</v>
      </c>
      <c r="AD49" s="31">
        <v>39060.292216834074</v>
      </c>
      <c r="AE49" s="34">
        <f t="shared" si="30"/>
        <v>10.684987730331121</v>
      </c>
      <c r="AF49" s="3"/>
      <c r="AG49" s="29">
        <f t="shared" si="32"/>
        <v>50</v>
      </c>
      <c r="AH49" s="32">
        <f t="shared" si="28"/>
        <v>22836</v>
      </c>
      <c r="AI49" s="31">
        <v>38745.456513658515</v>
      </c>
      <c r="AJ49" s="34">
        <f t="shared" si="29"/>
        <v>9.7928391066186133</v>
      </c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ht="15.75" customHeight="1" x14ac:dyDescent="0.25">
      <c r="A50" s="25" t="s">
        <v>101</v>
      </c>
      <c r="B50" s="8">
        <f>SUM(B33:B40)+SUM(B49)</f>
        <v>26004.61612903226</v>
      </c>
      <c r="C50" s="3" t="s">
        <v>3</v>
      </c>
      <c r="D50" s="3"/>
      <c r="E50" s="70" t="s">
        <v>157</v>
      </c>
      <c r="F50" s="92">
        <f>F48*F49</f>
        <v>4205.2756416464545</v>
      </c>
      <c r="G50" s="93" t="s">
        <v>47</v>
      </c>
      <c r="H50" s="3"/>
      <c r="I50" s="3"/>
      <c r="J50" s="3"/>
      <c r="K50" s="3"/>
      <c r="L50" s="16"/>
      <c r="M50" s="3"/>
      <c r="N50" s="3"/>
      <c r="O50" s="3"/>
      <c r="P50" s="8"/>
      <c r="Q50" s="3"/>
      <c r="R50" s="3"/>
      <c r="S50" s="3"/>
      <c r="T50" s="3"/>
      <c r="U50" s="3"/>
      <c r="V50" s="3"/>
      <c r="W50" s="3"/>
      <c r="X50" s="24"/>
      <c r="Y50" s="24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ht="15.75" customHeight="1" x14ac:dyDescent="0.25">
      <c r="A51" s="25" t="s">
        <v>170</v>
      </c>
      <c r="B51" s="8">
        <f>SUM(B31:B32)</f>
        <v>0</v>
      </c>
      <c r="C51" s="3" t="s">
        <v>3</v>
      </c>
      <c r="D51" s="3"/>
      <c r="E51" s="70" t="s">
        <v>158</v>
      </c>
      <c r="F51" s="94">
        <f>IF(F12&gt;F49,(F12-F49)*F48,0)</f>
        <v>0</v>
      </c>
      <c r="G51" s="93" t="s">
        <v>47</v>
      </c>
      <c r="H51" s="3"/>
      <c r="I51" s="3"/>
      <c r="J51" s="3"/>
      <c r="K51" s="3"/>
      <c r="L51" s="1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28" t="s">
        <v>46</v>
      </c>
      <c r="AC51" s="29"/>
      <c r="AD51" s="29"/>
      <c r="AE51" s="29"/>
      <c r="AF51" s="3"/>
      <c r="AG51" s="96" t="s">
        <v>150</v>
      </c>
      <c r="AH51" s="97"/>
      <c r="AI51" s="97"/>
      <c r="AJ51" s="97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ht="15.75" customHeight="1" x14ac:dyDescent="0.25">
      <c r="A52" s="25" t="s">
        <v>162</v>
      </c>
      <c r="B52" s="8">
        <f>B50-B51</f>
        <v>26004.61612903226</v>
      </c>
      <c r="C52" s="3" t="s">
        <v>3</v>
      </c>
      <c r="D52" s="3"/>
      <c r="E52" s="3"/>
      <c r="F52" s="3"/>
      <c r="G52" s="3"/>
      <c r="H52" s="3"/>
      <c r="I52" s="3"/>
      <c r="J52" s="3"/>
      <c r="K52" s="3"/>
      <c r="L52" s="1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29" t="s">
        <v>67</v>
      </c>
      <c r="AC52" s="29" t="s">
        <v>124</v>
      </c>
      <c r="AD52" s="29" t="s">
        <v>22</v>
      </c>
      <c r="AE52" s="29" t="s">
        <v>69</v>
      </c>
      <c r="AF52" s="3"/>
      <c r="AG52" s="97" t="s">
        <v>67</v>
      </c>
      <c r="AH52" s="97" t="s">
        <v>159</v>
      </c>
      <c r="AI52" s="97" t="s">
        <v>22</v>
      </c>
      <c r="AJ52" s="97" t="s">
        <v>69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ht="15.75" customHeight="1" x14ac:dyDescent="0.2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"/>
      <c r="N53" s="3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29" t="s">
        <v>73</v>
      </c>
      <c r="AC53" s="32">
        <v>379.07759999999996</v>
      </c>
      <c r="AD53" s="31">
        <f>X49</f>
        <v>35289.602517731808</v>
      </c>
      <c r="AE53" s="29"/>
      <c r="AF53" s="3"/>
      <c r="AG53" s="97" t="s">
        <v>73</v>
      </c>
      <c r="AH53" s="98">
        <v>150</v>
      </c>
      <c r="AI53" s="99">
        <f>X49</f>
        <v>35289.602517731808</v>
      </c>
      <c r="AJ53" s="97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6"/>
      <c r="O54" s="47" t="s">
        <v>106</v>
      </c>
      <c r="P54" s="2" t="str">
        <f>B1</f>
        <v>Cambodia</v>
      </c>
      <c r="Q54" s="46"/>
      <c r="R54" s="46"/>
      <c r="S54" s="46"/>
      <c r="T54" s="46"/>
      <c r="U54" s="46"/>
      <c r="V54" s="48"/>
      <c r="W54" s="3"/>
      <c r="X54" s="33"/>
      <c r="Y54" s="33"/>
      <c r="Z54" s="48"/>
      <c r="AA54" s="33"/>
      <c r="AB54" s="29">
        <f t="shared" ref="AB54:AB58" si="35">AB55-10</f>
        <v>-50</v>
      </c>
      <c r="AC54" s="32">
        <f t="shared" ref="AC54:AC64" si="36">$AC$53*(1+(AB54/100))</f>
        <v>189.53879999999998</v>
      </c>
      <c r="AD54" s="31">
        <f t="dataTable" ref="AD54:AD64" dt2D="0" dtr="0" r1="J40" ca="1"/>
        <v>33826.034145336038</v>
      </c>
      <c r="AE54" s="34">
        <f t="shared" ref="AE54:AE64" si="37">100*((AD54-$AD$59)/$AD$59)</f>
        <v>-4.147307614644788</v>
      </c>
      <c r="AF54" s="3"/>
      <c r="AG54" s="97">
        <f t="shared" ref="AG54:AG56" si="38">AG55-20</f>
        <v>-100</v>
      </c>
      <c r="AH54" s="98">
        <f>$AH$53*(1+(AG54/100))</f>
        <v>0</v>
      </c>
      <c r="AI54" s="99">
        <f t="dataTable" ref="AI54:AI64" dt2D="0" dtr="0" r1="J26" ca="1"/>
        <v>35289.602517731808</v>
      </c>
      <c r="AJ54" s="100">
        <f>100*((AI54-$AI$59)/$AI$59)</f>
        <v>0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107</v>
      </c>
      <c r="P55" s="24">
        <f>SUM(O49:P49)</f>
        <v>31176.56881748898</v>
      </c>
      <c r="Q55" s="3" t="s">
        <v>3</v>
      </c>
      <c r="R55" s="49">
        <f t="shared" ref="R55:R59" si="39">P55/$J$34</f>
        <v>0.20478565959990133</v>
      </c>
      <c r="S55" s="3" t="s">
        <v>4</v>
      </c>
      <c r="T55" s="3"/>
      <c r="U55" s="3"/>
      <c r="V55" s="48"/>
      <c r="W55" s="3"/>
      <c r="X55" s="33"/>
      <c r="Y55" s="33"/>
      <c r="Z55" s="48"/>
      <c r="AA55" s="33"/>
      <c r="AB55" s="29">
        <f t="shared" si="35"/>
        <v>-40</v>
      </c>
      <c r="AC55" s="32">
        <f t="shared" si="36"/>
        <v>227.44655999999998</v>
      </c>
      <c r="AD55" s="31">
        <v>34118.747819815202</v>
      </c>
      <c r="AE55" s="34">
        <f t="shared" si="37"/>
        <v>-3.3178460917158015</v>
      </c>
      <c r="AF55" s="3"/>
      <c r="AG55" s="97">
        <f t="shared" si="38"/>
        <v>-80</v>
      </c>
      <c r="AH55" s="98">
        <f t="shared" ref="AH55:AH64" si="40">$AH$53*(1+(AG55/100))</f>
        <v>29.999999999999993</v>
      </c>
      <c r="AI55" s="99">
        <v>35289.602517731808</v>
      </c>
      <c r="AJ55" s="100">
        <f t="shared" ref="AJ55:AJ64" si="41">100*((AI55-$AI$59)/$AI$59)</f>
        <v>0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87</v>
      </c>
      <c r="P56" s="24">
        <f>SUM(Q49:R49)</f>
        <v>3131.0768115436758</v>
      </c>
      <c r="Q56" s="3" t="s">
        <v>3</v>
      </c>
      <c r="R56" s="49">
        <f t="shared" si="39"/>
        <v>2.0566715787859142E-2</v>
      </c>
      <c r="S56" s="3" t="s">
        <v>4</v>
      </c>
      <c r="T56" s="3"/>
      <c r="U56" s="3"/>
      <c r="V56" s="48"/>
      <c r="W56" s="3"/>
      <c r="X56" s="33"/>
      <c r="Y56" s="33"/>
      <c r="Z56" s="48"/>
      <c r="AA56" s="33"/>
      <c r="AB56" s="29">
        <f t="shared" si="35"/>
        <v>-30</v>
      </c>
      <c r="AC56" s="32">
        <f t="shared" si="36"/>
        <v>265.35431999999997</v>
      </c>
      <c r="AD56" s="31">
        <v>34411.461494294344</v>
      </c>
      <c r="AE56" s="34">
        <f t="shared" si="37"/>
        <v>-2.4883845687868766</v>
      </c>
      <c r="AF56" s="3"/>
      <c r="AG56" s="97">
        <f t="shared" si="38"/>
        <v>-60</v>
      </c>
      <c r="AH56" s="98">
        <f t="shared" si="40"/>
        <v>60</v>
      </c>
      <c r="AI56" s="99">
        <v>35289.602517731808</v>
      </c>
      <c r="AJ56" s="100">
        <f t="shared" si="41"/>
        <v>0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108</v>
      </c>
      <c r="P57" s="24">
        <f>SUM(S49:T49)</f>
        <v>3223.171598618816</v>
      </c>
      <c r="Q57" s="3" t="s">
        <v>3</v>
      </c>
      <c r="R57" s="49">
        <f t="shared" si="39"/>
        <v>2.1171647389771519E-2</v>
      </c>
      <c r="S57" s="3" t="s">
        <v>4</v>
      </c>
      <c r="T57" s="3"/>
      <c r="U57" s="3"/>
      <c r="V57" s="48"/>
      <c r="W57" s="3"/>
      <c r="X57" s="33"/>
      <c r="Y57" s="33"/>
      <c r="Z57" s="48"/>
      <c r="AA57" s="33"/>
      <c r="AB57" s="29">
        <f t="shared" si="35"/>
        <v>-20</v>
      </c>
      <c r="AC57" s="32">
        <f t="shared" si="36"/>
        <v>303.26207999999997</v>
      </c>
      <c r="AD57" s="31">
        <v>34704.175168773501</v>
      </c>
      <c r="AE57" s="34">
        <f t="shared" si="37"/>
        <v>-1.6589230458579109</v>
      </c>
      <c r="AF57" s="3"/>
      <c r="AG57" s="97">
        <f>AG58-20</f>
        <v>-40</v>
      </c>
      <c r="AH57" s="98">
        <f t="shared" si="40"/>
        <v>90</v>
      </c>
      <c r="AI57" s="99">
        <v>35289.602517731808</v>
      </c>
      <c r="AJ57" s="100">
        <f t="shared" si="41"/>
        <v>0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109</v>
      </c>
      <c r="P58" s="24">
        <f>SUM(U49:V49)</f>
        <v>2707.3574481147484</v>
      </c>
      <c r="Q58" s="3" t="s">
        <v>3</v>
      </c>
      <c r="R58" s="49">
        <f t="shared" si="39"/>
        <v>1.7783482975004917E-2</v>
      </c>
      <c r="S58" s="3" t="s">
        <v>4</v>
      </c>
      <c r="T58" s="3"/>
      <c r="U58" s="3"/>
      <c r="V58" s="48"/>
      <c r="W58" s="3"/>
      <c r="X58" s="33"/>
      <c r="Y58" s="33"/>
      <c r="Z58" s="48"/>
      <c r="AA58" s="33"/>
      <c r="AB58" s="29">
        <f t="shared" si="35"/>
        <v>-10</v>
      </c>
      <c r="AC58" s="32">
        <f t="shared" si="36"/>
        <v>341.16983999999997</v>
      </c>
      <c r="AD58" s="31">
        <v>34996.888843252666</v>
      </c>
      <c r="AE58" s="34">
        <f t="shared" si="37"/>
        <v>-0.82946152292892461</v>
      </c>
      <c r="AF58" s="3"/>
      <c r="AG58" s="97">
        <f>AG59-20</f>
        <v>-20</v>
      </c>
      <c r="AH58" s="98">
        <f t="shared" si="40"/>
        <v>120</v>
      </c>
      <c r="AI58" s="99">
        <v>35289.602517731808</v>
      </c>
      <c r="AJ58" s="100">
        <f t="shared" si="41"/>
        <v>0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 t="s">
        <v>110</v>
      </c>
      <c r="P59" s="24">
        <f>W49</f>
        <v>-4948.5721580344116</v>
      </c>
      <c r="Q59" s="3" t="s">
        <v>3</v>
      </c>
      <c r="R59" s="49">
        <f t="shared" si="39"/>
        <v>-3.2505071978681105E-2</v>
      </c>
      <c r="S59" s="3" t="s">
        <v>4</v>
      </c>
      <c r="T59" s="3"/>
      <c r="U59" s="3"/>
      <c r="V59" s="48"/>
      <c r="W59" s="3"/>
      <c r="X59" s="33"/>
      <c r="Y59" s="33"/>
      <c r="Z59" s="48"/>
      <c r="AA59" s="33"/>
      <c r="AB59" s="39">
        <v>0</v>
      </c>
      <c r="AC59" s="45">
        <f t="shared" si="36"/>
        <v>379.07759999999996</v>
      </c>
      <c r="AD59" s="40">
        <v>35289.602517731808</v>
      </c>
      <c r="AE59" s="74">
        <f t="shared" si="37"/>
        <v>0</v>
      </c>
      <c r="AF59" s="3"/>
      <c r="AG59" s="101">
        <v>0</v>
      </c>
      <c r="AH59" s="102">
        <f t="shared" si="40"/>
        <v>150</v>
      </c>
      <c r="AI59" s="103">
        <v>35289.602517731808</v>
      </c>
      <c r="AJ59" s="104">
        <f t="shared" si="41"/>
        <v>0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" t="s">
        <v>2</v>
      </c>
      <c r="P60" s="4">
        <f>SUM(P55:P59)</f>
        <v>35289.602517731808</v>
      </c>
      <c r="Q60" s="1" t="s">
        <v>3</v>
      </c>
      <c r="R60" s="44">
        <f>SUM(R55:R59)</f>
        <v>0.23180243377385581</v>
      </c>
      <c r="S60" s="1" t="s">
        <v>4</v>
      </c>
      <c r="T60" s="1"/>
      <c r="U60" s="3"/>
      <c r="V60" s="48"/>
      <c r="W60" s="3"/>
      <c r="X60" s="33"/>
      <c r="Y60" s="33"/>
      <c r="Z60" s="48"/>
      <c r="AA60" s="33"/>
      <c r="AB60" s="29">
        <f t="shared" ref="AB60:AB64" si="42">AB59+10</f>
        <v>10</v>
      </c>
      <c r="AC60" s="32">
        <f t="shared" si="36"/>
        <v>416.98536000000001</v>
      </c>
      <c r="AD60" s="31">
        <v>35582.316192210979</v>
      </c>
      <c r="AE60" s="34">
        <f t="shared" si="37"/>
        <v>0.82946152292900699</v>
      </c>
      <c r="AF60" s="3"/>
      <c r="AG60" s="97">
        <f>AG59+20</f>
        <v>20</v>
      </c>
      <c r="AH60" s="98">
        <f t="shared" si="40"/>
        <v>180</v>
      </c>
      <c r="AI60" s="99">
        <v>35289.602517731808</v>
      </c>
      <c r="AJ60" s="100">
        <f t="shared" si="41"/>
        <v>0</v>
      </c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8"/>
      <c r="W61" s="3"/>
      <c r="X61" s="33"/>
      <c r="Y61" s="33"/>
      <c r="Z61" s="48"/>
      <c r="AA61" s="33"/>
      <c r="AB61" s="29">
        <f t="shared" si="42"/>
        <v>20</v>
      </c>
      <c r="AC61" s="32">
        <f t="shared" si="36"/>
        <v>454.89311999999995</v>
      </c>
      <c r="AD61" s="31">
        <v>35875.029866690122</v>
      </c>
      <c r="AE61" s="34">
        <f t="shared" si="37"/>
        <v>1.6589230458579316</v>
      </c>
      <c r="AF61" s="3"/>
      <c r="AG61" s="97">
        <f t="shared" ref="AG61:AG64" si="43">AG60+20</f>
        <v>40</v>
      </c>
      <c r="AH61" s="98">
        <f t="shared" si="40"/>
        <v>210</v>
      </c>
      <c r="AI61" s="99">
        <v>35289.602517731808</v>
      </c>
      <c r="AJ61" s="100">
        <f t="shared" si="41"/>
        <v>0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8"/>
      <c r="W62" s="3"/>
      <c r="X62" s="33"/>
      <c r="Y62" s="33"/>
      <c r="Z62" s="48"/>
      <c r="AA62" s="33"/>
      <c r="AB62" s="29">
        <f t="shared" si="42"/>
        <v>30</v>
      </c>
      <c r="AC62" s="32">
        <f t="shared" si="36"/>
        <v>492.80087999999995</v>
      </c>
      <c r="AD62" s="31">
        <v>36167.743541169271</v>
      </c>
      <c r="AE62" s="34">
        <f t="shared" si="37"/>
        <v>2.4883845687868766</v>
      </c>
      <c r="AF62" s="3"/>
      <c r="AG62" s="97">
        <f t="shared" si="43"/>
        <v>60</v>
      </c>
      <c r="AH62" s="98">
        <f t="shared" si="40"/>
        <v>240</v>
      </c>
      <c r="AI62" s="99">
        <v>35289.602517731808</v>
      </c>
      <c r="AJ62" s="100">
        <f t="shared" si="41"/>
        <v>0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8"/>
      <c r="W63" s="3"/>
      <c r="X63" s="33"/>
      <c r="Y63" s="33"/>
      <c r="Z63" s="48"/>
      <c r="AA63" s="33"/>
      <c r="AB63" s="29">
        <f t="shared" si="42"/>
        <v>40</v>
      </c>
      <c r="AC63" s="32">
        <f t="shared" si="36"/>
        <v>530.70863999999995</v>
      </c>
      <c r="AD63" s="31">
        <v>36460.457215648436</v>
      </c>
      <c r="AE63" s="34">
        <f t="shared" si="37"/>
        <v>3.3178460917158632</v>
      </c>
      <c r="AF63" s="3"/>
      <c r="AG63" s="97">
        <f t="shared" si="43"/>
        <v>80</v>
      </c>
      <c r="AH63" s="98">
        <f t="shared" si="40"/>
        <v>270</v>
      </c>
      <c r="AI63" s="99">
        <v>35289.602517731808</v>
      </c>
      <c r="AJ63" s="100">
        <f t="shared" si="41"/>
        <v>0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8"/>
      <c r="W64" s="3"/>
      <c r="X64" s="33"/>
      <c r="Y64" s="33"/>
      <c r="Z64" s="48"/>
      <c r="AA64" s="33"/>
      <c r="AB64" s="29">
        <f t="shared" si="42"/>
        <v>50</v>
      </c>
      <c r="AC64" s="32">
        <f t="shared" si="36"/>
        <v>568.61639999999989</v>
      </c>
      <c r="AD64" s="31">
        <v>36753.170890127585</v>
      </c>
      <c r="AE64" s="34">
        <f t="shared" si="37"/>
        <v>4.1473076146448085</v>
      </c>
      <c r="AF64" s="3"/>
      <c r="AG64" s="97">
        <f t="shared" si="43"/>
        <v>100</v>
      </c>
      <c r="AH64" s="98">
        <f t="shared" si="40"/>
        <v>300</v>
      </c>
      <c r="AI64" s="99">
        <v>35289.602517731808</v>
      </c>
      <c r="AJ64" s="100">
        <f t="shared" si="41"/>
        <v>0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8"/>
      <c r="W65" s="3"/>
      <c r="X65" s="33"/>
      <c r="Y65" s="33"/>
      <c r="Z65" s="48"/>
      <c r="AA65" s="33"/>
      <c r="AB65" s="3"/>
      <c r="AC65" s="3"/>
      <c r="AD65" s="3"/>
      <c r="AE65" s="3"/>
      <c r="AF65" s="3"/>
      <c r="AG65" s="3"/>
      <c r="AH65" s="6"/>
      <c r="AI65" s="8"/>
      <c r="AJ65" s="35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8"/>
      <c r="W66" s="3"/>
      <c r="X66" s="33"/>
      <c r="Y66" s="33"/>
      <c r="Z66" s="48"/>
      <c r="AA66" s="33"/>
      <c r="AB66" s="96" t="s">
        <v>194</v>
      </c>
      <c r="AC66" s="97"/>
      <c r="AD66" s="97"/>
      <c r="AE66" s="97"/>
      <c r="AF66" s="3"/>
      <c r="AG66" s="3"/>
      <c r="AH66" s="6"/>
      <c r="AI66" s="8"/>
      <c r="AJ66" s="35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8"/>
      <c r="W67" s="3"/>
      <c r="X67" s="33"/>
      <c r="Y67" s="33"/>
      <c r="Z67" s="48"/>
      <c r="AA67" s="33"/>
      <c r="AB67" s="97" t="s">
        <v>67</v>
      </c>
      <c r="AC67" s="97" t="s">
        <v>194</v>
      </c>
      <c r="AD67" s="97" t="s">
        <v>22</v>
      </c>
      <c r="AE67" s="97" t="s">
        <v>69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8"/>
      <c r="W68" s="3"/>
      <c r="X68" s="33"/>
      <c r="Y68" s="33"/>
      <c r="Z68" s="48"/>
      <c r="AA68" s="33"/>
      <c r="AB68" s="97" t="s">
        <v>73</v>
      </c>
      <c r="AC68" s="121">
        <v>0.14199999999999999</v>
      </c>
      <c r="AD68" s="99">
        <f>X49</f>
        <v>35289.602517731808</v>
      </c>
      <c r="AE68" s="97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50"/>
      <c r="Y69" s="50"/>
      <c r="Z69" s="3"/>
      <c r="AA69" s="50"/>
      <c r="AB69" s="97">
        <f t="shared" ref="AB69:AB73" si="44">AB70-10</f>
        <v>-50</v>
      </c>
      <c r="AC69" s="121">
        <f>$AC$68*(1-(AB69/100))</f>
        <v>0.21299999999999997</v>
      </c>
      <c r="AD69" s="99">
        <f t="dataTable" ref="AD69:AD79" dt2D="0" dtr="0" r1="J17"/>
        <v>36855.140923503648</v>
      </c>
      <c r="AE69" s="100">
        <f>100*((AD69-$AD$74)/$AD$74)</f>
        <v>4.4362596744613692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97">
        <f t="shared" si="44"/>
        <v>-40</v>
      </c>
      <c r="AC70" s="121">
        <f t="shared" ref="AC70:AC73" si="45">$AC$68*(1-(AB70/100))</f>
        <v>0.19879999999999998</v>
      </c>
      <c r="AD70" s="99">
        <v>36542.03324234928</v>
      </c>
      <c r="AE70" s="100">
        <f t="shared" ref="AE70:AE79" si="46">100*((AD70-$AD$74)/$AD$74)</f>
        <v>3.5490077395690953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97">
        <f t="shared" si="44"/>
        <v>-30</v>
      </c>
      <c r="AC71" s="121">
        <f t="shared" si="45"/>
        <v>0.18459999999999999</v>
      </c>
      <c r="AD71" s="99">
        <v>36228.925561194919</v>
      </c>
      <c r="AE71" s="100">
        <f t="shared" si="46"/>
        <v>2.6617558046768424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97">
        <f t="shared" si="44"/>
        <v>-20</v>
      </c>
      <c r="AC72" s="121">
        <f t="shared" si="45"/>
        <v>0.17039999999999997</v>
      </c>
      <c r="AD72" s="99">
        <v>35915.817880040544</v>
      </c>
      <c r="AE72" s="100">
        <f t="shared" si="46"/>
        <v>1.7745038697845477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97">
        <f t="shared" si="44"/>
        <v>-10</v>
      </c>
      <c r="AC73" s="121">
        <f t="shared" si="45"/>
        <v>0.15620000000000001</v>
      </c>
      <c r="AD73" s="99">
        <v>35602.710198886176</v>
      </c>
      <c r="AE73" s="100">
        <f t="shared" si="46"/>
        <v>0.88725193489227383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01">
        <v>0</v>
      </c>
      <c r="AC74" s="122">
        <f t="shared" ref="AC74" si="47">$AC$68*(1+(AB74/100))</f>
        <v>0.14199999999999999</v>
      </c>
      <c r="AD74" s="103">
        <v>35289.602517731808</v>
      </c>
      <c r="AE74" s="104">
        <f t="shared" si="46"/>
        <v>0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97">
        <f t="shared" ref="AB75:AB79" si="48">AB74+10</f>
        <v>10</v>
      </c>
      <c r="AC75" s="121">
        <f t="shared" ref="AC75:AC79" si="49">$AC$68*(1-(AB75/100))</f>
        <v>0.1278</v>
      </c>
      <c r="AD75" s="99">
        <v>34976.494836577447</v>
      </c>
      <c r="AE75" s="100">
        <f t="shared" si="46"/>
        <v>-0.88725193489225318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97">
        <f t="shared" si="48"/>
        <v>20</v>
      </c>
      <c r="AC76" s="121">
        <f t="shared" si="49"/>
        <v>0.11359999999999999</v>
      </c>
      <c r="AD76" s="99">
        <v>34663.387155423079</v>
      </c>
      <c r="AE76" s="100">
        <f t="shared" si="46"/>
        <v>-1.7745038697845268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97">
        <f t="shared" si="48"/>
        <v>30</v>
      </c>
      <c r="AC77" s="121">
        <f t="shared" si="49"/>
        <v>9.9399999999999988E-2</v>
      </c>
      <c r="AD77" s="99">
        <v>34350.279474268704</v>
      </c>
      <c r="AE77" s="100">
        <f t="shared" si="46"/>
        <v>-2.6617558046768215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97">
        <f t="shared" si="48"/>
        <v>40</v>
      </c>
      <c r="AC78" s="121">
        <f t="shared" si="49"/>
        <v>8.5199999999999984E-2</v>
      </c>
      <c r="AD78" s="99">
        <v>34037.171793114336</v>
      </c>
      <c r="AE78" s="100">
        <f t="shared" si="46"/>
        <v>-3.5490077395690953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97">
        <f t="shared" si="48"/>
        <v>50</v>
      </c>
      <c r="AC79" s="121">
        <f t="shared" si="49"/>
        <v>7.0999999999999994E-2</v>
      </c>
      <c r="AD79" s="99">
        <v>33724.064111959982</v>
      </c>
      <c r="AE79" s="100">
        <f t="shared" si="46"/>
        <v>-4.4362596744613274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1:5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1:5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1:5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1:5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1:5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1:5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1:5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1:5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1:5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1:5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1:5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1:5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1:5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1:5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1:5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1:5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1:5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1:5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1:5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1:5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1:5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1:5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1:5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1:5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1:5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1:5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1:5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1:5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1:5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1:5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1:5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1:5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1:5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1:5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1:5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1:5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1:5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1:5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1:5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1:5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1:5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1:5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1:5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1:5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1:5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1:5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1:5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1:5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1:5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1:5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1:5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1:5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1:5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spans="1:5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spans="1:5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spans="1:5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spans="1:5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spans="1:5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spans="1:5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1:5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spans="1:5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spans="1:5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spans="1:5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spans="1:5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spans="1:5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spans="1:5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spans="1:5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spans="1:5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spans="1:5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spans="1:5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spans="1:5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spans="1:5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spans="1:5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spans="1:5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spans="1:5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spans="1:5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spans="1:5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spans="1:5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spans="1:5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spans="1:5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spans="1:5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spans="1:5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spans="1:5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spans="1:5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spans="1:5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spans="1:5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spans="1:5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spans="1:5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spans="1:5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spans="1:5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spans="1:5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spans="1:5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spans="1:5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spans="1:5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spans="1:5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spans="1:5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spans="1:5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spans="1:5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spans="1:5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spans="1:5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spans="1:5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spans="1:5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spans="1:5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spans="1:5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spans="1:5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spans="1:5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spans="1:5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spans="1:5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spans="1:5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spans="1:5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spans="1:5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spans="1:5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spans="1:5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spans="1:5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1:5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1:5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1:5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1:5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1:5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1:5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1:5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1:5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spans="1:5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spans="1:5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spans="1:5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spans="1:5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spans="1:5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1:5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1:5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1:5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spans="1:5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spans="1:5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spans="1:5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spans="1:5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spans="1:5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spans="1:5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spans="1:5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1:5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spans="1:5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spans="1:5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1:5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1:5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1:5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spans="1:5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spans="1:5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1:5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spans="1:5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1:5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spans="1:5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1:5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1:5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spans="1:5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spans="1:51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spans="1:51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spans="1:51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spans="1:51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spans="1:51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spans="1:51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1:51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spans="1:51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spans="1:51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spans="1:51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spans="1:51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spans="1:51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spans="1:51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1:51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spans="1:51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spans="1:51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spans="1:51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spans="1:51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spans="1:51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spans="1:51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spans="1:51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spans="1:51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spans="1:51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spans="1:51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spans="1:51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spans="1:51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spans="1:51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spans="1:51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spans="1:51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spans="1:51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spans="1:51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spans="1:51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spans="1:51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spans="1:51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spans="1:51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spans="1:51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spans="1:51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spans="1:51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spans="1:51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spans="1:51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spans="1:51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spans="1:51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spans="1:51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spans="1:51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spans="1:51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spans="1:51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spans="1:51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spans="1:51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spans="1:51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spans="1:51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spans="1:51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spans="1:51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spans="1:51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spans="1:51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spans="1:51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spans="1:51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spans="1:51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spans="1:51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spans="1:51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spans="1:51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spans="1:51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spans="1:51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spans="1:51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spans="1:51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spans="1:51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spans="1:51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spans="1:51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spans="1:51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spans="1:51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spans="1:51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spans="1:51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spans="1:51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spans="1:51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spans="1:51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spans="1:5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spans="1:51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spans="1:5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spans="1:51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spans="1:51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spans="1:51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spans="1:51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spans="1:51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spans="1:51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spans="1:51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spans="1:5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spans="1:51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spans="1:51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spans="1:51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spans="1:51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spans="1:51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spans="1:51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spans="1:51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spans="1:51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spans="1:51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spans="1:51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spans="1:51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spans="1:51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spans="1:51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spans="1:51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spans="1:51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spans="1:51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spans="1:51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spans="1:51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spans="1:51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spans="1:51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spans="1:51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spans="1:51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spans="1:51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spans="1:5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spans="1:51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spans="1:51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spans="1:51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spans="1:5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spans="1:51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spans="1:51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spans="1:51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spans="1:5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spans="1:51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spans="1:51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spans="1:51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spans="1:5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spans="1:51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spans="1:51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spans="1:51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spans="1:51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spans="1:51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spans="1:51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spans="1:51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spans="1:51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spans="1:51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spans="1:51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spans="1:51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spans="1:51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spans="1:51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spans="1:5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spans="1:51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spans="1:51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spans="1:51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spans="1:51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spans="1:5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spans="1:51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spans="1:51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spans="1:51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spans="1:51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spans="1:51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spans="1:51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spans="1:51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spans="1:51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spans="1:51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spans="1:51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spans="1:51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spans="1:51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spans="1:51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spans="1:51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spans="1:51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spans="1:5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spans="1:51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spans="1:5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spans="1:51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spans="1:51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spans="1:5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spans="1:51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spans="1:51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spans="1:51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spans="1:5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spans="1:51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spans="1:51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spans="1:51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spans="1:5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spans="1:51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spans="1:51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spans="1:51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spans="1:51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spans="1:51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spans="1:51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spans="1:51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spans="1:51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spans="1:51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spans="1:5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spans="1:51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spans="1:51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spans="1:51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spans="1:51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spans="1:51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spans="1:51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spans="1:51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spans="1:51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spans="1:5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spans="1:51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spans="1:51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spans="1:51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spans="1:51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spans="1:51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spans="1:51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spans="1:5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spans="1:5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spans="1:5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spans="1:5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spans="1:51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spans="1:51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spans="1:51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spans="1:51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spans="1:51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spans="1:51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spans="1:51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spans="1:51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spans="1:51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spans="1:51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spans="1:51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spans="1:51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spans="1:51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spans="1:51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spans="1:5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spans="1:51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spans="1:51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spans="1:5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spans="1:51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spans="1:51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spans="1:51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spans="1:51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spans="1:51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spans="1:51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spans="1:5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spans="1:51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spans="1:51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spans="1:51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spans="1:51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spans="1:51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spans="1:51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spans="1:51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spans="1:51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spans="1:51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spans="1:51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spans="1:51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spans="1:5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spans="1:51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spans="1:51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spans="1:51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spans="1:51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spans="1:51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spans="1:51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spans="1:5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spans="1:51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spans="1:51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spans="1:51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spans="1:51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spans="1:51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spans="1:51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spans="1:51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spans="1:51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spans="1:51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spans="1:51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spans="1:51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</row>
    <row r="497" spans="1:51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</row>
    <row r="498" spans="1:51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</row>
    <row r="499" spans="1:51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</row>
    <row r="501" spans="1:51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</row>
    <row r="502" spans="1:51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</row>
    <row r="503" spans="1:51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</row>
    <row r="504" spans="1:51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</row>
    <row r="505" spans="1:51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</row>
    <row r="506" spans="1:51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</row>
    <row r="507" spans="1:51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</row>
    <row r="508" spans="1:51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</row>
    <row r="509" spans="1:5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</row>
    <row r="510" spans="1:51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</row>
    <row r="511" spans="1:51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</row>
    <row r="512" spans="1:51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</row>
    <row r="513" spans="1:51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</row>
    <row r="514" spans="1:51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</row>
    <row r="515" spans="1:51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</row>
    <row r="516" spans="1:51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</row>
    <row r="517" spans="1:51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</row>
    <row r="518" spans="1:5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</row>
    <row r="519" spans="1:51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</row>
    <row r="520" spans="1:51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spans="1:51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</row>
    <row r="522" spans="1:51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</row>
    <row r="523" spans="1:5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</row>
    <row r="524" spans="1:51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</row>
    <row r="525" spans="1:51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</row>
    <row r="526" spans="1:51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</row>
    <row r="527" spans="1:51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</row>
    <row r="528" spans="1:51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</row>
    <row r="529" spans="1:51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</row>
    <row r="530" spans="1:5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</row>
    <row r="531" spans="1:51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</row>
    <row r="532" spans="1:51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</row>
    <row r="533" spans="1:51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</row>
    <row r="534" spans="1:5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</row>
    <row r="535" spans="1:51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</row>
    <row r="536" spans="1:51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</row>
    <row r="537" spans="1:51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</row>
    <row r="538" spans="1:5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</row>
    <row r="539" spans="1:51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</row>
    <row r="540" spans="1:51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</row>
    <row r="541" spans="1:51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</row>
    <row r="542" spans="1:51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</row>
    <row r="543" spans="1:51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</row>
    <row r="544" spans="1:51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</row>
    <row r="545" spans="1:51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</row>
    <row r="546" spans="1:51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</row>
    <row r="547" spans="1:5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</row>
    <row r="548" spans="1:51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</row>
    <row r="549" spans="1:51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</row>
    <row r="550" spans="1:51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</row>
    <row r="551" spans="1:51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</row>
    <row r="552" spans="1:51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</row>
    <row r="553" spans="1:51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</row>
    <row r="554" spans="1:51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</row>
    <row r="555" spans="1:51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</row>
    <row r="556" spans="1:51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</row>
    <row r="557" spans="1:51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</row>
    <row r="558" spans="1:51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</row>
    <row r="559" spans="1:51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</row>
    <row r="560" spans="1:51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</row>
    <row r="561" spans="1:51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</row>
    <row r="562" spans="1:51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</row>
    <row r="563" spans="1:51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</row>
    <row r="564" spans="1:51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</row>
    <row r="565" spans="1:51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</row>
    <row r="566" spans="1:51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</row>
    <row r="567" spans="1:51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</row>
    <row r="568" spans="1:51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</row>
    <row r="569" spans="1:5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</row>
    <row r="570" spans="1:51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</row>
    <row r="571" spans="1:51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</row>
    <row r="572" spans="1:51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</row>
    <row r="573" spans="1:51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</row>
    <row r="574" spans="1:51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</row>
    <row r="575" spans="1:51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</row>
    <row r="576" spans="1:51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</row>
    <row r="577" spans="1:5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</row>
    <row r="578" spans="1:51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</row>
    <row r="579" spans="1:51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</row>
    <row r="580" spans="1:51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</row>
    <row r="581" spans="1:5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</row>
    <row r="582" spans="1:51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</row>
    <row r="583" spans="1:5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</row>
    <row r="584" spans="1:51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</row>
    <row r="585" spans="1:51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</row>
    <row r="586" spans="1:51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</row>
    <row r="587" spans="1:5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</row>
    <row r="588" spans="1:5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</row>
    <row r="589" spans="1:51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</row>
    <row r="590" spans="1:51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</row>
    <row r="591" spans="1:51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</row>
    <row r="592" spans="1:51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</row>
    <row r="594" spans="1:5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</row>
    <row r="595" spans="1:51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</row>
    <row r="596" spans="1:51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</row>
    <row r="597" spans="1:51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</row>
    <row r="598" spans="1:51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</row>
    <row r="599" spans="1:5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</row>
    <row r="600" spans="1:51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</row>
    <row r="601" spans="1:51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</row>
    <row r="602" spans="1:5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</row>
    <row r="603" spans="1:51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</row>
    <row r="604" spans="1:51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</row>
    <row r="605" spans="1:51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</row>
    <row r="606" spans="1:51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</row>
    <row r="607" spans="1:51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</row>
    <row r="608" spans="1:51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</row>
    <row r="609" spans="1:5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</row>
    <row r="610" spans="1:51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</row>
    <row r="611" spans="1:51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</row>
    <row r="612" spans="1:51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</row>
    <row r="613" spans="1:51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</row>
    <row r="614" spans="1:51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</row>
    <row r="615" spans="1:51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</row>
    <row r="616" spans="1:5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</row>
    <row r="617" spans="1:51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</row>
    <row r="618" spans="1:51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</row>
    <row r="620" spans="1:51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</row>
    <row r="621" spans="1:51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</row>
    <row r="622" spans="1:51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</row>
    <row r="623" spans="1:51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</row>
    <row r="624" spans="1:51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</row>
    <row r="625" spans="1:51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</row>
    <row r="626" spans="1:51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</row>
    <row r="627" spans="1:51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</row>
    <row r="628" spans="1:51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</row>
    <row r="629" spans="1:51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</row>
    <row r="630" spans="1:51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</row>
    <row r="631" spans="1:51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</row>
    <row r="632" spans="1:51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</row>
    <row r="633" spans="1:51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</row>
    <row r="634" spans="1:51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</row>
    <row r="635" spans="1:51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</row>
    <row r="636" spans="1:51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</row>
    <row r="637" spans="1:51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</row>
    <row r="638" spans="1:51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</row>
    <row r="639" spans="1:51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</row>
    <row r="640" spans="1:51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</row>
    <row r="641" spans="1:51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</row>
    <row r="642" spans="1:51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</row>
    <row r="643" spans="1:51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</row>
    <row r="644" spans="1:51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</row>
    <row r="645" spans="1:51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</row>
    <row r="646" spans="1:51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</row>
    <row r="647" spans="1:51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</row>
    <row r="648" spans="1:51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</row>
    <row r="649" spans="1:51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</row>
    <row r="650" spans="1:51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</row>
    <row r="651" spans="1:51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</row>
    <row r="652" spans="1:51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</row>
    <row r="653" spans="1:51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</row>
    <row r="654" spans="1:5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</row>
    <row r="655" spans="1:51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</row>
    <row r="656" spans="1:51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</row>
    <row r="657" spans="1:51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</row>
    <row r="658" spans="1:51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</row>
    <row r="659" spans="1:51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</row>
    <row r="660" spans="1:51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</row>
    <row r="661" spans="1:51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</row>
    <row r="662" spans="1:51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</row>
    <row r="663" spans="1:5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</row>
    <row r="664" spans="1:51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</row>
    <row r="665" spans="1:51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</row>
    <row r="666" spans="1:51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</row>
    <row r="667" spans="1:51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</row>
    <row r="668" spans="1:51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</row>
    <row r="669" spans="1:51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</row>
    <row r="670" spans="1:51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</row>
    <row r="671" spans="1:51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</row>
    <row r="672" spans="1:51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</row>
    <row r="673" spans="1:5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</row>
    <row r="674" spans="1:51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</row>
    <row r="675" spans="1:51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</row>
    <row r="676" spans="1:51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</row>
    <row r="677" spans="1:5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</row>
    <row r="678" spans="1:51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</row>
    <row r="679" spans="1:51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</row>
    <row r="680" spans="1:5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</row>
    <row r="681" spans="1:51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</row>
    <row r="682" spans="1:51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</row>
    <row r="683" spans="1:51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</row>
    <row r="684" spans="1:51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</row>
    <row r="685" spans="1:5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</row>
    <row r="686" spans="1:51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</row>
    <row r="687" spans="1:51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</row>
    <row r="688" spans="1:5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</row>
    <row r="689" spans="1:51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</row>
    <row r="690" spans="1:51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</row>
    <row r="691" spans="1:5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</row>
    <row r="692" spans="1:51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</row>
    <row r="693" spans="1:51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</row>
    <row r="694" spans="1:5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</row>
    <row r="695" spans="1:51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</row>
    <row r="696" spans="1:51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</row>
    <row r="697" spans="1:51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</row>
    <row r="698" spans="1:51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</row>
    <row r="699" spans="1:51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</row>
    <row r="700" spans="1:51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</row>
    <row r="701" spans="1:51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</row>
    <row r="702" spans="1:51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</row>
    <row r="703" spans="1:51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</row>
    <row r="704" spans="1:51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</row>
    <row r="705" spans="1:51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</row>
    <row r="706" spans="1:51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</row>
    <row r="707" spans="1:51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</row>
    <row r="708" spans="1:51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</row>
    <row r="709" spans="1:51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</row>
    <row r="710" spans="1:51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</row>
    <row r="711" spans="1:51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</row>
    <row r="712" spans="1:51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</row>
    <row r="713" spans="1:51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</row>
    <row r="714" spans="1:51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</row>
    <row r="715" spans="1:51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</row>
    <row r="716" spans="1:51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</row>
    <row r="717" spans="1:51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</row>
    <row r="718" spans="1:51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</row>
    <row r="719" spans="1:51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</row>
    <row r="720" spans="1:51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</row>
    <row r="721" spans="1:51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</row>
    <row r="722" spans="1:51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</row>
    <row r="723" spans="1:51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</row>
    <row r="724" spans="1:51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</row>
    <row r="725" spans="1:51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</row>
    <row r="726" spans="1:51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</row>
    <row r="727" spans="1:51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</row>
    <row r="728" spans="1:51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</row>
    <row r="729" spans="1:51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</row>
    <row r="730" spans="1:51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</row>
    <row r="731" spans="1:51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</row>
    <row r="732" spans="1:51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</row>
    <row r="733" spans="1:51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</row>
    <row r="734" spans="1:51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</row>
    <row r="735" spans="1:51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</row>
    <row r="736" spans="1:51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</row>
    <row r="737" spans="1:51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</row>
    <row r="738" spans="1:51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</row>
    <row r="739" spans="1:51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</row>
    <row r="740" spans="1:51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</row>
    <row r="741" spans="1:51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</row>
    <row r="742" spans="1:51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</row>
    <row r="743" spans="1:51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</row>
    <row r="744" spans="1:51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</row>
    <row r="745" spans="1:51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</row>
    <row r="746" spans="1:51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</row>
    <row r="747" spans="1:51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</row>
    <row r="748" spans="1:51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</row>
    <row r="749" spans="1:51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</row>
    <row r="750" spans="1:51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</row>
    <row r="751" spans="1:51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</row>
    <row r="752" spans="1:51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</row>
    <row r="753" spans="1:51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</row>
    <row r="754" spans="1:51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</row>
    <row r="755" spans="1:51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</row>
    <row r="756" spans="1:51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</row>
    <row r="757" spans="1:51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</row>
    <row r="758" spans="1:51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</row>
    <row r="759" spans="1:51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spans="1:51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</row>
    <row r="761" spans="1:51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</row>
    <row r="762" spans="1:51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</row>
    <row r="763" spans="1:51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</row>
    <row r="764" spans="1:51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</row>
    <row r="765" spans="1:51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</row>
    <row r="766" spans="1:51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</row>
    <row r="767" spans="1:51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spans="1:51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</row>
    <row r="769" spans="1:51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</row>
    <row r="770" spans="1:51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</row>
    <row r="771" spans="1:51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</row>
    <row r="772" spans="1:51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</row>
    <row r="773" spans="1:51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</row>
    <row r="774" spans="1:51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</row>
    <row r="775" spans="1:51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</row>
    <row r="776" spans="1:51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</row>
    <row r="777" spans="1:51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</row>
    <row r="778" spans="1:51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</row>
    <row r="779" spans="1:51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</row>
    <row r="780" spans="1:51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</row>
    <row r="781" spans="1:51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</row>
    <row r="782" spans="1:51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</row>
    <row r="783" spans="1:51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</row>
    <row r="784" spans="1:51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</row>
    <row r="785" spans="1:51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</row>
    <row r="786" spans="1:51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</row>
    <row r="787" spans="1:51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</row>
    <row r="788" spans="1:51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</row>
    <row r="789" spans="1:51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</row>
    <row r="790" spans="1:51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</row>
    <row r="791" spans="1:51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</row>
    <row r="792" spans="1:51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</row>
    <row r="793" spans="1:51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</row>
    <row r="794" spans="1:51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</row>
    <row r="795" spans="1:51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</row>
    <row r="796" spans="1:51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</row>
    <row r="797" spans="1:51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</row>
    <row r="798" spans="1:51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</row>
    <row r="799" spans="1:51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</row>
    <row r="800" spans="1:51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</row>
    <row r="801" spans="1:51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</row>
    <row r="802" spans="1:51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</row>
    <row r="803" spans="1:51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</row>
    <row r="804" spans="1:51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</row>
    <row r="805" spans="1:51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</row>
    <row r="806" spans="1:51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</row>
    <row r="807" spans="1:51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</row>
    <row r="808" spans="1:51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</row>
    <row r="809" spans="1:51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</row>
    <row r="810" spans="1:51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</row>
    <row r="811" spans="1:51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</row>
    <row r="812" spans="1:51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</row>
    <row r="813" spans="1:51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</row>
    <row r="814" spans="1:51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</row>
    <row r="815" spans="1:51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</row>
    <row r="816" spans="1:51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</row>
    <row r="817" spans="1:51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</row>
    <row r="818" spans="1:51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</row>
    <row r="819" spans="1:51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</row>
    <row r="820" spans="1:51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</row>
    <row r="821" spans="1:51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</row>
    <row r="822" spans="1:51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</row>
    <row r="823" spans="1:51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</row>
    <row r="824" spans="1:5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</row>
    <row r="825" spans="1:51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</row>
    <row r="826" spans="1:51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</row>
    <row r="828" spans="1:51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</row>
    <row r="829" spans="1:51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</row>
    <row r="830" spans="1:51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</row>
    <row r="831" spans="1:5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</row>
    <row r="832" spans="1:51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</row>
    <row r="833" spans="1:51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</row>
    <row r="834" spans="1:51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</row>
    <row r="835" spans="1:51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</row>
    <row r="836" spans="1:51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</row>
    <row r="837" spans="1:5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</row>
    <row r="839" spans="1:51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</row>
    <row r="840" spans="1:51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</row>
    <row r="841" spans="1:51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</row>
    <row r="842" spans="1:51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</row>
    <row r="843" spans="1:51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</row>
    <row r="844" spans="1:51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</row>
    <row r="845" spans="1:5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</row>
    <row r="846" spans="1:51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</row>
    <row r="847" spans="1:51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</row>
    <row r="848" spans="1:51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</row>
    <row r="849" spans="1:5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</row>
    <row r="850" spans="1:51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</row>
    <row r="851" spans="1:51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</row>
    <row r="852" spans="1:51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</row>
    <row r="853" spans="1:51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</row>
    <row r="854" spans="1:51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</row>
    <row r="855" spans="1:51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</row>
    <row r="856" spans="1:51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</row>
    <row r="857" spans="1:5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</row>
    <row r="858" spans="1:51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</row>
    <row r="859" spans="1:5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</row>
    <row r="860" spans="1:51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</row>
    <row r="861" spans="1:51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</row>
    <row r="862" spans="1:51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</row>
    <row r="863" spans="1:51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</row>
    <row r="864" spans="1:51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</row>
    <row r="865" spans="1:51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</row>
    <row r="866" spans="1:51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</row>
    <row r="867" spans="1:5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</row>
    <row r="868" spans="1:51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</row>
    <row r="869" spans="1:51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</row>
    <row r="870" spans="1:5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</row>
    <row r="871" spans="1:51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spans="1:51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</row>
    <row r="873" spans="1:51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</row>
    <row r="874" spans="1:5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</row>
    <row r="875" spans="1:51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</row>
    <row r="876" spans="1:51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</row>
    <row r="877" spans="1:51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</row>
    <row r="878" spans="1:51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</row>
    <row r="879" spans="1:51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</row>
    <row r="880" spans="1:51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</row>
    <row r="881" spans="1:51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</row>
    <row r="882" spans="1:51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</row>
    <row r="883" spans="1:51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</row>
    <row r="884" spans="1:5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</row>
    <row r="885" spans="1:51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</row>
    <row r="886" spans="1:51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</row>
    <row r="887" spans="1:51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</row>
    <row r="888" spans="1:51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</row>
    <row r="889" spans="1:51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</row>
    <row r="890" spans="1:51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</row>
    <row r="891" spans="1:51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</row>
    <row r="892" spans="1:51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</row>
    <row r="893" spans="1:51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</row>
    <row r="894" spans="1:51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</row>
    <row r="895" spans="1:5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</row>
    <row r="896" spans="1:51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</row>
    <row r="897" spans="1:51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</row>
    <row r="898" spans="1:51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</row>
    <row r="899" spans="1:5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</row>
    <row r="900" spans="1:51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</row>
    <row r="901" spans="1:51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</row>
    <row r="902" spans="1:51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</row>
    <row r="903" spans="1:51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</row>
    <row r="904" spans="1:51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</row>
    <row r="905" spans="1:51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</row>
    <row r="906" spans="1:51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</row>
    <row r="907" spans="1:51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</row>
    <row r="909" spans="1:51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</row>
    <row r="910" spans="1:51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</row>
    <row r="911" spans="1:51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</row>
    <row r="912" spans="1:51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</row>
    <row r="913" spans="1:51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</row>
    <row r="914" spans="1:51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</row>
    <row r="915" spans="1:51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</row>
    <row r="916" spans="1:51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</row>
    <row r="917" spans="1:51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</row>
    <row r="918" spans="1:51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</row>
    <row r="919" spans="1:51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</row>
    <row r="920" spans="1:51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</row>
    <row r="921" spans="1:51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</row>
    <row r="922" spans="1:51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</row>
    <row r="923" spans="1:51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</row>
    <row r="925" spans="1:51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</row>
    <row r="926" spans="1:51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</row>
    <row r="927" spans="1:51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</row>
    <row r="928" spans="1:51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</row>
    <row r="929" spans="1:51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</row>
    <row r="930" spans="1:51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</row>
    <row r="931" spans="1:51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</row>
    <row r="932" spans="1:51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</row>
    <row r="933" spans="1:51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</row>
    <row r="934" spans="1:51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</row>
    <row r="935" spans="1:51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</row>
    <row r="936" spans="1:51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</row>
    <row r="937" spans="1:51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</row>
    <row r="939" spans="1:51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</row>
    <row r="940" spans="1:51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</row>
    <row r="941" spans="1:51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</row>
    <row r="942" spans="1:51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</row>
    <row r="943" spans="1:51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</row>
    <row r="944" spans="1:51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</row>
    <row r="945" spans="1:51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</row>
    <row r="946" spans="1:51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</row>
    <row r="947" spans="1:51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</row>
    <row r="948" spans="1:51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</row>
    <row r="949" spans="1:51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</row>
    <row r="950" spans="1:51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</row>
    <row r="951" spans="1:51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</row>
    <row r="952" spans="1:51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</row>
    <row r="953" spans="1:51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</row>
    <row r="954" spans="1:51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</row>
    <row r="955" spans="1:51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</row>
    <row r="956" spans="1:51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</row>
    <row r="957" spans="1:51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</row>
    <row r="958" spans="1:51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</row>
    <row r="959" spans="1:51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</row>
    <row r="960" spans="1:51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</row>
    <row r="961" spans="1:51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</row>
    <row r="962" spans="1:51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</row>
    <row r="963" spans="1:51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</row>
    <row r="964" spans="1:51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</row>
    <row r="965" spans="1:51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</row>
    <row r="966" spans="1:51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</row>
    <row r="967" spans="1:51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</row>
    <row r="968" spans="1:51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</row>
    <row r="969" spans="1:51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</row>
    <row r="970" spans="1:51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</row>
    <row r="971" spans="1:51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</row>
    <row r="972" spans="1:51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</row>
    <row r="973" spans="1:51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</row>
    <row r="974" spans="1:51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</row>
    <row r="975" spans="1:51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</row>
    <row r="976" spans="1:51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</row>
    <row r="977" spans="1:51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</row>
    <row r="978" spans="1:51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</row>
    <row r="979" spans="1:51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</row>
    <row r="980" spans="1:51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</row>
    <row r="982" spans="1:51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</row>
    <row r="983" spans="1:51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</row>
    <row r="984" spans="1:51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</row>
    <row r="985" spans="1:51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</row>
    <row r="986" spans="1:51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</row>
    <row r="987" spans="1:51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</row>
    <row r="988" spans="1:51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</row>
    <row r="989" spans="1:51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</row>
    <row r="990" spans="1:51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</row>
    <row r="991" spans="1:51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</row>
    <row r="992" spans="1:51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</row>
    <row r="993" spans="1:51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</row>
    <row r="994" spans="1:51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</row>
    <row r="995" spans="1:51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</row>
    <row r="996" spans="1:51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</row>
    <row r="997" spans="1:51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</row>
    <row r="998" spans="1:51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</row>
    <row r="999" spans="1:51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</row>
    <row r="1000" spans="1:51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</row>
  </sheetData>
  <pageMargins left="0.7" right="0.7" top="0.75" bottom="0.75" header="0" footer="0"/>
  <pageSetup orientation="landscape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BCAC442-BFF7-411F-BF94-EE2C4F047873}">
          <x14:formula1>
            <xm:f>Description!$A$18:$A$19</xm:f>
          </x14:formula1>
          <xm:sqref>J24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AO1000"/>
  <sheetViews>
    <sheetView topLeftCell="I1" zoomScale="70" zoomScaleNormal="55" workbookViewId="0">
      <selection activeCell="J8" sqref="J8:J16"/>
    </sheetView>
  </sheetViews>
  <sheetFormatPr defaultColWidth="14.42578125" defaultRowHeight="15" customHeight="1" x14ac:dyDescent="0.25"/>
  <cols>
    <col min="1" max="1" width="52.7109375" customWidth="1"/>
    <col min="2" max="2" width="17.5703125" customWidth="1"/>
    <col min="3" max="3" width="16.28515625" customWidth="1"/>
    <col min="4" max="4" width="8.85546875" customWidth="1"/>
    <col min="5" max="5" width="48" customWidth="1"/>
    <col min="6" max="6" width="14.28515625" customWidth="1"/>
    <col min="7" max="7" width="8.85546875" customWidth="1"/>
    <col min="8" max="8" width="19.28515625" customWidth="1"/>
    <col min="9" max="9" width="50.5703125" bestFit="1" customWidth="1"/>
    <col min="10" max="10" width="17.42578125" customWidth="1"/>
    <col min="11" max="14" width="8.85546875" customWidth="1"/>
    <col min="15" max="15" width="20" customWidth="1"/>
    <col min="16" max="16" width="16.28515625" customWidth="1"/>
    <col min="17" max="17" width="25.28515625" customWidth="1"/>
    <col min="18" max="18" width="16.42578125" customWidth="1"/>
    <col min="19" max="19" width="16" customWidth="1"/>
    <col min="20" max="20" width="22" customWidth="1"/>
    <col min="21" max="21" width="23.85546875" customWidth="1"/>
    <col min="22" max="22" width="12.7109375" customWidth="1"/>
    <col min="23" max="23" width="19.42578125" customWidth="1"/>
    <col min="24" max="24" width="13.42578125" customWidth="1"/>
    <col min="25" max="25" width="8.85546875" customWidth="1"/>
    <col min="26" max="26" width="20.140625" customWidth="1"/>
    <col min="27" max="27" width="25" customWidth="1"/>
    <col min="28" max="28" width="12.85546875" customWidth="1"/>
    <col min="29" max="29" width="19" customWidth="1"/>
    <col min="30" max="30" width="4.7109375" customWidth="1"/>
    <col min="31" max="31" width="20.140625" customWidth="1"/>
    <col min="32" max="32" width="19.28515625" customWidth="1"/>
    <col min="33" max="33" width="11.28515625" customWidth="1"/>
    <col min="34" max="34" width="17.85546875" customWidth="1"/>
  </cols>
  <sheetData>
    <row r="1" spans="1:34" x14ac:dyDescent="0.25">
      <c r="A1" s="1" t="s">
        <v>0</v>
      </c>
      <c r="B1" s="2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1" t="s">
        <v>2</v>
      </c>
      <c r="B2" s="4">
        <f>U49</f>
        <v>22057.209047701817</v>
      </c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5">
      <c r="A3" s="3"/>
      <c r="B3" s="5">
        <f>B2/F41</f>
        <v>0.14488445249410023</v>
      </c>
      <c r="C3" s="1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1" t="s">
        <v>5</v>
      </c>
      <c r="B4" s="3"/>
      <c r="C4" s="3"/>
      <c r="D4" s="3"/>
      <c r="E4" s="6"/>
      <c r="F4" s="3"/>
      <c r="G4" s="3"/>
      <c r="H4" s="3"/>
      <c r="I4" s="3"/>
      <c r="J4" s="7"/>
      <c r="K4" s="3"/>
      <c r="L4" s="3"/>
      <c r="M4" s="3"/>
      <c r="N4" s="1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 t="s">
        <v>7</v>
      </c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3" t="s">
        <v>8</v>
      </c>
      <c r="B5" s="8">
        <v>10</v>
      </c>
      <c r="C5" s="3" t="s">
        <v>9</v>
      </c>
      <c r="D5" s="3"/>
      <c r="E5" s="3"/>
      <c r="F5" s="6"/>
      <c r="G5" s="3"/>
      <c r="H5" s="3"/>
      <c r="I5" s="3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111</v>
      </c>
      <c r="R7" s="13" t="s">
        <v>112</v>
      </c>
      <c r="S7" s="13"/>
      <c r="T7" s="13" t="s">
        <v>21</v>
      </c>
      <c r="U7" s="14" t="s">
        <v>22</v>
      </c>
      <c r="V7" s="1"/>
      <c r="W7" s="3"/>
      <c r="X7" s="3"/>
      <c r="Y7" s="3"/>
      <c r="Z7" s="3" t="s">
        <v>23</v>
      </c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15" t="s">
        <v>24</v>
      </c>
      <c r="B8" s="8">
        <v>4043</v>
      </c>
      <c r="C8" s="3" t="s">
        <v>25</v>
      </c>
      <c r="D8" s="3"/>
      <c r="E8" s="3"/>
      <c r="F8" s="3"/>
      <c r="G8" s="3"/>
      <c r="H8" s="16"/>
      <c r="I8" s="17" t="s">
        <v>195</v>
      </c>
      <c r="J8" s="8">
        <v>18780387.096774194</v>
      </c>
      <c r="K8" s="3" t="s">
        <v>27</v>
      </c>
      <c r="L8" s="16"/>
      <c r="M8" s="3"/>
      <c r="N8" s="13">
        <v>0</v>
      </c>
      <c r="O8" s="18">
        <f>F31</f>
        <v>2243.6129032258063</v>
      </c>
      <c r="P8" s="13"/>
      <c r="Q8" s="13"/>
      <c r="R8" s="13"/>
      <c r="S8" s="13"/>
      <c r="T8" s="13"/>
      <c r="U8" s="19">
        <f t="shared" ref="U8:U48" si="0">SUM(O8:T8)</f>
        <v>2243.6129032258063</v>
      </c>
      <c r="V8" s="4"/>
      <c r="W8" s="8"/>
      <c r="X8" s="3"/>
      <c r="Y8" s="3"/>
      <c r="Z8" s="3" t="s">
        <v>178</v>
      </c>
      <c r="AA8" s="20">
        <f>F36</f>
        <v>1.1996042542666336</v>
      </c>
      <c r="AB8" s="3" t="s">
        <v>114</v>
      </c>
      <c r="AC8" s="3"/>
      <c r="AD8" s="3"/>
      <c r="AE8" s="3"/>
      <c r="AF8" s="3"/>
      <c r="AG8" s="3"/>
      <c r="AH8" s="3"/>
    </row>
    <row r="9" spans="1:34" x14ac:dyDescent="0.25">
      <c r="A9" s="15"/>
      <c r="B9" s="3"/>
      <c r="C9" s="3"/>
      <c r="D9" s="3"/>
      <c r="E9" s="3"/>
      <c r="F9" s="6"/>
      <c r="G9" s="3"/>
      <c r="H9" s="16"/>
      <c r="I9" s="3"/>
      <c r="J9" s="3"/>
      <c r="K9" s="3"/>
      <c r="L9" s="16"/>
      <c r="M9" s="3"/>
      <c r="N9" s="13">
        <v>1</v>
      </c>
      <c r="O9" s="13"/>
      <c r="P9" s="21">
        <f t="shared" ref="P9:P48" si="1">IF(N9&gt;0,IF(N9&lt;=$J$15,(($F$32+$F$33)/$J$15)/((1+($F$11/100))^N9),0),0)</f>
        <v>1478.7901935483867</v>
      </c>
      <c r="Q9" s="22">
        <f t="shared" ref="Q9:Q48" si="2">IF(N9&gt;0,($F$38*((1+($F$14/100))^(N9-1)))/((1+($F$11/100))^N9),0)</f>
        <v>1261.0011424802419</v>
      </c>
      <c r="R9" s="22">
        <f t="shared" ref="R9:R48" si="3">IF(N9&gt;0,$J$31/((1+($F$11/100))^N9),0)</f>
        <v>494.6821599236776</v>
      </c>
      <c r="S9" s="22"/>
      <c r="T9" s="21">
        <f t="shared" ref="T9:T48" si="4">IF(N9=$B$5,((((1-$J$12/100)^N9)*$B$44)/((1+($F$11/100))^N9))*-1,0)</f>
        <v>0</v>
      </c>
      <c r="U9" s="19">
        <f t="shared" si="0"/>
        <v>3234.4734959523062</v>
      </c>
      <c r="V9" s="4"/>
      <c r="W9" s="8"/>
      <c r="X9" s="3"/>
      <c r="Y9" s="3"/>
      <c r="Z9" s="3" t="s">
        <v>176</v>
      </c>
      <c r="AA9" s="24">
        <f>B47</f>
        <v>7478.7096774193542</v>
      </c>
      <c r="AB9" s="3" t="s">
        <v>3</v>
      </c>
      <c r="AC9" s="3"/>
      <c r="AD9" s="8"/>
      <c r="AE9" s="3"/>
      <c r="AF9" s="3"/>
      <c r="AG9" s="3"/>
      <c r="AH9" s="3"/>
    </row>
    <row r="10" spans="1:34" x14ac:dyDescent="0.25">
      <c r="A10" s="23" t="s">
        <v>32</v>
      </c>
      <c r="B10" s="3"/>
      <c r="C10" s="3"/>
      <c r="D10" s="3"/>
      <c r="E10" s="1" t="s">
        <v>33</v>
      </c>
      <c r="F10" s="3"/>
      <c r="G10" s="3"/>
      <c r="H10" s="16"/>
      <c r="I10" s="17" t="s">
        <v>115</v>
      </c>
      <c r="J10" s="27">
        <v>7.2499999999999995E-2</v>
      </c>
      <c r="K10" s="3" t="s">
        <v>116</v>
      </c>
      <c r="L10" s="16"/>
      <c r="M10" s="3"/>
      <c r="N10" s="13">
        <f t="shared" ref="N10:N48" si="5">IF((N9+1)&gt;$B$5,,IF(N9=0,,N9+1))</f>
        <v>2</v>
      </c>
      <c r="O10" s="13"/>
      <c r="P10" s="21">
        <f t="shared" si="1"/>
        <v>1408.3716129032255</v>
      </c>
      <c r="Q10" s="22">
        <f t="shared" si="2"/>
        <v>1212.96300371909</v>
      </c>
      <c r="R10" s="22">
        <f t="shared" si="3"/>
        <v>471.12586659397869</v>
      </c>
      <c r="S10" s="22"/>
      <c r="T10" s="21">
        <f t="shared" si="4"/>
        <v>0</v>
      </c>
      <c r="U10" s="19">
        <f t="shared" si="0"/>
        <v>3092.4604832162941</v>
      </c>
      <c r="V10" s="4"/>
      <c r="W10" s="8"/>
      <c r="X10" s="3"/>
      <c r="Y10" s="3"/>
      <c r="Z10" s="3" t="s">
        <v>40</v>
      </c>
      <c r="AA10" s="8">
        <f>F12</f>
        <v>15224</v>
      </c>
      <c r="AB10" s="3" t="s">
        <v>41</v>
      </c>
      <c r="AC10" s="3"/>
      <c r="AD10" s="8"/>
      <c r="AE10" s="3"/>
      <c r="AF10" s="3"/>
      <c r="AG10" s="3"/>
      <c r="AH10" s="3"/>
    </row>
    <row r="11" spans="1:34" x14ac:dyDescent="0.25">
      <c r="A11" s="25" t="s">
        <v>167</v>
      </c>
      <c r="B11" s="3">
        <v>0</v>
      </c>
      <c r="C11" s="3" t="s">
        <v>36</v>
      </c>
      <c r="D11" s="3"/>
      <c r="E11" s="17" t="s">
        <v>37</v>
      </c>
      <c r="F11" s="3">
        <v>5</v>
      </c>
      <c r="G11" s="3" t="s">
        <v>36</v>
      </c>
      <c r="H11" s="16"/>
      <c r="I11" s="17" t="s">
        <v>50</v>
      </c>
      <c r="J11" s="3">
        <v>30</v>
      </c>
      <c r="K11" s="3" t="s">
        <v>51</v>
      </c>
      <c r="L11" s="16"/>
      <c r="M11" s="3"/>
      <c r="N11" s="13">
        <f t="shared" si="5"/>
        <v>3</v>
      </c>
      <c r="O11" s="13"/>
      <c r="P11" s="21">
        <f t="shared" si="1"/>
        <v>1341.3062980030718</v>
      </c>
      <c r="Q11" s="22">
        <f t="shared" si="2"/>
        <v>1166.7548892916959</v>
      </c>
      <c r="R11" s="22">
        <f t="shared" si="3"/>
        <v>448.69130151807491</v>
      </c>
      <c r="S11" s="22"/>
      <c r="T11" s="21">
        <f t="shared" si="4"/>
        <v>0</v>
      </c>
      <c r="U11" s="19">
        <f t="shared" si="0"/>
        <v>2956.7524888128423</v>
      </c>
      <c r="V11" s="4"/>
      <c r="W11" s="8"/>
      <c r="X11" s="3"/>
      <c r="Y11" s="3"/>
      <c r="Z11" s="17" t="s">
        <v>46</v>
      </c>
      <c r="AA11" s="8">
        <f>J35</f>
        <v>481.07839999999999</v>
      </c>
      <c r="AB11" s="3" t="s">
        <v>47</v>
      </c>
      <c r="AC11" s="3"/>
      <c r="AD11" s="8"/>
      <c r="AE11" s="3"/>
      <c r="AF11" s="3"/>
      <c r="AG11" s="3"/>
      <c r="AH11" s="3"/>
    </row>
    <row r="12" spans="1:34" x14ac:dyDescent="0.25">
      <c r="A12" s="25" t="s">
        <v>42</v>
      </c>
      <c r="B12" s="3">
        <v>0</v>
      </c>
      <c r="C12" s="3" t="s">
        <v>36</v>
      </c>
      <c r="D12" s="3"/>
      <c r="E12" s="17" t="s">
        <v>43</v>
      </c>
      <c r="F12" s="8">
        <v>15224</v>
      </c>
      <c r="G12" s="3" t="s">
        <v>41</v>
      </c>
      <c r="H12" s="16"/>
      <c r="I12" s="17" t="s">
        <v>58</v>
      </c>
      <c r="J12" s="3">
        <v>7.08</v>
      </c>
      <c r="K12" s="3" t="s">
        <v>59</v>
      </c>
      <c r="L12" s="16"/>
      <c r="M12" s="3"/>
      <c r="N12" s="13">
        <f t="shared" si="5"/>
        <v>4</v>
      </c>
      <c r="O12" s="13"/>
      <c r="P12" s="21">
        <f t="shared" si="1"/>
        <v>1277.4345695267352</v>
      </c>
      <c r="Q12" s="22">
        <f t="shared" si="2"/>
        <v>1122.3070839853456</v>
      </c>
      <c r="R12" s="22">
        <f t="shared" si="3"/>
        <v>427.32504906483331</v>
      </c>
      <c r="S12" s="22"/>
      <c r="T12" s="21">
        <f t="shared" si="4"/>
        <v>0</v>
      </c>
      <c r="U12" s="19">
        <f t="shared" si="0"/>
        <v>2827.0667025769144</v>
      </c>
      <c r="V12" s="4"/>
      <c r="W12" s="8"/>
      <c r="X12" s="3"/>
      <c r="Y12" s="3"/>
      <c r="Z12" s="61" t="s">
        <v>194</v>
      </c>
      <c r="AA12" s="67">
        <f>J10</f>
        <v>7.2499999999999995E-2</v>
      </c>
      <c r="AB12" s="61" t="s">
        <v>116</v>
      </c>
      <c r="AC12" s="3"/>
      <c r="AD12" s="8"/>
      <c r="AE12" s="3"/>
      <c r="AF12" s="3"/>
      <c r="AG12" s="3"/>
      <c r="AH12" s="3"/>
    </row>
    <row r="13" spans="1:34" x14ac:dyDescent="0.25">
      <c r="A13" s="25" t="s">
        <v>48</v>
      </c>
      <c r="B13" s="3">
        <v>10</v>
      </c>
      <c r="C13" s="3" t="s">
        <v>36</v>
      </c>
      <c r="D13" s="3"/>
      <c r="E13" s="17" t="s">
        <v>113</v>
      </c>
      <c r="F13" s="8">
        <v>4850</v>
      </c>
      <c r="G13" s="3" t="s">
        <v>117</v>
      </c>
      <c r="H13" s="16"/>
      <c r="I13" s="17"/>
      <c r="J13" s="8"/>
      <c r="K13" s="3"/>
      <c r="L13" s="16"/>
      <c r="M13" s="3"/>
      <c r="N13" s="13">
        <f t="shared" si="5"/>
        <v>5</v>
      </c>
      <c r="O13" s="13"/>
      <c r="P13" s="21">
        <f t="shared" si="1"/>
        <v>1216.6043519302239</v>
      </c>
      <c r="Q13" s="22">
        <f t="shared" si="2"/>
        <v>1079.5525284049515</v>
      </c>
      <c r="R13" s="22">
        <f t="shared" si="3"/>
        <v>406.97623720460308</v>
      </c>
      <c r="S13" s="22"/>
      <c r="T13" s="21">
        <f t="shared" si="4"/>
        <v>0</v>
      </c>
      <c r="U13" s="19">
        <f t="shared" si="0"/>
        <v>2703.1331175397786</v>
      </c>
      <c r="V13" s="4"/>
      <c r="W13" s="8"/>
      <c r="X13" s="3"/>
      <c r="Y13" s="3"/>
      <c r="Z13" s="3"/>
      <c r="AA13" s="3"/>
      <c r="AB13" s="3"/>
      <c r="AC13" s="3"/>
      <c r="AD13" s="8"/>
      <c r="AE13" s="3"/>
      <c r="AF13" s="3"/>
      <c r="AG13" s="3"/>
      <c r="AH13" s="3"/>
    </row>
    <row r="14" spans="1:34" x14ac:dyDescent="0.25">
      <c r="A14" s="25"/>
      <c r="B14" s="3"/>
      <c r="C14" s="3"/>
      <c r="D14" s="3"/>
      <c r="E14" s="17" t="s">
        <v>118</v>
      </c>
      <c r="F14" s="3">
        <v>1</v>
      </c>
      <c r="G14" s="3" t="s">
        <v>53</v>
      </c>
      <c r="H14" s="16"/>
      <c r="I14" s="1" t="s">
        <v>66</v>
      </c>
      <c r="J14" s="3"/>
      <c r="K14" s="3"/>
      <c r="L14" s="16"/>
      <c r="M14" s="3"/>
      <c r="N14" s="13">
        <f t="shared" si="5"/>
        <v>6</v>
      </c>
      <c r="O14" s="13"/>
      <c r="P14" s="21">
        <f t="shared" si="1"/>
        <v>0</v>
      </c>
      <c r="Q14" s="22">
        <f t="shared" si="2"/>
        <v>1038.4267177990487</v>
      </c>
      <c r="R14" s="22">
        <f t="shared" si="3"/>
        <v>387.59641638533634</v>
      </c>
      <c r="S14" s="22"/>
      <c r="T14" s="21">
        <f t="shared" si="4"/>
        <v>0</v>
      </c>
      <c r="U14" s="19">
        <f t="shared" si="0"/>
        <v>1426.0231341843851</v>
      </c>
      <c r="V14" s="4"/>
      <c r="W14" s="8"/>
      <c r="X14" s="3"/>
      <c r="Y14" s="3"/>
      <c r="Z14" s="3"/>
      <c r="AA14" s="3"/>
      <c r="AB14" s="3"/>
      <c r="AC14" s="3"/>
      <c r="AD14" s="8"/>
      <c r="AE14" s="3"/>
      <c r="AF14" s="3"/>
      <c r="AG14" s="3"/>
      <c r="AH14" s="3"/>
    </row>
    <row r="15" spans="1:34" x14ac:dyDescent="0.25">
      <c r="A15" s="17" t="s">
        <v>55</v>
      </c>
      <c r="B15" s="3">
        <v>30</v>
      </c>
      <c r="C15" s="3" t="s">
        <v>36</v>
      </c>
      <c r="D15" s="3"/>
      <c r="E15" s="17" t="s">
        <v>119</v>
      </c>
      <c r="F15" s="3">
        <v>0</v>
      </c>
      <c r="G15" s="3" t="s">
        <v>57</v>
      </c>
      <c r="H15" s="16"/>
      <c r="I15" s="17" t="s">
        <v>72</v>
      </c>
      <c r="J15" s="3">
        <v>5</v>
      </c>
      <c r="K15" s="3" t="s">
        <v>51</v>
      </c>
      <c r="L15" s="16"/>
      <c r="M15" s="3"/>
      <c r="N15" s="13">
        <f t="shared" si="5"/>
        <v>7</v>
      </c>
      <c r="O15" s="13"/>
      <c r="P15" s="21">
        <f t="shared" si="1"/>
        <v>0</v>
      </c>
      <c r="Q15" s="22">
        <f t="shared" si="2"/>
        <v>998.86760474003722</v>
      </c>
      <c r="R15" s="22">
        <f t="shared" si="3"/>
        <v>369.13944417651072</v>
      </c>
      <c r="S15" s="22"/>
      <c r="T15" s="21">
        <f t="shared" si="4"/>
        <v>0</v>
      </c>
      <c r="U15" s="19">
        <f t="shared" si="0"/>
        <v>1368.007048916548</v>
      </c>
      <c r="V15" s="4"/>
      <c r="W15" s="8"/>
      <c r="X15" s="3"/>
      <c r="Y15" s="3"/>
      <c r="Z15" s="3"/>
      <c r="AA15" s="3"/>
      <c r="AB15" s="3"/>
      <c r="AC15" s="3"/>
      <c r="AD15" s="8"/>
      <c r="AE15" s="3"/>
      <c r="AF15" s="3"/>
      <c r="AG15" s="3"/>
      <c r="AH15" s="3"/>
    </row>
    <row r="16" spans="1:34" x14ac:dyDescent="0.25">
      <c r="A16" s="25" t="s">
        <v>131</v>
      </c>
      <c r="B16" s="3">
        <v>15</v>
      </c>
      <c r="C16" s="3" t="s">
        <v>36</v>
      </c>
      <c r="D16" s="3"/>
      <c r="E16" s="17" t="s">
        <v>175</v>
      </c>
      <c r="F16" s="8">
        <v>155000</v>
      </c>
      <c r="G16" s="3" t="s">
        <v>57</v>
      </c>
      <c r="H16" s="16"/>
      <c r="I16" s="17" t="s">
        <v>75</v>
      </c>
      <c r="J16" s="3">
        <v>30</v>
      </c>
      <c r="K16" s="3" t="s">
        <v>76</v>
      </c>
      <c r="L16" s="16"/>
      <c r="M16" s="3"/>
      <c r="N16" s="13">
        <f t="shared" si="5"/>
        <v>8</v>
      </c>
      <c r="O16" s="13"/>
      <c r="P16" s="21">
        <f t="shared" si="1"/>
        <v>0</v>
      </c>
      <c r="Q16" s="22">
        <f t="shared" si="2"/>
        <v>960.81550551184523</v>
      </c>
      <c r="R16" s="22">
        <f t="shared" si="3"/>
        <v>351.56137540620074</v>
      </c>
      <c r="S16" s="22"/>
      <c r="T16" s="21">
        <f t="shared" si="4"/>
        <v>0</v>
      </c>
      <c r="U16" s="19">
        <f t="shared" si="0"/>
        <v>1312.376880918046</v>
      </c>
      <c r="V16" s="4"/>
      <c r="W16" s="8"/>
      <c r="X16" s="3"/>
      <c r="Y16" s="3"/>
      <c r="Z16" s="3"/>
      <c r="AA16" s="3"/>
      <c r="AB16" s="3"/>
      <c r="AC16" s="3"/>
      <c r="AD16" s="8"/>
      <c r="AE16" s="3"/>
      <c r="AF16" s="3"/>
      <c r="AG16" s="3"/>
      <c r="AH16" s="3"/>
    </row>
    <row r="17" spans="1:41" x14ac:dyDescent="0.25">
      <c r="A17" s="25"/>
      <c r="B17" s="3"/>
      <c r="C17" s="3"/>
      <c r="D17" s="3"/>
      <c r="E17" s="17" t="s">
        <v>46</v>
      </c>
      <c r="F17" s="7">
        <v>127.75880000000001</v>
      </c>
      <c r="G17" s="70" t="s">
        <v>142</v>
      </c>
      <c r="H17" s="16"/>
      <c r="I17" s="3"/>
      <c r="J17" s="3"/>
      <c r="K17" s="3"/>
      <c r="L17" s="16"/>
      <c r="M17" s="3"/>
      <c r="N17" s="13">
        <f t="shared" si="5"/>
        <v>9</v>
      </c>
      <c r="O17" s="13"/>
      <c r="P17" s="21">
        <f t="shared" si="1"/>
        <v>0</v>
      </c>
      <c r="Q17" s="22">
        <f t="shared" si="2"/>
        <v>924.21301006377519</v>
      </c>
      <c r="R17" s="22">
        <f t="shared" si="3"/>
        <v>334.82035752971495</v>
      </c>
      <c r="S17" s="22"/>
      <c r="T17" s="21">
        <f t="shared" si="4"/>
        <v>0</v>
      </c>
      <c r="U17" s="19">
        <f t="shared" si="0"/>
        <v>1259.0333675934901</v>
      </c>
      <c r="V17" s="4"/>
      <c r="W17" s="8"/>
      <c r="X17" s="3"/>
      <c r="Y17" s="3"/>
      <c r="Z17" s="3"/>
      <c r="AA17" s="3"/>
      <c r="AB17" s="3"/>
      <c r="AC17" s="3"/>
      <c r="AD17" s="8"/>
      <c r="AE17" s="3"/>
      <c r="AF17" s="3"/>
      <c r="AG17" s="3"/>
      <c r="AH17" s="3"/>
    </row>
    <row r="18" spans="1:41" x14ac:dyDescent="0.25">
      <c r="A18" s="25"/>
      <c r="B18" s="8"/>
      <c r="C18" s="3"/>
      <c r="D18" s="3"/>
      <c r="E18" s="17" t="s">
        <v>71</v>
      </c>
      <c r="F18" s="3">
        <v>9.66</v>
      </c>
      <c r="G18" s="3" t="s">
        <v>59</v>
      </c>
      <c r="H18" s="16"/>
      <c r="I18" s="17"/>
      <c r="J18" s="3"/>
      <c r="K18" s="3"/>
      <c r="L18" s="16"/>
      <c r="M18" s="3"/>
      <c r="N18" s="13">
        <f t="shared" si="5"/>
        <v>10</v>
      </c>
      <c r="O18" s="13"/>
      <c r="P18" s="21">
        <f t="shared" si="1"/>
        <v>0</v>
      </c>
      <c r="Q18" s="22">
        <f t="shared" si="2"/>
        <v>889.00489539467901</v>
      </c>
      <c r="R18" s="22">
        <f t="shared" si="3"/>
        <v>318.87653098068091</v>
      </c>
      <c r="S18" s="22"/>
      <c r="T18" s="21">
        <f t="shared" si="4"/>
        <v>-1573.6120016099569</v>
      </c>
      <c r="U18" s="19">
        <f t="shared" si="0"/>
        <v>-365.73057523459693</v>
      </c>
      <c r="V18" s="4"/>
      <c r="W18" s="8"/>
      <c r="X18" s="3"/>
      <c r="Y18" s="3"/>
      <c r="Z18" s="3"/>
      <c r="AA18" s="3"/>
      <c r="AB18" s="3"/>
      <c r="AC18" s="3"/>
      <c r="AD18" s="8"/>
      <c r="AE18" s="3"/>
      <c r="AF18" s="3"/>
      <c r="AG18" s="3"/>
      <c r="AH18" s="3"/>
    </row>
    <row r="19" spans="1:41" x14ac:dyDescent="0.25">
      <c r="A19" s="25"/>
      <c r="B19" s="3"/>
      <c r="C19" s="3"/>
      <c r="D19" s="3"/>
      <c r="E19" s="17"/>
      <c r="F19" s="8"/>
      <c r="G19" s="3"/>
      <c r="H19" s="16"/>
      <c r="I19" s="3"/>
      <c r="J19" s="3"/>
      <c r="K19" s="3"/>
      <c r="L19" s="16"/>
      <c r="M19" s="3"/>
      <c r="N19" s="13">
        <f t="shared" si="5"/>
        <v>0</v>
      </c>
      <c r="O19" s="13"/>
      <c r="P19" s="21">
        <f t="shared" si="1"/>
        <v>0</v>
      </c>
      <c r="Q19" s="22">
        <f t="shared" si="2"/>
        <v>0</v>
      </c>
      <c r="R19" s="22">
        <f t="shared" si="3"/>
        <v>0</v>
      </c>
      <c r="S19" s="22"/>
      <c r="T19" s="21">
        <f t="shared" si="4"/>
        <v>0</v>
      </c>
      <c r="U19" s="19">
        <f t="shared" si="0"/>
        <v>0</v>
      </c>
      <c r="V19" s="4"/>
      <c r="W19" s="8"/>
      <c r="X19" s="3"/>
      <c r="Y19" s="3"/>
      <c r="Z19" s="3"/>
      <c r="AA19" s="3"/>
      <c r="AB19" s="3"/>
      <c r="AC19" s="3"/>
      <c r="AD19" s="8"/>
      <c r="AE19" s="3"/>
      <c r="AF19" s="3"/>
      <c r="AG19" s="3"/>
      <c r="AH19" s="3"/>
    </row>
    <row r="20" spans="1:41" x14ac:dyDescent="0.25">
      <c r="A20" s="25"/>
      <c r="B20" s="3"/>
      <c r="C20" s="3"/>
      <c r="D20" s="3"/>
      <c r="E20" s="87"/>
      <c r="F20" s="87"/>
      <c r="G20" s="87"/>
      <c r="H20" s="16"/>
      <c r="I20" s="3"/>
      <c r="J20" s="3"/>
      <c r="K20" s="3"/>
      <c r="L20" s="16"/>
      <c r="M20" s="3"/>
      <c r="N20" s="13">
        <f t="shared" si="5"/>
        <v>0</v>
      </c>
      <c r="O20" s="13"/>
      <c r="P20" s="21">
        <f t="shared" si="1"/>
        <v>0</v>
      </c>
      <c r="Q20" s="22">
        <f t="shared" si="2"/>
        <v>0</v>
      </c>
      <c r="R20" s="22">
        <f t="shared" si="3"/>
        <v>0</v>
      </c>
      <c r="S20" s="22"/>
      <c r="T20" s="21">
        <f t="shared" si="4"/>
        <v>0</v>
      </c>
      <c r="U20" s="19">
        <f t="shared" si="0"/>
        <v>0</v>
      </c>
      <c r="V20" s="4"/>
      <c r="W20" s="8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41" ht="15.75" customHeight="1" x14ac:dyDescent="0.25">
      <c r="A21" s="25"/>
      <c r="B21" s="3"/>
      <c r="C21" s="3"/>
      <c r="D21" s="3"/>
      <c r="E21" s="87"/>
      <c r="F21" s="87"/>
      <c r="G21" s="87"/>
      <c r="H21" s="16"/>
      <c r="I21" s="3"/>
      <c r="J21" s="3"/>
      <c r="K21" s="3"/>
      <c r="L21" s="16"/>
      <c r="M21" s="3"/>
      <c r="N21" s="13">
        <f t="shared" si="5"/>
        <v>0</v>
      </c>
      <c r="O21" s="13"/>
      <c r="P21" s="21">
        <f t="shared" si="1"/>
        <v>0</v>
      </c>
      <c r="Q21" s="22">
        <f t="shared" si="2"/>
        <v>0</v>
      </c>
      <c r="R21" s="22">
        <f t="shared" si="3"/>
        <v>0</v>
      </c>
      <c r="S21" s="22"/>
      <c r="T21" s="21">
        <f t="shared" si="4"/>
        <v>0</v>
      </c>
      <c r="U21" s="19">
        <f t="shared" si="0"/>
        <v>0</v>
      </c>
      <c r="V21" s="4"/>
      <c r="W21" s="8"/>
      <c r="X21" s="3"/>
      <c r="Y21" s="3"/>
      <c r="Z21" s="28" t="s">
        <v>113</v>
      </c>
      <c r="AA21" s="29"/>
      <c r="AB21" s="29"/>
      <c r="AC21" s="29"/>
      <c r="AD21" s="3"/>
      <c r="AE21" s="28" t="s">
        <v>26</v>
      </c>
      <c r="AF21" s="29"/>
      <c r="AG21" s="29"/>
      <c r="AH21" s="29"/>
      <c r="AJ21" s="116" t="s">
        <v>182</v>
      </c>
      <c r="AK21" s="116" t="s">
        <v>184</v>
      </c>
      <c r="AL21" s="116" t="s">
        <v>192</v>
      </c>
      <c r="AM21" s="116" t="s">
        <v>187</v>
      </c>
      <c r="AN21" s="116" t="s">
        <v>186</v>
      </c>
      <c r="AO21" s="123" t="str">
        <f>Z51</f>
        <v>Energy Efficiency</v>
      </c>
    </row>
    <row r="22" spans="1:41" ht="15.75" customHeight="1" x14ac:dyDescent="0.25">
      <c r="A22" s="25"/>
      <c r="B22" s="3"/>
      <c r="C22" s="3"/>
      <c r="D22" s="3"/>
      <c r="E22" s="3"/>
      <c r="F22" s="7"/>
      <c r="G22" s="3"/>
      <c r="H22" s="16"/>
      <c r="I22" s="3"/>
      <c r="J22" s="3"/>
      <c r="K22" s="3"/>
      <c r="L22" s="16"/>
      <c r="M22" s="3"/>
      <c r="N22" s="13">
        <f t="shared" si="5"/>
        <v>0</v>
      </c>
      <c r="O22" s="13"/>
      <c r="P22" s="21">
        <f t="shared" si="1"/>
        <v>0</v>
      </c>
      <c r="Q22" s="22">
        <f t="shared" si="2"/>
        <v>0</v>
      </c>
      <c r="R22" s="22">
        <f t="shared" si="3"/>
        <v>0</v>
      </c>
      <c r="S22" s="22"/>
      <c r="T22" s="21">
        <f t="shared" si="4"/>
        <v>0</v>
      </c>
      <c r="U22" s="19">
        <f t="shared" si="0"/>
        <v>0</v>
      </c>
      <c r="V22" s="4"/>
      <c r="W22" s="8"/>
      <c r="X22" s="3"/>
      <c r="Y22" s="3"/>
      <c r="Z22" s="29" t="s">
        <v>67</v>
      </c>
      <c r="AA22" s="29" t="s">
        <v>121</v>
      </c>
      <c r="AB22" s="29" t="s">
        <v>22</v>
      </c>
      <c r="AC22" s="29" t="s">
        <v>69</v>
      </c>
      <c r="AD22" s="3"/>
      <c r="AE22" s="29" t="s">
        <v>67</v>
      </c>
      <c r="AF22" s="29" t="s">
        <v>70</v>
      </c>
      <c r="AG22" s="29" t="s">
        <v>22</v>
      </c>
      <c r="AH22" s="29" t="s">
        <v>69</v>
      </c>
      <c r="AJ22" s="117">
        <v>-50</v>
      </c>
      <c r="AK22" s="118">
        <f>AH24</f>
        <v>-20.324692733670343</v>
      </c>
      <c r="AL22" s="118">
        <f>AC24</f>
        <v>-24.150622044589024</v>
      </c>
      <c r="AM22" s="119">
        <f t="shared" ref="AM22:AM32" si="6">AC39</f>
        <v>-8.4207387183996243</v>
      </c>
      <c r="AN22" s="119">
        <f t="shared" ref="AN22:AN32" si="7">AH39</f>
        <v>-32.57136076298864</v>
      </c>
      <c r="AO22" s="124">
        <f>AC54</f>
        <v>24.150622044588989</v>
      </c>
    </row>
    <row r="23" spans="1:41" ht="15.75" customHeight="1" x14ac:dyDescent="0.25">
      <c r="A23" s="3"/>
      <c r="B23" s="3"/>
      <c r="C23" s="3"/>
      <c r="D23" s="3"/>
      <c r="E23" s="3"/>
      <c r="F23" s="3"/>
      <c r="G23" s="3"/>
      <c r="H23" s="16"/>
      <c r="I23" s="3"/>
      <c r="J23" s="3"/>
      <c r="K23" s="3"/>
      <c r="L23" s="16"/>
      <c r="M23" s="3"/>
      <c r="N23" s="13">
        <f t="shared" si="5"/>
        <v>0</v>
      </c>
      <c r="O23" s="13"/>
      <c r="P23" s="21">
        <f t="shared" si="1"/>
        <v>0</v>
      </c>
      <c r="Q23" s="22">
        <f t="shared" si="2"/>
        <v>0</v>
      </c>
      <c r="R23" s="22">
        <f t="shared" si="3"/>
        <v>0</v>
      </c>
      <c r="S23" s="22"/>
      <c r="T23" s="21">
        <f t="shared" si="4"/>
        <v>0</v>
      </c>
      <c r="U23" s="19">
        <f t="shared" si="0"/>
        <v>0</v>
      </c>
      <c r="V23" s="4"/>
      <c r="W23" s="8"/>
      <c r="X23" s="3"/>
      <c r="Y23" s="3"/>
      <c r="Z23" s="29" t="s">
        <v>74</v>
      </c>
      <c r="AA23" s="30">
        <v>1.1996042542666336</v>
      </c>
      <c r="AB23" s="31">
        <f>U49</f>
        <v>22057.209047701817</v>
      </c>
      <c r="AC23" s="29"/>
      <c r="AD23" s="3"/>
      <c r="AE23" s="29" t="s">
        <v>74</v>
      </c>
      <c r="AF23" s="32">
        <v>7478.7096774193542</v>
      </c>
      <c r="AG23" s="31">
        <f>U49</f>
        <v>22057.209047701817</v>
      </c>
      <c r="AH23" s="29"/>
      <c r="AJ23" s="117">
        <v>-40</v>
      </c>
      <c r="AK23" s="118">
        <f>AH25</f>
        <v>-16.259754186936277</v>
      </c>
      <c r="AL23" s="118">
        <f t="shared" ref="AL23:AL32" si="8">AC25</f>
        <v>-19.320497635671213</v>
      </c>
      <c r="AM23" s="119">
        <f t="shared" si="6"/>
        <v>-6.7365909747197055</v>
      </c>
      <c r="AN23" s="119">
        <f t="shared" si="7"/>
        <v>-26.05708861039091</v>
      </c>
      <c r="AO23" s="124">
        <f t="shared" ref="AO23:AO32" si="9">AC55</f>
        <v>19.320497635671163</v>
      </c>
    </row>
    <row r="24" spans="1:41" ht="15.75" customHeight="1" x14ac:dyDescent="0.25">
      <c r="A24" s="15"/>
      <c r="B24" s="3"/>
      <c r="C24" s="3"/>
      <c r="D24" s="3"/>
      <c r="E24" s="3"/>
      <c r="F24" s="3"/>
      <c r="G24" s="3"/>
      <c r="H24" s="16"/>
      <c r="I24" s="3"/>
      <c r="J24" s="3"/>
      <c r="K24" s="3"/>
      <c r="L24" s="16"/>
      <c r="M24" s="3"/>
      <c r="N24" s="13">
        <f t="shared" si="5"/>
        <v>0</v>
      </c>
      <c r="O24" s="13"/>
      <c r="P24" s="21">
        <f t="shared" si="1"/>
        <v>0</v>
      </c>
      <c r="Q24" s="22">
        <f t="shared" si="2"/>
        <v>0</v>
      </c>
      <c r="R24" s="22">
        <f t="shared" si="3"/>
        <v>0</v>
      </c>
      <c r="S24" s="22"/>
      <c r="T24" s="21">
        <f t="shared" si="4"/>
        <v>0</v>
      </c>
      <c r="U24" s="19">
        <f t="shared" si="0"/>
        <v>0</v>
      </c>
      <c r="V24" s="4"/>
      <c r="W24" s="8"/>
      <c r="X24" s="3"/>
      <c r="Y24" s="3"/>
      <c r="Z24" s="29">
        <f t="shared" ref="Z24:Z28" si="10">Z25-10</f>
        <v>-50</v>
      </c>
      <c r="AA24" s="30">
        <f t="shared" ref="AA24:AA34" si="11">$AA$23*(1+(Z24/100))</f>
        <v>0.59980212713331682</v>
      </c>
      <c r="AB24" s="31">
        <f t="dataTable" ref="AB24:AB34" dt2D="0" dtr="0" r1="F36" ca="1"/>
        <v>16730.255857006458</v>
      </c>
      <c r="AC24" s="34">
        <f t="shared" ref="AC24:AC34" si="12">100*((AB24-$AB$29)/$AB$29)</f>
        <v>-24.150622044589024</v>
      </c>
      <c r="AD24" s="3"/>
      <c r="AE24" s="29">
        <f t="shared" ref="AE24:AE28" si="13">AE25-10</f>
        <v>-50</v>
      </c>
      <c r="AF24" s="32">
        <f t="shared" ref="AF24:AF34" si="14">$AF$23*(1+(AE24/100))</f>
        <v>3739.3548387096771</v>
      </c>
      <c r="AG24" s="31">
        <f t="dataTable" ref="AG24:AG34" dt2D="0" dtr="0" r1="B47" ca="1"/>
        <v>17574.149083133088</v>
      </c>
      <c r="AH24" s="34">
        <f t="shared" ref="AH24:AH34" si="15">100*((AG24-$AG$29)/$AG$29)</f>
        <v>-20.324692733670343</v>
      </c>
      <c r="AJ24" s="117">
        <v>-30</v>
      </c>
      <c r="AK24" s="118">
        <f t="shared" ref="AK24:AK32" si="16">AH26</f>
        <v>-12.194815640202206</v>
      </c>
      <c r="AL24" s="118">
        <f t="shared" si="8"/>
        <v>-14.4903732267534</v>
      </c>
      <c r="AM24" s="119">
        <f t="shared" si="6"/>
        <v>-5.0524432310398044</v>
      </c>
      <c r="AN24" s="119">
        <f t="shared" si="7"/>
        <v>-19.542816457793204</v>
      </c>
      <c r="AO24" s="124">
        <f t="shared" si="9"/>
        <v>14.490373226753416</v>
      </c>
    </row>
    <row r="25" spans="1:41" ht="15.75" customHeight="1" x14ac:dyDescent="0.25">
      <c r="A25" s="15"/>
      <c r="B25" s="3"/>
      <c r="C25" s="3"/>
      <c r="D25" s="3"/>
      <c r="E25" s="3"/>
      <c r="F25" s="3"/>
      <c r="G25" s="3"/>
      <c r="H25" s="16"/>
      <c r="I25" s="3"/>
      <c r="J25" s="3"/>
      <c r="K25" s="3"/>
      <c r="L25" s="16"/>
      <c r="M25" s="3"/>
      <c r="N25" s="13">
        <f t="shared" si="5"/>
        <v>0</v>
      </c>
      <c r="O25" s="13"/>
      <c r="P25" s="21">
        <f t="shared" si="1"/>
        <v>0</v>
      </c>
      <c r="Q25" s="22">
        <f t="shared" si="2"/>
        <v>0</v>
      </c>
      <c r="R25" s="22">
        <f t="shared" si="3"/>
        <v>0</v>
      </c>
      <c r="S25" s="22"/>
      <c r="T25" s="21">
        <f t="shared" si="4"/>
        <v>0</v>
      </c>
      <c r="U25" s="19">
        <f t="shared" si="0"/>
        <v>0</v>
      </c>
      <c r="V25" s="4"/>
      <c r="W25" s="8"/>
      <c r="X25" s="3"/>
      <c r="Y25" s="3"/>
      <c r="Z25" s="29">
        <f t="shared" si="10"/>
        <v>-40</v>
      </c>
      <c r="AA25" s="30">
        <f t="shared" si="11"/>
        <v>0.71976255255998012</v>
      </c>
      <c r="AB25" s="31">
        <v>17795.646495145531</v>
      </c>
      <c r="AC25" s="34">
        <f t="shared" si="12"/>
        <v>-19.320497635671213</v>
      </c>
      <c r="AD25" s="3"/>
      <c r="AE25" s="29">
        <f t="shared" si="13"/>
        <v>-40</v>
      </c>
      <c r="AF25" s="32">
        <f t="shared" si="14"/>
        <v>4487.2258064516127</v>
      </c>
      <c r="AG25" s="31">
        <v>18470.761076046834</v>
      </c>
      <c r="AH25" s="34">
        <f t="shared" si="15"/>
        <v>-16.259754186936277</v>
      </c>
      <c r="AJ25" s="117">
        <v>-20</v>
      </c>
      <c r="AK25" s="118">
        <f t="shared" si="16"/>
        <v>-8.1298770934681386</v>
      </c>
      <c r="AL25" s="118">
        <f t="shared" si="8"/>
        <v>-9.6602488178356403</v>
      </c>
      <c r="AM25" s="119">
        <f t="shared" si="6"/>
        <v>-3.368295487359886</v>
      </c>
      <c r="AN25" s="119">
        <f t="shared" si="7"/>
        <v>-13.028544305195458</v>
      </c>
      <c r="AO25" s="124">
        <f t="shared" si="9"/>
        <v>9.6602488178355905</v>
      </c>
    </row>
    <row r="26" spans="1:41" ht="15.75" customHeight="1" x14ac:dyDescent="0.25">
      <c r="A26" s="36"/>
      <c r="B26" s="37"/>
      <c r="C26" s="37"/>
      <c r="D26" s="37"/>
      <c r="E26" s="37"/>
      <c r="F26" s="37"/>
      <c r="G26" s="37"/>
      <c r="H26" s="38"/>
      <c r="I26" s="37"/>
      <c r="J26" s="37"/>
      <c r="K26" s="37"/>
      <c r="L26" s="38"/>
      <c r="M26" s="3"/>
      <c r="N26" s="13">
        <f t="shared" si="5"/>
        <v>0</v>
      </c>
      <c r="O26" s="13"/>
      <c r="P26" s="21">
        <f t="shared" si="1"/>
        <v>0</v>
      </c>
      <c r="Q26" s="22">
        <f t="shared" si="2"/>
        <v>0</v>
      </c>
      <c r="R26" s="22">
        <f t="shared" si="3"/>
        <v>0</v>
      </c>
      <c r="S26" s="22"/>
      <c r="T26" s="21">
        <f t="shared" si="4"/>
        <v>0</v>
      </c>
      <c r="U26" s="19">
        <f t="shared" si="0"/>
        <v>0</v>
      </c>
      <c r="V26" s="4"/>
      <c r="W26" s="8"/>
      <c r="X26" s="3"/>
      <c r="Y26" s="3"/>
      <c r="Z26" s="29">
        <f t="shared" si="10"/>
        <v>-30</v>
      </c>
      <c r="AA26" s="30">
        <f t="shared" si="11"/>
        <v>0.83972297798664353</v>
      </c>
      <c r="AB26" s="31">
        <v>18861.037133284604</v>
      </c>
      <c r="AC26" s="34">
        <f t="shared" si="12"/>
        <v>-14.4903732267534</v>
      </c>
      <c r="AD26" s="3"/>
      <c r="AE26" s="29">
        <f t="shared" si="13"/>
        <v>-30</v>
      </c>
      <c r="AF26" s="32">
        <f t="shared" si="14"/>
        <v>5235.0967741935474</v>
      </c>
      <c r="AG26" s="31">
        <v>19367.37306896058</v>
      </c>
      <c r="AH26" s="34">
        <f t="shared" si="15"/>
        <v>-12.194815640202206</v>
      </c>
      <c r="AJ26" s="117">
        <v>-10</v>
      </c>
      <c r="AK26" s="118">
        <f t="shared" si="16"/>
        <v>-4.0649385467340693</v>
      </c>
      <c r="AL26" s="118">
        <f t="shared" si="8"/>
        <v>-4.8301244089177953</v>
      </c>
      <c r="AM26" s="119">
        <f t="shared" si="6"/>
        <v>-1.684147743679951</v>
      </c>
      <c r="AN26" s="119">
        <f t="shared" si="7"/>
        <v>-6.5142721525977292</v>
      </c>
      <c r="AO26" s="124">
        <f t="shared" si="9"/>
        <v>4.8301244089177953</v>
      </c>
    </row>
    <row r="27" spans="1:4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8"/>
      <c r="K27" s="3"/>
      <c r="L27" s="3"/>
      <c r="M27" s="3"/>
      <c r="N27" s="13">
        <f t="shared" si="5"/>
        <v>0</v>
      </c>
      <c r="O27" s="13"/>
      <c r="P27" s="21">
        <f t="shared" si="1"/>
        <v>0</v>
      </c>
      <c r="Q27" s="22">
        <f t="shared" si="2"/>
        <v>0</v>
      </c>
      <c r="R27" s="22">
        <f t="shared" si="3"/>
        <v>0</v>
      </c>
      <c r="S27" s="22"/>
      <c r="T27" s="21">
        <f t="shared" si="4"/>
        <v>0</v>
      </c>
      <c r="U27" s="19">
        <f t="shared" si="0"/>
        <v>0</v>
      </c>
      <c r="V27" s="4"/>
      <c r="W27" s="8"/>
      <c r="X27" s="3"/>
      <c r="Y27" s="3"/>
      <c r="Z27" s="29">
        <f t="shared" si="10"/>
        <v>-20</v>
      </c>
      <c r="AA27" s="30">
        <f t="shared" si="11"/>
        <v>0.95968340341330693</v>
      </c>
      <c r="AB27" s="31">
        <v>19926.427771423667</v>
      </c>
      <c r="AC27" s="34">
        <f t="shared" si="12"/>
        <v>-9.6602488178356403</v>
      </c>
      <c r="AD27" s="3"/>
      <c r="AE27" s="29">
        <f t="shared" si="13"/>
        <v>-20</v>
      </c>
      <c r="AF27" s="32">
        <f t="shared" si="14"/>
        <v>5982.9677419354839</v>
      </c>
      <c r="AG27" s="31">
        <v>20263.985061874326</v>
      </c>
      <c r="AH27" s="34">
        <f t="shared" si="15"/>
        <v>-8.1298770934681386</v>
      </c>
      <c r="AJ27" s="117">
        <v>0</v>
      </c>
      <c r="AK27" s="118">
        <f t="shared" si="16"/>
        <v>0</v>
      </c>
      <c r="AL27" s="118">
        <f t="shared" si="8"/>
        <v>0</v>
      </c>
      <c r="AM27" s="119">
        <f t="shared" si="6"/>
        <v>0</v>
      </c>
      <c r="AN27" s="119">
        <f t="shared" si="7"/>
        <v>0</v>
      </c>
      <c r="AO27" s="124">
        <f t="shared" si="9"/>
        <v>0</v>
      </c>
    </row>
    <row r="28" spans="1:41" ht="15.75" customHeight="1" x14ac:dyDescent="0.25">
      <c r="A28" s="1" t="s">
        <v>77</v>
      </c>
      <c r="B28" s="3"/>
      <c r="C28" s="3"/>
      <c r="D28" s="3"/>
      <c r="E28" s="3"/>
      <c r="F28" s="3"/>
      <c r="G28" s="3"/>
      <c r="H28" s="3"/>
      <c r="I28" s="3"/>
      <c r="J28" s="8"/>
      <c r="K28" s="3"/>
      <c r="L28" s="3"/>
      <c r="M28" s="3"/>
      <c r="N28" s="13">
        <f t="shared" si="5"/>
        <v>0</v>
      </c>
      <c r="O28" s="13"/>
      <c r="P28" s="21">
        <f t="shared" si="1"/>
        <v>0</v>
      </c>
      <c r="Q28" s="22">
        <f t="shared" si="2"/>
        <v>0</v>
      </c>
      <c r="R28" s="22">
        <f t="shared" si="3"/>
        <v>0</v>
      </c>
      <c r="S28" s="22"/>
      <c r="T28" s="21">
        <f t="shared" si="4"/>
        <v>0</v>
      </c>
      <c r="U28" s="19">
        <f t="shared" si="0"/>
        <v>0</v>
      </c>
      <c r="V28" s="4"/>
      <c r="W28" s="8"/>
      <c r="X28" s="3"/>
      <c r="Y28" s="3"/>
      <c r="Z28" s="29">
        <f t="shared" si="10"/>
        <v>-10</v>
      </c>
      <c r="AA28" s="30">
        <f t="shared" si="11"/>
        <v>1.0796438288399703</v>
      </c>
      <c r="AB28" s="31">
        <v>20991.818409562748</v>
      </c>
      <c r="AC28" s="34">
        <f t="shared" si="12"/>
        <v>-4.8301244089177953</v>
      </c>
      <c r="AD28" s="3"/>
      <c r="AE28" s="29">
        <f t="shared" si="13"/>
        <v>-10</v>
      </c>
      <c r="AF28" s="32">
        <f t="shared" si="14"/>
        <v>6730.8387096774186</v>
      </c>
      <c r="AG28" s="31">
        <v>21160.597054788072</v>
      </c>
      <c r="AH28" s="34">
        <f t="shared" si="15"/>
        <v>-4.0649385467340693</v>
      </c>
      <c r="AJ28" s="117">
        <v>10</v>
      </c>
      <c r="AK28" s="118">
        <f t="shared" si="16"/>
        <v>4.0649385467340693</v>
      </c>
      <c r="AL28" s="118">
        <f t="shared" si="8"/>
        <v>4.8301244089177953</v>
      </c>
      <c r="AM28" s="119">
        <f t="shared" si="6"/>
        <v>1.6841477436799017</v>
      </c>
      <c r="AN28" s="119">
        <f t="shared" si="7"/>
        <v>6.5142721525976972</v>
      </c>
      <c r="AO28" s="124">
        <f t="shared" si="9"/>
        <v>-4.8301244089177953</v>
      </c>
    </row>
    <row r="29" spans="1:4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8"/>
      <c r="K29" s="3"/>
      <c r="L29" s="3"/>
      <c r="M29" s="3"/>
      <c r="N29" s="13">
        <f t="shared" si="5"/>
        <v>0</v>
      </c>
      <c r="O29" s="13"/>
      <c r="P29" s="21">
        <f t="shared" si="1"/>
        <v>0</v>
      </c>
      <c r="Q29" s="22">
        <f t="shared" si="2"/>
        <v>0</v>
      </c>
      <c r="R29" s="22">
        <f t="shared" si="3"/>
        <v>0</v>
      </c>
      <c r="S29" s="22"/>
      <c r="T29" s="21">
        <f t="shared" si="4"/>
        <v>0</v>
      </c>
      <c r="U29" s="19">
        <f t="shared" si="0"/>
        <v>0</v>
      </c>
      <c r="V29" s="4"/>
      <c r="W29" s="8"/>
      <c r="X29" s="3"/>
      <c r="Y29" s="3"/>
      <c r="Z29" s="39">
        <v>0</v>
      </c>
      <c r="AA29" s="51">
        <f t="shared" si="11"/>
        <v>1.1996042542666336</v>
      </c>
      <c r="AB29" s="40">
        <v>22057.209047701817</v>
      </c>
      <c r="AC29" s="52">
        <f t="shared" si="12"/>
        <v>0</v>
      </c>
      <c r="AD29" s="3"/>
      <c r="AE29" s="39">
        <v>0</v>
      </c>
      <c r="AF29" s="45">
        <f t="shared" si="14"/>
        <v>7478.7096774193542</v>
      </c>
      <c r="AG29" s="40">
        <v>22057.209047701817</v>
      </c>
      <c r="AH29" s="52">
        <f t="shared" si="15"/>
        <v>0</v>
      </c>
      <c r="AJ29" s="117">
        <v>20</v>
      </c>
      <c r="AK29" s="118">
        <f t="shared" si="16"/>
        <v>8.1298770934681386</v>
      </c>
      <c r="AL29" s="118">
        <f t="shared" si="8"/>
        <v>9.6602488178355905</v>
      </c>
      <c r="AM29" s="119">
        <f t="shared" si="6"/>
        <v>3.3682954873598363</v>
      </c>
      <c r="AN29" s="119">
        <f t="shared" si="7"/>
        <v>13.02854430519541</v>
      </c>
      <c r="AO29" s="124">
        <f t="shared" si="9"/>
        <v>-9.6602488178356403</v>
      </c>
    </row>
    <row r="30" spans="1:41" ht="15.75" customHeight="1" x14ac:dyDescent="0.25">
      <c r="A30" s="9" t="s">
        <v>78</v>
      </c>
      <c r="B30" s="10"/>
      <c r="C30" s="10"/>
      <c r="D30" s="10"/>
      <c r="E30" s="12" t="s">
        <v>79</v>
      </c>
      <c r="F30" s="10"/>
      <c r="G30" s="10"/>
      <c r="H30" s="10"/>
      <c r="I30" s="12"/>
      <c r="J30" s="41"/>
      <c r="K30" s="10"/>
      <c r="L30" s="11"/>
      <c r="M30" s="3"/>
      <c r="N30" s="13">
        <f t="shared" si="5"/>
        <v>0</v>
      </c>
      <c r="O30" s="13"/>
      <c r="P30" s="21">
        <f t="shared" si="1"/>
        <v>0</v>
      </c>
      <c r="Q30" s="22">
        <f t="shared" si="2"/>
        <v>0</v>
      </c>
      <c r="R30" s="22">
        <f t="shared" si="3"/>
        <v>0</v>
      </c>
      <c r="S30" s="22"/>
      <c r="T30" s="21">
        <f t="shared" si="4"/>
        <v>0</v>
      </c>
      <c r="U30" s="19">
        <f t="shared" si="0"/>
        <v>0</v>
      </c>
      <c r="V30" s="4"/>
      <c r="W30" s="8"/>
      <c r="X30" s="3"/>
      <c r="Y30" s="3"/>
      <c r="Z30" s="29">
        <f t="shared" ref="Z30:Z34" si="17">Z29+10</f>
        <v>10</v>
      </c>
      <c r="AA30" s="30">
        <f t="shared" si="11"/>
        <v>1.3195646796932972</v>
      </c>
      <c r="AB30" s="31">
        <v>23122.599685840887</v>
      </c>
      <c r="AC30" s="34">
        <f t="shared" si="12"/>
        <v>4.8301244089177953</v>
      </c>
      <c r="AE30" s="29">
        <f t="shared" ref="AE30:AE34" si="18">AE29+10</f>
        <v>10</v>
      </c>
      <c r="AF30" s="32">
        <f t="shared" si="14"/>
        <v>8226.5806451612898</v>
      </c>
      <c r="AG30" s="31">
        <v>22953.821040615563</v>
      </c>
      <c r="AH30" s="34">
        <f t="shared" si="15"/>
        <v>4.0649385467340693</v>
      </c>
      <c r="AJ30" s="117">
        <v>30</v>
      </c>
      <c r="AK30" s="118">
        <f t="shared" si="16"/>
        <v>12.194815640202206</v>
      </c>
      <c r="AL30" s="118">
        <f t="shared" si="8"/>
        <v>14.4903732267534</v>
      </c>
      <c r="AM30" s="119">
        <f t="shared" si="6"/>
        <v>5.0524432310397538</v>
      </c>
      <c r="AN30" s="119">
        <f t="shared" si="7"/>
        <v>19.542816457793172</v>
      </c>
      <c r="AO30" s="124">
        <f t="shared" si="9"/>
        <v>-14.4903732267534</v>
      </c>
    </row>
    <row r="31" spans="1:41" ht="15.75" customHeight="1" x14ac:dyDescent="0.25">
      <c r="A31" s="25" t="s">
        <v>167</v>
      </c>
      <c r="B31" s="8">
        <f t="shared" ref="B31:B32" si="19">IF(B11=0,0,-(B11/100)*$B$45)</f>
        <v>0</v>
      </c>
      <c r="C31" s="3" t="s">
        <v>3</v>
      </c>
      <c r="D31" s="3"/>
      <c r="E31" s="17" t="s">
        <v>81</v>
      </c>
      <c r="F31" s="24">
        <f>(J16/100)*B47</f>
        <v>2243.6129032258063</v>
      </c>
      <c r="G31" s="3" t="s">
        <v>3</v>
      </c>
      <c r="H31" s="3"/>
      <c r="I31" s="1" t="s">
        <v>179</v>
      </c>
      <c r="J31" s="43">
        <f>SUM(J32:J35)</f>
        <v>519.41626791986153</v>
      </c>
      <c r="K31" s="1" t="s">
        <v>47</v>
      </c>
      <c r="L31" s="16"/>
      <c r="M31" s="3"/>
      <c r="N31" s="13">
        <f t="shared" si="5"/>
        <v>0</v>
      </c>
      <c r="O31" s="13"/>
      <c r="P31" s="21">
        <f t="shared" si="1"/>
        <v>0</v>
      </c>
      <c r="Q31" s="22">
        <f t="shared" si="2"/>
        <v>0</v>
      </c>
      <c r="R31" s="22">
        <f t="shared" si="3"/>
        <v>0</v>
      </c>
      <c r="S31" s="22"/>
      <c r="T31" s="21">
        <f t="shared" si="4"/>
        <v>0</v>
      </c>
      <c r="U31" s="19">
        <f t="shared" si="0"/>
        <v>0</v>
      </c>
      <c r="V31" s="4"/>
      <c r="W31" s="8"/>
      <c r="X31" s="3"/>
      <c r="Y31" s="3"/>
      <c r="Z31" s="29">
        <f t="shared" si="17"/>
        <v>20</v>
      </c>
      <c r="AA31" s="30">
        <f t="shared" si="11"/>
        <v>1.4395251051199602</v>
      </c>
      <c r="AB31" s="31">
        <v>24187.990323979957</v>
      </c>
      <c r="AC31" s="34">
        <f t="shared" si="12"/>
        <v>9.6602488178355905</v>
      </c>
      <c r="AD31" s="3"/>
      <c r="AE31" s="29">
        <f t="shared" si="18"/>
        <v>20</v>
      </c>
      <c r="AF31" s="32">
        <f t="shared" si="14"/>
        <v>8974.4516129032254</v>
      </c>
      <c r="AG31" s="31">
        <v>23850.433033529309</v>
      </c>
      <c r="AH31" s="34">
        <f t="shared" si="15"/>
        <v>8.1298770934681386</v>
      </c>
      <c r="AJ31" s="117">
        <v>40</v>
      </c>
      <c r="AK31" s="118">
        <f t="shared" si="16"/>
        <v>16.259754186936277</v>
      </c>
      <c r="AL31" s="118">
        <f t="shared" si="8"/>
        <v>19.320497635671163</v>
      </c>
      <c r="AM31" s="119">
        <f t="shared" si="6"/>
        <v>6.7365909747196886</v>
      </c>
      <c r="AN31" s="119">
        <f t="shared" si="7"/>
        <v>26.057088610390867</v>
      </c>
      <c r="AO31" s="124">
        <f t="shared" si="9"/>
        <v>-19.320497635671213</v>
      </c>
    </row>
    <row r="32" spans="1:41" ht="15.75" customHeight="1" x14ac:dyDescent="0.25">
      <c r="A32" s="25" t="s">
        <v>42</v>
      </c>
      <c r="B32" s="8">
        <f t="shared" si="19"/>
        <v>0</v>
      </c>
      <c r="C32" s="3" t="s">
        <v>3</v>
      </c>
      <c r="D32" s="3"/>
      <c r="E32" s="17" t="s">
        <v>83</v>
      </c>
      <c r="F32" s="8">
        <f>B47-F31</f>
        <v>5235.0967741935474</v>
      </c>
      <c r="G32" s="3" t="s">
        <v>3</v>
      </c>
      <c r="H32" s="3"/>
      <c r="I32" s="17" t="s">
        <v>175</v>
      </c>
      <c r="J32" s="27">
        <f>F16/$B$8</f>
        <v>38.337867919861488</v>
      </c>
      <c r="K32" s="3" t="s">
        <v>47</v>
      </c>
      <c r="L32" s="16"/>
      <c r="M32" s="3"/>
      <c r="N32" s="13">
        <f t="shared" si="5"/>
        <v>0</v>
      </c>
      <c r="O32" s="13"/>
      <c r="P32" s="21">
        <f t="shared" si="1"/>
        <v>0</v>
      </c>
      <c r="Q32" s="22">
        <f t="shared" si="2"/>
        <v>0</v>
      </c>
      <c r="R32" s="22">
        <f t="shared" si="3"/>
        <v>0</v>
      </c>
      <c r="S32" s="22"/>
      <c r="T32" s="21">
        <f t="shared" si="4"/>
        <v>0</v>
      </c>
      <c r="U32" s="19">
        <f t="shared" si="0"/>
        <v>0</v>
      </c>
      <c r="V32" s="4"/>
      <c r="W32" s="8"/>
      <c r="X32" s="3"/>
      <c r="Y32" s="3"/>
      <c r="Z32" s="29">
        <f t="shared" si="17"/>
        <v>30</v>
      </c>
      <c r="AA32" s="30">
        <f t="shared" si="11"/>
        <v>1.5594855305466238</v>
      </c>
      <c r="AB32" s="31">
        <v>25253.38096211903</v>
      </c>
      <c r="AC32" s="34">
        <f t="shared" si="12"/>
        <v>14.4903732267534</v>
      </c>
      <c r="AD32" s="3"/>
      <c r="AE32" s="29">
        <f t="shared" si="18"/>
        <v>30</v>
      </c>
      <c r="AF32" s="32">
        <f t="shared" si="14"/>
        <v>9722.322580645161</v>
      </c>
      <c r="AG32" s="31">
        <v>24747.045026443055</v>
      </c>
      <c r="AH32" s="34">
        <f t="shared" si="15"/>
        <v>12.194815640202206</v>
      </c>
      <c r="AJ32" s="117">
        <v>50</v>
      </c>
      <c r="AK32" s="118">
        <f t="shared" si="16"/>
        <v>20.324692733670329</v>
      </c>
      <c r="AL32" s="118">
        <f t="shared" si="8"/>
        <v>24.150622044588989</v>
      </c>
      <c r="AM32" s="119">
        <f t="shared" si="6"/>
        <v>8.4207387183996243</v>
      </c>
      <c r="AN32" s="119">
        <f t="shared" si="7"/>
        <v>32.571360762988597</v>
      </c>
      <c r="AO32" s="124">
        <f t="shared" si="9"/>
        <v>-24.150622044589024</v>
      </c>
    </row>
    <row r="33" spans="1:34" ht="15.75" customHeight="1" x14ac:dyDescent="0.25">
      <c r="A33" s="25" t="s">
        <v>48</v>
      </c>
      <c r="B33" s="8">
        <f>IF(B13=0,0,(B13/100)*$B$44)</f>
        <v>534.19354838709671</v>
      </c>
      <c r="C33" s="3" t="s">
        <v>3</v>
      </c>
      <c r="D33" s="3"/>
      <c r="E33" s="17" t="s">
        <v>84</v>
      </c>
      <c r="F33" s="24">
        <f>F32*(F18/100)*J15</f>
        <v>2528.5517419354837</v>
      </c>
      <c r="G33" s="3" t="s">
        <v>3</v>
      </c>
      <c r="H33" s="3"/>
      <c r="I33" s="17" t="s">
        <v>119</v>
      </c>
      <c r="J33" s="27">
        <f>F15/$B$8</f>
        <v>0</v>
      </c>
      <c r="K33" s="3" t="s">
        <v>47</v>
      </c>
      <c r="L33" s="16"/>
      <c r="M33" s="3"/>
      <c r="N33" s="13">
        <f t="shared" si="5"/>
        <v>0</v>
      </c>
      <c r="O33" s="13"/>
      <c r="P33" s="21">
        <f t="shared" si="1"/>
        <v>0</v>
      </c>
      <c r="Q33" s="22">
        <f t="shared" si="2"/>
        <v>0</v>
      </c>
      <c r="R33" s="22">
        <f t="shared" si="3"/>
        <v>0</v>
      </c>
      <c r="S33" s="22"/>
      <c r="T33" s="21">
        <f t="shared" si="4"/>
        <v>0</v>
      </c>
      <c r="U33" s="19">
        <f t="shared" si="0"/>
        <v>0</v>
      </c>
      <c r="V33" s="4"/>
      <c r="W33" s="8"/>
      <c r="X33" s="3"/>
      <c r="Y33" s="3"/>
      <c r="Z33" s="29">
        <f t="shared" si="17"/>
        <v>40</v>
      </c>
      <c r="AA33" s="30">
        <f t="shared" si="11"/>
        <v>1.6794459559732871</v>
      </c>
      <c r="AB33" s="31">
        <v>26318.771600258093</v>
      </c>
      <c r="AC33" s="34">
        <f t="shared" si="12"/>
        <v>19.320497635671163</v>
      </c>
      <c r="AD33" s="3"/>
      <c r="AE33" s="29">
        <f t="shared" si="18"/>
        <v>40</v>
      </c>
      <c r="AF33" s="32">
        <f t="shared" si="14"/>
        <v>10470.193548387095</v>
      </c>
      <c r="AG33" s="31">
        <v>25643.6570193568</v>
      </c>
      <c r="AH33" s="34">
        <f t="shared" si="15"/>
        <v>16.259754186936277</v>
      </c>
    </row>
    <row r="34" spans="1:34" ht="15.75" customHeight="1" x14ac:dyDescent="0.25">
      <c r="A34" s="25"/>
      <c r="B34" s="8"/>
      <c r="C34" s="3"/>
      <c r="D34" s="3"/>
      <c r="E34" s="3"/>
      <c r="F34" s="33"/>
      <c r="G34" s="3"/>
      <c r="H34" s="3"/>
      <c r="I34" s="87"/>
      <c r="J34" s="87"/>
      <c r="K34" s="87"/>
      <c r="L34" s="16"/>
      <c r="M34" s="3"/>
      <c r="N34" s="13">
        <f t="shared" si="5"/>
        <v>0</v>
      </c>
      <c r="O34" s="13"/>
      <c r="P34" s="21">
        <f t="shared" si="1"/>
        <v>0</v>
      </c>
      <c r="Q34" s="22">
        <f t="shared" si="2"/>
        <v>0</v>
      </c>
      <c r="R34" s="22">
        <f t="shared" si="3"/>
        <v>0</v>
      </c>
      <c r="S34" s="22"/>
      <c r="T34" s="21">
        <f t="shared" si="4"/>
        <v>0</v>
      </c>
      <c r="U34" s="19">
        <f t="shared" si="0"/>
        <v>0</v>
      </c>
      <c r="V34" s="4"/>
      <c r="W34" s="8"/>
      <c r="X34" s="3"/>
      <c r="Y34" s="3"/>
      <c r="Z34" s="29">
        <f t="shared" si="17"/>
        <v>50</v>
      </c>
      <c r="AA34" s="30">
        <f t="shared" si="11"/>
        <v>1.7994063813999506</v>
      </c>
      <c r="AB34" s="31">
        <v>27384.16223839717</v>
      </c>
      <c r="AC34" s="34">
        <f t="shared" si="12"/>
        <v>24.150622044588989</v>
      </c>
      <c r="AD34" s="3"/>
      <c r="AE34" s="29">
        <f t="shared" si="18"/>
        <v>50</v>
      </c>
      <c r="AF34" s="32">
        <f t="shared" si="14"/>
        <v>11218.06451612903</v>
      </c>
      <c r="AG34" s="31">
        <v>26540.269012270543</v>
      </c>
      <c r="AH34" s="34">
        <f t="shared" si="15"/>
        <v>20.324692733670329</v>
      </c>
    </row>
    <row r="35" spans="1:34" ht="15.75" customHeight="1" x14ac:dyDescent="0.25">
      <c r="A35" s="17" t="s">
        <v>55</v>
      </c>
      <c r="B35" s="7">
        <f>IF(B15=0,0,(B15/100)*$B$44)</f>
        <v>1602.58064516129</v>
      </c>
      <c r="C35" s="3" t="s">
        <v>3</v>
      </c>
      <c r="D35" s="3"/>
      <c r="E35" s="1" t="s">
        <v>87</v>
      </c>
      <c r="F35" s="3"/>
      <c r="G35" s="3"/>
      <c r="H35" s="3"/>
      <c r="I35" s="17" t="s">
        <v>46</v>
      </c>
      <c r="J35" s="6">
        <f>F17*F12/$B$8</f>
        <v>481.07839999999999</v>
      </c>
      <c r="K35" s="3" t="s">
        <v>47</v>
      </c>
      <c r="L35" s="16"/>
      <c r="M35" s="3"/>
      <c r="N35" s="13">
        <f t="shared" si="5"/>
        <v>0</v>
      </c>
      <c r="O35" s="13"/>
      <c r="P35" s="21">
        <f t="shared" si="1"/>
        <v>0</v>
      </c>
      <c r="Q35" s="22">
        <f t="shared" si="2"/>
        <v>0</v>
      </c>
      <c r="R35" s="22">
        <f t="shared" si="3"/>
        <v>0</v>
      </c>
      <c r="S35" s="22"/>
      <c r="T35" s="21">
        <f t="shared" si="4"/>
        <v>0</v>
      </c>
      <c r="U35" s="19">
        <f t="shared" si="0"/>
        <v>0</v>
      </c>
      <c r="V35" s="4"/>
      <c r="W35" s="8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.75" customHeight="1" x14ac:dyDescent="0.25">
      <c r="A36" s="25"/>
      <c r="B36" s="8"/>
      <c r="C36" s="3"/>
      <c r="D36" s="3"/>
      <c r="E36" s="17" t="s">
        <v>173</v>
      </c>
      <c r="F36" s="27">
        <f>F13/$B$8</f>
        <v>1.1996042542666336</v>
      </c>
      <c r="G36" s="3" t="s">
        <v>114</v>
      </c>
      <c r="H36" s="3"/>
      <c r="I36" s="87"/>
      <c r="J36" s="87"/>
      <c r="K36" s="87"/>
      <c r="L36" s="16"/>
      <c r="M36" s="3"/>
      <c r="N36" s="13">
        <f t="shared" si="5"/>
        <v>0</v>
      </c>
      <c r="O36" s="13"/>
      <c r="P36" s="21">
        <f t="shared" si="1"/>
        <v>0</v>
      </c>
      <c r="Q36" s="22">
        <f t="shared" si="2"/>
        <v>0</v>
      </c>
      <c r="R36" s="22">
        <f t="shared" si="3"/>
        <v>0</v>
      </c>
      <c r="S36" s="22"/>
      <c r="T36" s="21">
        <f t="shared" si="4"/>
        <v>0</v>
      </c>
      <c r="U36" s="19">
        <f t="shared" si="0"/>
        <v>0</v>
      </c>
      <c r="V36" s="4"/>
      <c r="W36" s="8"/>
      <c r="X36" s="3"/>
      <c r="Y36" s="3"/>
      <c r="Z36" s="28" t="s">
        <v>46</v>
      </c>
      <c r="AA36" s="29"/>
      <c r="AB36" s="29"/>
      <c r="AC36" s="29"/>
      <c r="AD36" s="3"/>
      <c r="AE36" s="28" t="s">
        <v>88</v>
      </c>
      <c r="AF36" s="29"/>
      <c r="AG36" s="29"/>
      <c r="AH36" s="29"/>
    </row>
    <row r="37" spans="1:34" ht="15.75" customHeight="1" x14ac:dyDescent="0.25">
      <c r="A37" s="25"/>
      <c r="B37" s="8"/>
      <c r="C37" s="3"/>
      <c r="D37" s="3"/>
      <c r="E37" s="17" t="s">
        <v>174</v>
      </c>
      <c r="F37" s="27">
        <f>F36*J10</f>
        <v>8.697130843433093E-2</v>
      </c>
      <c r="G37" s="3" t="s">
        <v>4</v>
      </c>
      <c r="H37" s="3"/>
      <c r="I37" s="3"/>
      <c r="J37" s="3"/>
      <c r="K37" s="3"/>
      <c r="L37" s="16"/>
      <c r="M37" s="3"/>
      <c r="N37" s="13">
        <f t="shared" si="5"/>
        <v>0</v>
      </c>
      <c r="O37" s="13"/>
      <c r="P37" s="21">
        <f t="shared" si="1"/>
        <v>0</v>
      </c>
      <c r="Q37" s="22">
        <f t="shared" si="2"/>
        <v>0</v>
      </c>
      <c r="R37" s="22">
        <f t="shared" si="3"/>
        <v>0</v>
      </c>
      <c r="S37" s="22"/>
      <c r="T37" s="21">
        <f t="shared" si="4"/>
        <v>0</v>
      </c>
      <c r="U37" s="19">
        <f t="shared" si="0"/>
        <v>0</v>
      </c>
      <c r="V37" s="4"/>
      <c r="W37" s="8"/>
      <c r="X37" s="3"/>
      <c r="Y37" s="3"/>
      <c r="Z37" s="29" t="s">
        <v>67</v>
      </c>
      <c r="AA37" s="29" t="s">
        <v>105</v>
      </c>
      <c r="AB37" s="29" t="s">
        <v>22</v>
      </c>
      <c r="AC37" s="29" t="s">
        <v>69</v>
      </c>
      <c r="AD37" s="3"/>
      <c r="AE37" s="29" t="s">
        <v>67</v>
      </c>
      <c r="AF37" s="29" t="s">
        <v>92</v>
      </c>
      <c r="AG37" s="29" t="s">
        <v>22</v>
      </c>
      <c r="AH37" s="29" t="s">
        <v>69</v>
      </c>
    </row>
    <row r="38" spans="1:34" ht="15.75" customHeight="1" x14ac:dyDescent="0.25">
      <c r="A38" s="25"/>
      <c r="B38" s="8"/>
      <c r="C38" s="3"/>
      <c r="D38" s="3"/>
      <c r="E38" s="17" t="s">
        <v>122</v>
      </c>
      <c r="F38" s="33">
        <f>F37*F12</f>
        <v>1324.0511996042542</v>
      </c>
      <c r="G38" s="26" t="s">
        <v>47</v>
      </c>
      <c r="H38" s="3"/>
      <c r="I38" s="3"/>
      <c r="J38" s="3"/>
      <c r="K38" s="3"/>
      <c r="L38" s="16"/>
      <c r="M38" s="3"/>
      <c r="N38" s="13">
        <f t="shared" si="5"/>
        <v>0</v>
      </c>
      <c r="O38" s="13"/>
      <c r="P38" s="21">
        <f t="shared" si="1"/>
        <v>0</v>
      </c>
      <c r="Q38" s="22">
        <f t="shared" si="2"/>
        <v>0</v>
      </c>
      <c r="R38" s="22">
        <f t="shared" si="3"/>
        <v>0</v>
      </c>
      <c r="S38" s="22"/>
      <c r="T38" s="21">
        <f t="shared" si="4"/>
        <v>0</v>
      </c>
      <c r="U38" s="19">
        <f t="shared" si="0"/>
        <v>0</v>
      </c>
      <c r="V38" s="4"/>
      <c r="W38" s="8"/>
      <c r="X38" s="3"/>
      <c r="Y38" s="3"/>
      <c r="Z38" s="29" t="s">
        <v>74</v>
      </c>
      <c r="AA38" s="30">
        <v>481.07839999999999</v>
      </c>
      <c r="AB38" s="31">
        <f>U49</f>
        <v>22057.209047701817</v>
      </c>
      <c r="AC38" s="29"/>
      <c r="AD38" s="3"/>
      <c r="AE38" s="29" t="s">
        <v>74</v>
      </c>
      <c r="AF38" s="32">
        <v>15224</v>
      </c>
      <c r="AG38" s="31">
        <f>U49</f>
        <v>22057.209047701817</v>
      </c>
      <c r="AH38" s="29"/>
    </row>
    <row r="39" spans="1:34" ht="15.75" customHeight="1" x14ac:dyDescent="0.25">
      <c r="A39" s="25"/>
      <c r="B39" s="8"/>
      <c r="C39" s="3"/>
      <c r="D39" s="3"/>
      <c r="E39" s="3"/>
      <c r="F39" s="3"/>
      <c r="G39" s="3"/>
      <c r="H39" s="3"/>
      <c r="I39" s="3"/>
      <c r="J39" s="3"/>
      <c r="K39" s="3"/>
      <c r="L39" s="16"/>
      <c r="M39" s="3"/>
      <c r="N39" s="13">
        <f t="shared" si="5"/>
        <v>0</v>
      </c>
      <c r="O39" s="13"/>
      <c r="P39" s="21">
        <f t="shared" si="1"/>
        <v>0</v>
      </c>
      <c r="Q39" s="22">
        <f t="shared" si="2"/>
        <v>0</v>
      </c>
      <c r="R39" s="22">
        <f t="shared" si="3"/>
        <v>0</v>
      </c>
      <c r="S39" s="22"/>
      <c r="T39" s="21">
        <f t="shared" si="4"/>
        <v>0</v>
      </c>
      <c r="U39" s="19">
        <f t="shared" si="0"/>
        <v>0</v>
      </c>
      <c r="V39" s="4"/>
      <c r="W39" s="8"/>
      <c r="X39" s="3"/>
      <c r="Y39" s="3"/>
      <c r="Z39" s="29">
        <f t="shared" ref="Z39:Z43" si="20">Z40-10</f>
        <v>-50</v>
      </c>
      <c r="AA39" s="30">
        <f t="shared" ref="AA39:AA49" si="21">$AA$38*(1+(Z39/100))</f>
        <v>240.53919999999999</v>
      </c>
      <c r="AB39" s="31">
        <f t="dataTable" ref="AB39:AB49" dt2D="0" dtr="0" r1="J35" ca="1"/>
        <v>20199.829105223645</v>
      </c>
      <c r="AC39" s="34">
        <f t="shared" ref="AC39:AC49" si="22">100*((AB39-$AB$44)/$AB$44)</f>
        <v>-8.4207387183996243</v>
      </c>
      <c r="AD39" s="3"/>
      <c r="AE39" s="29">
        <f t="shared" ref="AE39:AE43" si="23">AE40-10</f>
        <v>-50</v>
      </c>
      <c r="AF39" s="32">
        <f t="shared" ref="AF39:AF49" si="24">$AF$38*(1+(AE39/100))</f>
        <v>7612</v>
      </c>
      <c r="AG39" s="31">
        <f t="dataTable" ref="AG39:AG49" dt2D="0" dtr="0" r1="F12" ca="1"/>
        <v>14872.875914528287</v>
      </c>
      <c r="AH39" s="34">
        <f t="shared" ref="AH39:AH49" si="25">100*((AG39-$AG$44)/$AG$44)</f>
        <v>-32.57136076298864</v>
      </c>
    </row>
    <row r="40" spans="1:34" ht="15.75" customHeight="1" x14ac:dyDescent="0.25">
      <c r="A40" s="25"/>
      <c r="B40" s="8"/>
      <c r="C40" s="3"/>
      <c r="D40" s="3"/>
      <c r="E40" s="3"/>
      <c r="F40" s="3"/>
      <c r="G40" s="3"/>
      <c r="H40" s="3"/>
      <c r="I40" s="3"/>
      <c r="J40" s="3"/>
      <c r="K40" s="3"/>
      <c r="L40" s="16"/>
      <c r="M40" s="3"/>
      <c r="N40" s="13">
        <f t="shared" si="5"/>
        <v>0</v>
      </c>
      <c r="O40" s="13"/>
      <c r="P40" s="21">
        <f t="shared" si="1"/>
        <v>0</v>
      </c>
      <c r="Q40" s="22">
        <f t="shared" si="2"/>
        <v>0</v>
      </c>
      <c r="R40" s="22">
        <f t="shared" si="3"/>
        <v>0</v>
      </c>
      <c r="S40" s="22"/>
      <c r="T40" s="21">
        <f t="shared" si="4"/>
        <v>0</v>
      </c>
      <c r="U40" s="19">
        <f t="shared" si="0"/>
        <v>0</v>
      </c>
      <c r="V40" s="4"/>
      <c r="W40" s="8"/>
      <c r="X40" s="3"/>
      <c r="Y40" s="3"/>
      <c r="Z40" s="29">
        <f t="shared" si="20"/>
        <v>-40</v>
      </c>
      <c r="AA40" s="30">
        <f t="shared" si="21"/>
        <v>288.64704</v>
      </c>
      <c r="AB40" s="31">
        <v>20571.305093719278</v>
      </c>
      <c r="AC40" s="34">
        <f t="shared" si="22"/>
        <v>-6.7365909747197055</v>
      </c>
      <c r="AD40" s="3"/>
      <c r="AE40" s="29">
        <f t="shared" si="23"/>
        <v>-40</v>
      </c>
      <c r="AF40" s="32">
        <f t="shared" si="24"/>
        <v>9134.4</v>
      </c>
      <c r="AG40" s="31">
        <v>16309.742541162994</v>
      </c>
      <c r="AH40" s="34">
        <f t="shared" si="25"/>
        <v>-26.05708861039091</v>
      </c>
    </row>
    <row r="41" spans="1:34" ht="15.75" customHeight="1" x14ac:dyDescent="0.25">
      <c r="A41" s="3"/>
      <c r="B41" s="3"/>
      <c r="C41" s="3"/>
      <c r="D41" s="3"/>
      <c r="E41" s="17" t="s">
        <v>85</v>
      </c>
      <c r="F41" s="8">
        <f>F12*B5</f>
        <v>152240</v>
      </c>
      <c r="G41" s="3" t="s">
        <v>86</v>
      </c>
      <c r="H41" s="3"/>
      <c r="I41" s="3"/>
      <c r="J41" s="3"/>
      <c r="K41" s="3"/>
      <c r="L41" s="16"/>
      <c r="M41" s="3"/>
      <c r="N41" s="13">
        <f t="shared" si="5"/>
        <v>0</v>
      </c>
      <c r="O41" s="13"/>
      <c r="P41" s="21">
        <f t="shared" si="1"/>
        <v>0</v>
      </c>
      <c r="Q41" s="22">
        <f t="shared" si="2"/>
        <v>0</v>
      </c>
      <c r="R41" s="22">
        <f t="shared" si="3"/>
        <v>0</v>
      </c>
      <c r="S41" s="22"/>
      <c r="T41" s="21">
        <f t="shared" si="4"/>
        <v>0</v>
      </c>
      <c r="U41" s="19">
        <f t="shared" si="0"/>
        <v>0</v>
      </c>
      <c r="V41" s="4"/>
      <c r="W41" s="8"/>
      <c r="X41" s="3"/>
      <c r="Y41" s="3"/>
      <c r="Z41" s="29">
        <f t="shared" si="20"/>
        <v>-30</v>
      </c>
      <c r="AA41" s="30">
        <f t="shared" si="21"/>
        <v>336.75487999999996</v>
      </c>
      <c r="AB41" s="31">
        <v>20942.781082214908</v>
      </c>
      <c r="AC41" s="34">
        <f t="shared" si="22"/>
        <v>-5.0524432310398044</v>
      </c>
      <c r="AD41" s="3"/>
      <c r="AE41" s="29">
        <f t="shared" si="23"/>
        <v>-30</v>
      </c>
      <c r="AF41" s="32">
        <f t="shared" si="24"/>
        <v>10656.8</v>
      </c>
      <c r="AG41" s="31">
        <v>17746.609167797695</v>
      </c>
      <c r="AH41" s="34">
        <f t="shared" si="25"/>
        <v>-19.542816457793204</v>
      </c>
    </row>
    <row r="42" spans="1:34" ht="15.75" customHeight="1" x14ac:dyDescent="0.25">
      <c r="A42" s="23" t="s">
        <v>96</v>
      </c>
      <c r="B42" s="4"/>
      <c r="C42" s="1"/>
      <c r="D42" s="3"/>
      <c r="E42" s="17"/>
      <c r="F42" s="27"/>
      <c r="G42" s="3"/>
      <c r="H42" s="3"/>
      <c r="I42" s="1"/>
      <c r="J42" s="3"/>
      <c r="K42" s="3"/>
      <c r="L42" s="16"/>
      <c r="M42" s="3"/>
      <c r="N42" s="13">
        <f t="shared" si="5"/>
        <v>0</v>
      </c>
      <c r="O42" s="13"/>
      <c r="P42" s="21">
        <f t="shared" si="1"/>
        <v>0</v>
      </c>
      <c r="Q42" s="22">
        <f t="shared" si="2"/>
        <v>0</v>
      </c>
      <c r="R42" s="22">
        <f t="shared" si="3"/>
        <v>0</v>
      </c>
      <c r="S42" s="22"/>
      <c r="T42" s="21">
        <f t="shared" si="4"/>
        <v>0</v>
      </c>
      <c r="U42" s="19">
        <f t="shared" si="0"/>
        <v>0</v>
      </c>
      <c r="V42" s="4"/>
      <c r="W42" s="8"/>
      <c r="X42" s="3"/>
      <c r="Y42" s="3"/>
      <c r="Z42" s="29">
        <f t="shared" si="20"/>
        <v>-20</v>
      </c>
      <c r="AA42" s="30">
        <f t="shared" si="21"/>
        <v>384.86272000000002</v>
      </c>
      <c r="AB42" s="31">
        <v>21314.257070710541</v>
      </c>
      <c r="AC42" s="34">
        <f t="shared" si="22"/>
        <v>-3.368295487359886</v>
      </c>
      <c r="AD42" s="3"/>
      <c r="AE42" s="29">
        <f t="shared" si="23"/>
        <v>-20</v>
      </c>
      <c r="AF42" s="32">
        <f t="shared" si="24"/>
        <v>12179.2</v>
      </c>
      <c r="AG42" s="31">
        <v>19183.475794432405</v>
      </c>
      <c r="AH42" s="34">
        <f t="shared" si="25"/>
        <v>-13.028544305195458</v>
      </c>
    </row>
    <row r="43" spans="1:34" ht="15.75" customHeight="1" x14ac:dyDescent="0.25">
      <c r="A43" s="17" t="s">
        <v>161</v>
      </c>
      <c r="B43" s="8">
        <f>J8/B8</f>
        <v>4645.1612903225805</v>
      </c>
      <c r="C43" s="3" t="s">
        <v>3</v>
      </c>
      <c r="D43" s="3"/>
      <c r="E43" s="3"/>
      <c r="F43" s="3"/>
      <c r="G43" s="3"/>
      <c r="H43" s="3"/>
      <c r="I43" s="17"/>
      <c r="J43" s="6"/>
      <c r="K43" s="3"/>
      <c r="L43" s="16"/>
      <c r="M43" s="3"/>
      <c r="N43" s="13">
        <f t="shared" si="5"/>
        <v>0</v>
      </c>
      <c r="O43" s="13"/>
      <c r="P43" s="21">
        <f t="shared" si="1"/>
        <v>0</v>
      </c>
      <c r="Q43" s="22">
        <f t="shared" si="2"/>
        <v>0</v>
      </c>
      <c r="R43" s="22">
        <f t="shared" si="3"/>
        <v>0</v>
      </c>
      <c r="S43" s="22"/>
      <c r="T43" s="21">
        <f t="shared" si="4"/>
        <v>0</v>
      </c>
      <c r="U43" s="19">
        <f t="shared" si="0"/>
        <v>0</v>
      </c>
      <c r="V43" s="4"/>
      <c r="W43" s="8"/>
      <c r="X43" s="3"/>
      <c r="Y43" s="3"/>
      <c r="Z43" s="29">
        <f t="shared" si="20"/>
        <v>-10</v>
      </c>
      <c r="AA43" s="30">
        <f t="shared" si="21"/>
        <v>432.97055999999998</v>
      </c>
      <c r="AB43" s="31">
        <v>21685.733059206177</v>
      </c>
      <c r="AC43" s="34">
        <f t="shared" si="22"/>
        <v>-1.684147743679951</v>
      </c>
      <c r="AD43" s="3"/>
      <c r="AE43" s="29">
        <f t="shared" si="23"/>
        <v>-10</v>
      </c>
      <c r="AF43" s="32">
        <f t="shared" si="24"/>
        <v>13701.6</v>
      </c>
      <c r="AG43" s="31">
        <v>20620.342421067111</v>
      </c>
      <c r="AH43" s="34">
        <f t="shared" si="25"/>
        <v>-6.5142721525977292</v>
      </c>
    </row>
    <row r="44" spans="1:34" ht="15.75" customHeight="1" x14ac:dyDescent="0.25">
      <c r="A44" s="3" t="s">
        <v>100</v>
      </c>
      <c r="B44" s="24">
        <f>(1+B16/100)*B43</f>
        <v>5341.9354838709669</v>
      </c>
      <c r="C44" s="3" t="s">
        <v>3</v>
      </c>
      <c r="D44" s="3"/>
      <c r="E44" s="3"/>
      <c r="F44" s="3"/>
      <c r="G44" s="3"/>
      <c r="H44" s="3"/>
      <c r="I44" s="3"/>
      <c r="J44" s="3"/>
      <c r="K44" s="3"/>
      <c r="L44" s="16"/>
      <c r="M44" s="3"/>
      <c r="N44" s="13">
        <f t="shared" si="5"/>
        <v>0</v>
      </c>
      <c r="O44" s="13"/>
      <c r="P44" s="21">
        <f t="shared" si="1"/>
        <v>0</v>
      </c>
      <c r="Q44" s="22">
        <f t="shared" si="2"/>
        <v>0</v>
      </c>
      <c r="R44" s="22">
        <f t="shared" si="3"/>
        <v>0</v>
      </c>
      <c r="S44" s="22"/>
      <c r="T44" s="21">
        <f t="shared" si="4"/>
        <v>0</v>
      </c>
      <c r="U44" s="19">
        <f t="shared" si="0"/>
        <v>0</v>
      </c>
      <c r="V44" s="4"/>
      <c r="W44" s="8"/>
      <c r="X44" s="3"/>
      <c r="Y44" s="3"/>
      <c r="Z44" s="39">
        <v>0</v>
      </c>
      <c r="AA44" s="51">
        <f t="shared" si="21"/>
        <v>481.07839999999999</v>
      </c>
      <c r="AB44" s="40">
        <v>22057.209047701817</v>
      </c>
      <c r="AC44" s="34">
        <f t="shared" si="22"/>
        <v>0</v>
      </c>
      <c r="AD44" s="3"/>
      <c r="AE44" s="39">
        <v>0</v>
      </c>
      <c r="AF44" s="45">
        <f t="shared" si="24"/>
        <v>15224</v>
      </c>
      <c r="AG44" s="40">
        <v>22057.209047701817</v>
      </c>
      <c r="AH44" s="52">
        <f t="shared" si="25"/>
        <v>0</v>
      </c>
    </row>
    <row r="45" spans="1:34" ht="15.75" customHeight="1" x14ac:dyDescent="0.25">
      <c r="A45" s="25" t="s">
        <v>123</v>
      </c>
      <c r="B45" s="8">
        <f>SUM(B33:B40)+B44</f>
        <v>7478.7096774193542</v>
      </c>
      <c r="C45" s="3" t="s">
        <v>3</v>
      </c>
      <c r="D45" s="3"/>
      <c r="E45" s="3"/>
      <c r="F45" s="3"/>
      <c r="G45" s="3"/>
      <c r="H45" s="3"/>
      <c r="I45" s="3"/>
      <c r="J45" s="3"/>
      <c r="K45" s="3"/>
      <c r="L45" s="16"/>
      <c r="M45" s="3"/>
      <c r="N45" s="13">
        <f t="shared" si="5"/>
        <v>0</v>
      </c>
      <c r="O45" s="13"/>
      <c r="P45" s="21">
        <f t="shared" si="1"/>
        <v>0</v>
      </c>
      <c r="Q45" s="22">
        <f t="shared" si="2"/>
        <v>0</v>
      </c>
      <c r="R45" s="22">
        <f t="shared" si="3"/>
        <v>0</v>
      </c>
      <c r="S45" s="22"/>
      <c r="T45" s="21">
        <f t="shared" si="4"/>
        <v>0</v>
      </c>
      <c r="U45" s="19">
        <f t="shared" si="0"/>
        <v>0</v>
      </c>
      <c r="V45" s="4"/>
      <c r="W45" s="8"/>
      <c r="X45" s="3"/>
      <c r="Y45" s="3"/>
      <c r="Z45" s="29">
        <f t="shared" ref="Z45:Z49" si="26">Z44+10</f>
        <v>10</v>
      </c>
      <c r="AA45" s="30">
        <f t="shared" si="21"/>
        <v>529.18624</v>
      </c>
      <c r="AB45" s="31">
        <v>22428.685036197447</v>
      </c>
      <c r="AC45" s="34">
        <f t="shared" si="22"/>
        <v>1.6841477436799017</v>
      </c>
      <c r="AD45" s="3"/>
      <c r="AE45" s="29">
        <f t="shared" ref="AE45:AE49" si="27">AE44+10</f>
        <v>10</v>
      </c>
      <c r="AF45" s="32">
        <f t="shared" si="24"/>
        <v>16746.400000000001</v>
      </c>
      <c r="AG45" s="31">
        <v>23494.075674336516</v>
      </c>
      <c r="AH45" s="34">
        <f t="shared" si="25"/>
        <v>6.5142721525976972</v>
      </c>
    </row>
    <row r="46" spans="1:34" ht="15.75" customHeight="1" x14ac:dyDescent="0.25">
      <c r="A46" s="25" t="s">
        <v>168</v>
      </c>
      <c r="B46" s="8">
        <f>SUM(B31:B32)</f>
        <v>0</v>
      </c>
      <c r="C46" s="3" t="s">
        <v>3</v>
      </c>
      <c r="D46" s="3"/>
      <c r="E46" s="3"/>
      <c r="F46" s="3"/>
      <c r="G46" s="3"/>
      <c r="H46" s="3"/>
      <c r="I46" s="3"/>
      <c r="J46" s="3"/>
      <c r="K46" s="3"/>
      <c r="L46" s="16"/>
      <c r="M46" s="3"/>
      <c r="N46" s="13">
        <f t="shared" si="5"/>
        <v>0</v>
      </c>
      <c r="O46" s="13"/>
      <c r="P46" s="21">
        <f t="shared" si="1"/>
        <v>0</v>
      </c>
      <c r="Q46" s="22">
        <f t="shared" si="2"/>
        <v>0</v>
      </c>
      <c r="R46" s="22">
        <f t="shared" si="3"/>
        <v>0</v>
      </c>
      <c r="S46" s="22"/>
      <c r="T46" s="21">
        <f t="shared" si="4"/>
        <v>0</v>
      </c>
      <c r="U46" s="19">
        <f t="shared" si="0"/>
        <v>0</v>
      </c>
      <c r="V46" s="4"/>
      <c r="W46" s="8"/>
      <c r="X46" s="3"/>
      <c r="Y46" s="3"/>
      <c r="Z46" s="29">
        <f t="shared" si="26"/>
        <v>20</v>
      </c>
      <c r="AA46" s="30">
        <f t="shared" si="21"/>
        <v>577.29408000000001</v>
      </c>
      <c r="AB46" s="31">
        <v>22800.161024693083</v>
      </c>
      <c r="AC46" s="34">
        <f t="shared" si="22"/>
        <v>3.3682954873598363</v>
      </c>
      <c r="AD46" s="3"/>
      <c r="AE46" s="29">
        <f t="shared" si="27"/>
        <v>20</v>
      </c>
      <c r="AF46" s="32">
        <f t="shared" si="24"/>
        <v>18268.8</v>
      </c>
      <c r="AG46" s="31">
        <v>24930.942300971219</v>
      </c>
      <c r="AH46" s="34">
        <f t="shared" si="25"/>
        <v>13.02854430519541</v>
      </c>
    </row>
    <row r="47" spans="1:34" ht="15.75" customHeight="1" x14ac:dyDescent="0.25">
      <c r="A47" s="25" t="s">
        <v>164</v>
      </c>
      <c r="B47" s="8">
        <f>SUM(B45:B46)</f>
        <v>7478.7096774193542</v>
      </c>
      <c r="C47" s="3" t="s">
        <v>3</v>
      </c>
      <c r="D47" s="3"/>
      <c r="E47" s="3"/>
      <c r="F47" s="3"/>
      <c r="G47" s="3"/>
      <c r="H47" s="3"/>
      <c r="I47" s="3"/>
      <c r="J47" s="3"/>
      <c r="K47" s="3"/>
      <c r="L47" s="16"/>
      <c r="M47" s="3"/>
      <c r="N47" s="13">
        <f t="shared" si="5"/>
        <v>0</v>
      </c>
      <c r="O47" s="13"/>
      <c r="P47" s="21">
        <f t="shared" si="1"/>
        <v>0</v>
      </c>
      <c r="Q47" s="22">
        <f t="shared" si="2"/>
        <v>0</v>
      </c>
      <c r="R47" s="22">
        <f t="shared" si="3"/>
        <v>0</v>
      </c>
      <c r="S47" s="22"/>
      <c r="T47" s="21">
        <f t="shared" si="4"/>
        <v>0</v>
      </c>
      <c r="U47" s="19">
        <f t="shared" si="0"/>
        <v>0</v>
      </c>
      <c r="V47" s="4"/>
      <c r="W47" s="8"/>
      <c r="X47" s="3"/>
      <c r="Y47" s="3"/>
      <c r="Z47" s="29">
        <f t="shared" si="26"/>
        <v>30</v>
      </c>
      <c r="AA47" s="30">
        <f t="shared" si="21"/>
        <v>625.40192000000002</v>
      </c>
      <c r="AB47" s="31">
        <v>23171.637013188716</v>
      </c>
      <c r="AC47" s="34">
        <f t="shared" si="22"/>
        <v>5.0524432310397538</v>
      </c>
      <c r="AD47" s="3"/>
      <c r="AE47" s="29">
        <f t="shared" si="27"/>
        <v>30</v>
      </c>
      <c r="AF47" s="32">
        <f t="shared" si="24"/>
        <v>19791.2</v>
      </c>
      <c r="AG47" s="31">
        <v>26367.808927605933</v>
      </c>
      <c r="AH47" s="34">
        <f t="shared" si="25"/>
        <v>19.542816457793172</v>
      </c>
    </row>
    <row r="48" spans="1:34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6"/>
      <c r="M48" s="3"/>
      <c r="N48" s="13">
        <f t="shared" si="5"/>
        <v>0</v>
      </c>
      <c r="O48" s="13"/>
      <c r="P48" s="21">
        <f t="shared" si="1"/>
        <v>0</v>
      </c>
      <c r="Q48" s="22">
        <f t="shared" si="2"/>
        <v>0</v>
      </c>
      <c r="R48" s="22">
        <f t="shared" si="3"/>
        <v>0</v>
      </c>
      <c r="S48" s="22"/>
      <c r="T48" s="21">
        <f t="shared" si="4"/>
        <v>0</v>
      </c>
      <c r="U48" s="19">
        <f t="shared" si="0"/>
        <v>0</v>
      </c>
      <c r="V48" s="4"/>
      <c r="W48" s="8"/>
      <c r="X48" s="3"/>
      <c r="Y48" s="3"/>
      <c r="Z48" s="29">
        <f t="shared" si="26"/>
        <v>40</v>
      </c>
      <c r="AA48" s="30">
        <f t="shared" si="21"/>
        <v>673.50975999999991</v>
      </c>
      <c r="AB48" s="31">
        <v>23543.113001684353</v>
      </c>
      <c r="AC48" s="34">
        <f t="shared" si="22"/>
        <v>6.7365909747196886</v>
      </c>
      <c r="AD48" s="3"/>
      <c r="AE48" s="29">
        <f t="shared" si="27"/>
        <v>40</v>
      </c>
      <c r="AF48" s="32">
        <f t="shared" si="24"/>
        <v>21313.599999999999</v>
      </c>
      <c r="AG48" s="31">
        <v>27804.675554240632</v>
      </c>
      <c r="AH48" s="34">
        <f t="shared" si="25"/>
        <v>26.057088610390867</v>
      </c>
    </row>
    <row r="49" spans="1:34" ht="15.75" customHeight="1" x14ac:dyDescent="0.25">
      <c r="A49" s="15"/>
      <c r="B49" s="7"/>
      <c r="C49" s="3"/>
      <c r="D49" s="3"/>
      <c r="E49" s="3"/>
      <c r="F49" s="3"/>
      <c r="G49" s="3"/>
      <c r="H49" s="3"/>
      <c r="I49" s="3"/>
      <c r="J49" s="3"/>
      <c r="K49" s="3"/>
      <c r="L49" s="16"/>
      <c r="M49" s="3"/>
      <c r="N49" s="14" t="s">
        <v>102</v>
      </c>
      <c r="O49" s="19">
        <f t="shared" ref="O49:R49" si="28">SUM(O8:O48)</f>
        <v>2243.6129032258063</v>
      </c>
      <c r="P49" s="19">
        <f t="shared" si="28"/>
        <v>6722.5070259116437</v>
      </c>
      <c r="Q49" s="19">
        <f t="shared" si="28"/>
        <v>10653.906381390711</v>
      </c>
      <c r="R49" s="19">
        <f t="shared" si="28"/>
        <v>4010.7947387836107</v>
      </c>
      <c r="S49" s="19"/>
      <c r="T49" s="19">
        <f t="shared" ref="T49:U49" si="29">SUM(T8:T48)</f>
        <v>-1573.6120016099569</v>
      </c>
      <c r="U49" s="19">
        <f t="shared" si="29"/>
        <v>22057.209047701817</v>
      </c>
      <c r="V49" s="4"/>
      <c r="W49" s="4"/>
      <c r="X49" s="3"/>
      <c r="Y49" s="3"/>
      <c r="Z49" s="29">
        <f t="shared" si="26"/>
        <v>50</v>
      </c>
      <c r="AA49" s="30">
        <f t="shared" si="21"/>
        <v>721.61760000000004</v>
      </c>
      <c r="AB49" s="31">
        <v>23914.588990179989</v>
      </c>
      <c r="AC49" s="34">
        <f t="shared" si="22"/>
        <v>8.4207387183996243</v>
      </c>
      <c r="AD49" s="3"/>
      <c r="AE49" s="29">
        <f t="shared" si="27"/>
        <v>50</v>
      </c>
      <c r="AF49" s="32">
        <f t="shared" si="24"/>
        <v>22836</v>
      </c>
      <c r="AG49" s="31">
        <v>29241.542180875338</v>
      </c>
      <c r="AH49" s="34">
        <f t="shared" si="25"/>
        <v>32.571360762988597</v>
      </c>
    </row>
    <row r="50" spans="1:34" ht="15.75" customHeight="1" x14ac:dyDescent="0.25">
      <c r="A50" s="3"/>
      <c r="B50" s="33"/>
      <c r="C50" s="3"/>
      <c r="D50" s="3"/>
      <c r="E50" s="3"/>
      <c r="F50" s="3"/>
      <c r="G50" s="3"/>
      <c r="H50" s="3"/>
      <c r="I50" s="3"/>
      <c r="J50" s="3"/>
      <c r="K50" s="3"/>
      <c r="L50" s="16"/>
      <c r="M50" s="3"/>
      <c r="N50" s="3"/>
      <c r="O50" s="3"/>
      <c r="P50" s="3"/>
      <c r="Q50" s="3"/>
      <c r="R50" s="24">
        <f>SUM(R49:S49)</f>
        <v>4010.7947387836107</v>
      </c>
      <c r="S50" s="3"/>
      <c r="T50" s="3"/>
      <c r="U50" s="3"/>
      <c r="V50" s="3"/>
      <c r="W50" s="3"/>
      <c r="X50" s="24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96" t="s">
        <v>194</v>
      </c>
      <c r="AA51" s="97"/>
      <c r="AB51" s="97"/>
      <c r="AC51" s="97"/>
      <c r="AD51" s="3"/>
      <c r="AE51" s="3"/>
      <c r="AF51" s="3"/>
      <c r="AG51" s="3"/>
      <c r="AH51" s="3"/>
    </row>
    <row r="52" spans="1:34" ht="15.75" customHeight="1" x14ac:dyDescent="0.25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1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97" t="s">
        <v>67</v>
      </c>
      <c r="AA52" s="97" t="s">
        <v>194</v>
      </c>
      <c r="AB52" s="97" t="s">
        <v>22</v>
      </c>
      <c r="AC52" s="97" t="s">
        <v>69</v>
      </c>
      <c r="AD52" s="3"/>
      <c r="AE52" s="3"/>
      <c r="AF52" s="3"/>
      <c r="AG52" s="3"/>
      <c r="AH52" s="3"/>
    </row>
    <row r="53" spans="1:34" ht="15.75" customHeight="1" x14ac:dyDescent="0.2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"/>
      <c r="N53" s="3"/>
      <c r="O53" s="1"/>
      <c r="P53" s="1"/>
      <c r="Q53" s="3"/>
      <c r="R53" s="3"/>
      <c r="S53" s="3"/>
      <c r="T53" s="3"/>
      <c r="U53" s="3"/>
      <c r="V53" s="3"/>
      <c r="W53" s="3"/>
      <c r="X53" s="33"/>
      <c r="Y53" s="3"/>
      <c r="Z53" s="97" t="s">
        <v>74</v>
      </c>
      <c r="AA53" s="121">
        <v>7.2499999999999995E-2</v>
      </c>
      <c r="AB53" s="99">
        <f>U49</f>
        <v>22057.209047701817</v>
      </c>
      <c r="AC53" s="97"/>
      <c r="AD53" s="3"/>
      <c r="AE53" s="3"/>
      <c r="AF53" s="3"/>
      <c r="AG53" s="3"/>
      <c r="AH53" s="3"/>
    </row>
    <row r="54" spans="1:34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6"/>
      <c r="O54" s="47" t="s">
        <v>106</v>
      </c>
      <c r="P54" s="2" t="str">
        <f>B1</f>
        <v>Cambodia</v>
      </c>
      <c r="Q54" s="46"/>
      <c r="R54" s="46"/>
      <c r="S54" s="46"/>
      <c r="T54" s="46"/>
      <c r="U54" s="3"/>
      <c r="V54" s="3"/>
      <c r="W54" s="3"/>
      <c r="X54" s="33"/>
      <c r="Y54" s="3"/>
      <c r="Z54" s="97">
        <f t="shared" ref="Z54:Z58" si="30">Z55-10</f>
        <v>-50</v>
      </c>
      <c r="AA54" s="121">
        <f>$AA$53*(1-(Z54/100))</f>
        <v>0.10874999999999999</v>
      </c>
      <c r="AB54" s="99">
        <f t="dataTable" ref="AB54:AB64" dt2D="0" dtr="0" r1="J10"/>
        <v>27384.16223839717</v>
      </c>
      <c r="AC54" s="100">
        <f>100*((AB54-$AB$59)/$AB$59)</f>
        <v>24.150622044588989</v>
      </c>
      <c r="AD54" s="3"/>
      <c r="AE54" s="3"/>
      <c r="AF54" s="3"/>
      <c r="AG54" s="3"/>
      <c r="AH54" s="3"/>
    </row>
    <row r="55" spans="1:34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107</v>
      </c>
      <c r="P55" s="24">
        <f>SUM(O49:P49)</f>
        <v>8966.1199291374505</v>
      </c>
      <c r="Q55" s="3" t="s">
        <v>3</v>
      </c>
      <c r="R55" s="49">
        <f t="shared" ref="R55:R58" si="31">P55/$F$41</f>
        <v>5.8894639576572851E-2</v>
      </c>
      <c r="S55" s="3" t="s">
        <v>4</v>
      </c>
      <c r="T55" s="3"/>
      <c r="U55" s="3"/>
      <c r="V55" s="3"/>
      <c r="W55" s="3"/>
      <c r="X55" s="33"/>
      <c r="Y55" s="3"/>
      <c r="Z55" s="97">
        <f t="shared" si="30"/>
        <v>-40</v>
      </c>
      <c r="AA55" s="121">
        <f t="shared" ref="AA55:AA58" si="32">$AA$53*(1-(Z55/100))</f>
        <v>0.10149999999999999</v>
      </c>
      <c r="AB55" s="99">
        <v>26318.771600258093</v>
      </c>
      <c r="AC55" s="100">
        <f t="shared" ref="AC55:AC64" si="33">100*((AB55-$AB$59)/$AB$59)</f>
        <v>19.320497635671163</v>
      </c>
      <c r="AD55" s="3"/>
      <c r="AE55" s="3"/>
      <c r="AF55" s="3"/>
      <c r="AG55" s="3"/>
      <c r="AH55" s="3"/>
    </row>
    <row r="56" spans="1:34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87</v>
      </c>
      <c r="P56" s="24">
        <f>SUM(Q49)</f>
        <v>10653.906381390711</v>
      </c>
      <c r="Q56" s="3" t="s">
        <v>3</v>
      </c>
      <c r="R56" s="49">
        <f t="shared" si="31"/>
        <v>6.9980993046444492E-2</v>
      </c>
      <c r="S56" s="3" t="s">
        <v>4</v>
      </c>
      <c r="T56" s="3"/>
      <c r="U56" s="3"/>
      <c r="V56" s="3"/>
      <c r="W56" s="3"/>
      <c r="X56" s="33"/>
      <c r="Y56" s="3"/>
      <c r="Z56" s="97">
        <f t="shared" si="30"/>
        <v>-30</v>
      </c>
      <c r="AA56" s="121">
        <f t="shared" si="32"/>
        <v>9.425E-2</v>
      </c>
      <c r="AB56" s="99">
        <v>25253.380962119034</v>
      </c>
      <c r="AC56" s="100">
        <f t="shared" si="33"/>
        <v>14.490373226753416</v>
      </c>
      <c r="AD56" s="3"/>
      <c r="AE56" s="3"/>
      <c r="AF56" s="3"/>
      <c r="AG56" s="3"/>
      <c r="AH56" s="3"/>
    </row>
    <row r="57" spans="1:34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108</v>
      </c>
      <c r="P57" s="24">
        <f>SUM(R49:S49)</f>
        <v>4010.7947387836107</v>
      </c>
      <c r="Q57" s="3" t="s">
        <v>3</v>
      </c>
      <c r="R57" s="49">
        <f t="shared" si="31"/>
        <v>2.6345209792325346E-2</v>
      </c>
      <c r="S57" s="3" t="s">
        <v>4</v>
      </c>
      <c r="T57" s="3"/>
      <c r="U57" s="3"/>
      <c r="V57" s="3"/>
      <c r="W57" s="3"/>
      <c r="X57" s="33"/>
      <c r="Y57" s="3"/>
      <c r="Z57" s="97">
        <f t="shared" si="30"/>
        <v>-20</v>
      </c>
      <c r="AA57" s="121">
        <f t="shared" si="32"/>
        <v>8.6999999999999994E-2</v>
      </c>
      <c r="AB57" s="99">
        <v>24187.990323979957</v>
      </c>
      <c r="AC57" s="100">
        <f t="shared" si="33"/>
        <v>9.6602488178355905</v>
      </c>
      <c r="AD57" s="3"/>
      <c r="AE57" s="3"/>
      <c r="AF57" s="3"/>
      <c r="AG57" s="3"/>
      <c r="AH57" s="3"/>
    </row>
    <row r="58" spans="1:34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110</v>
      </c>
      <c r="P58" s="24">
        <f>T49</f>
        <v>-1573.6120016099569</v>
      </c>
      <c r="Q58" s="3" t="s">
        <v>3</v>
      </c>
      <c r="R58" s="49">
        <f t="shared" si="31"/>
        <v>-1.0336389921242492E-2</v>
      </c>
      <c r="S58" s="3" t="s">
        <v>4</v>
      </c>
      <c r="T58" s="3"/>
      <c r="U58" s="3"/>
      <c r="V58" s="3"/>
      <c r="W58" s="3"/>
      <c r="X58" s="33"/>
      <c r="Y58" s="3"/>
      <c r="Z58" s="97">
        <f t="shared" si="30"/>
        <v>-10</v>
      </c>
      <c r="AA58" s="121">
        <f t="shared" si="32"/>
        <v>7.9750000000000001E-2</v>
      </c>
      <c r="AB58" s="99">
        <v>23122.599685840887</v>
      </c>
      <c r="AC58" s="100">
        <f t="shared" si="33"/>
        <v>4.8301244089177953</v>
      </c>
      <c r="AD58" s="3"/>
      <c r="AE58" s="3"/>
      <c r="AF58" s="3"/>
      <c r="AG58" s="3"/>
      <c r="AH58" s="3"/>
    </row>
    <row r="59" spans="1:34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3"/>
      <c r="Y59" s="3"/>
      <c r="Z59" s="101">
        <v>0</v>
      </c>
      <c r="AA59" s="122">
        <f t="shared" ref="AA59" si="34">$AA$53*(1+(Z59/100))</f>
        <v>7.2499999999999995E-2</v>
      </c>
      <c r="AB59" s="103">
        <v>22057.209047701817</v>
      </c>
      <c r="AC59" s="104">
        <f t="shared" si="33"/>
        <v>0</v>
      </c>
      <c r="AD59" s="3"/>
      <c r="AE59" s="3"/>
      <c r="AF59" s="3"/>
      <c r="AG59" s="3"/>
      <c r="AH59" s="3"/>
    </row>
    <row r="60" spans="1:34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" t="s">
        <v>2</v>
      </c>
      <c r="P60" s="4">
        <f>SUM(P55:P58)</f>
        <v>22057.209047701817</v>
      </c>
      <c r="Q60" s="1" t="s">
        <v>3</v>
      </c>
      <c r="R60" s="44">
        <f>SUM(R55:R58)</f>
        <v>0.1448844524941002</v>
      </c>
      <c r="S60" s="1" t="s">
        <v>4</v>
      </c>
      <c r="T60" s="3"/>
      <c r="U60" s="3"/>
      <c r="V60" s="3"/>
      <c r="W60" s="3"/>
      <c r="X60" s="33"/>
      <c r="Y60" s="3"/>
      <c r="Z60" s="97">
        <f t="shared" ref="Z60:Z64" si="35">Z59+10</f>
        <v>10</v>
      </c>
      <c r="AA60" s="121">
        <f t="shared" ref="AA60:AA64" si="36">$AA$53*(1-(Z60/100))</f>
        <v>6.5250000000000002E-2</v>
      </c>
      <c r="AB60" s="99">
        <v>20991.818409562748</v>
      </c>
      <c r="AC60" s="100">
        <f t="shared" si="33"/>
        <v>-4.8301244089177953</v>
      </c>
      <c r="AD60" s="3"/>
      <c r="AE60" s="3"/>
      <c r="AF60" s="3"/>
      <c r="AG60" s="3"/>
      <c r="AH60" s="3"/>
    </row>
    <row r="61" spans="1:34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3"/>
      <c r="Y61" s="3"/>
      <c r="Z61" s="97">
        <f t="shared" si="35"/>
        <v>20</v>
      </c>
      <c r="AA61" s="121">
        <f t="shared" si="36"/>
        <v>5.7999999999999996E-2</v>
      </c>
      <c r="AB61" s="99">
        <v>19926.427771423667</v>
      </c>
      <c r="AC61" s="100">
        <f t="shared" si="33"/>
        <v>-9.6602488178356403</v>
      </c>
      <c r="AD61" s="3"/>
      <c r="AE61" s="3"/>
      <c r="AF61" s="3"/>
      <c r="AG61" s="3"/>
      <c r="AH61" s="3"/>
    </row>
    <row r="62" spans="1:34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3"/>
      <c r="Y62" s="3"/>
      <c r="Z62" s="97">
        <f t="shared" si="35"/>
        <v>30</v>
      </c>
      <c r="AA62" s="121">
        <f t="shared" si="36"/>
        <v>5.0749999999999997E-2</v>
      </c>
      <c r="AB62" s="99">
        <v>18861.037133284604</v>
      </c>
      <c r="AC62" s="100">
        <f t="shared" si="33"/>
        <v>-14.4903732267534</v>
      </c>
      <c r="AD62" s="3"/>
      <c r="AE62" s="3"/>
      <c r="AF62" s="3"/>
      <c r="AG62" s="3"/>
      <c r="AH62" s="3"/>
    </row>
    <row r="63" spans="1:34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3"/>
      <c r="Y63" s="3"/>
      <c r="Z63" s="97">
        <f t="shared" si="35"/>
        <v>40</v>
      </c>
      <c r="AA63" s="121">
        <f t="shared" si="36"/>
        <v>4.3499999999999997E-2</v>
      </c>
      <c r="AB63" s="99">
        <v>17795.646495145531</v>
      </c>
      <c r="AC63" s="100">
        <f t="shared" si="33"/>
        <v>-19.320497635671213</v>
      </c>
      <c r="AD63" s="3"/>
      <c r="AE63" s="3"/>
      <c r="AF63" s="3"/>
      <c r="AG63" s="3"/>
      <c r="AH63" s="3"/>
    </row>
    <row r="64" spans="1:34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3"/>
      <c r="Y64" s="3"/>
      <c r="Z64" s="97">
        <f t="shared" si="35"/>
        <v>50</v>
      </c>
      <c r="AA64" s="121">
        <f t="shared" si="36"/>
        <v>3.6249999999999998E-2</v>
      </c>
      <c r="AB64" s="99">
        <v>16730.255857006458</v>
      </c>
      <c r="AC64" s="100">
        <f t="shared" si="33"/>
        <v>-24.150622044589024</v>
      </c>
      <c r="AD64" s="3"/>
      <c r="AE64" s="3"/>
      <c r="AF64" s="3"/>
      <c r="AG64" s="3"/>
      <c r="AH64" s="3"/>
    </row>
    <row r="65" spans="1:34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pageMargins left="0.7" right="0.7" top="0.75" bottom="0.75" header="0" footer="0"/>
  <pageSetup orientation="landscape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DECE-3E11-4D90-B2F1-B8AE52FC50DD}">
  <dimension ref="A2:U45"/>
  <sheetViews>
    <sheetView tabSelected="1" topLeftCell="S24" zoomScale="161" zoomScaleNormal="100" workbookViewId="0">
      <selection activeCell="U27" sqref="U27"/>
    </sheetView>
  </sheetViews>
  <sheetFormatPr defaultRowHeight="15" x14ac:dyDescent="0.25"/>
  <cols>
    <col min="1" max="1" width="22" style="106" customWidth="1"/>
    <col min="2" max="2" width="21.7109375" style="106" customWidth="1"/>
    <col min="3" max="8" width="19.140625" style="107" customWidth="1"/>
    <col min="9" max="9" width="10.140625" style="106" customWidth="1"/>
    <col min="10" max="14" width="9.140625" style="106"/>
    <col min="15" max="15" width="21.140625" style="106" customWidth="1"/>
    <col min="16" max="20" width="18.42578125" style="106" customWidth="1"/>
    <col min="21" max="16384" width="9.140625" style="106"/>
  </cols>
  <sheetData>
    <row r="2" spans="1:21" ht="18.75" x14ac:dyDescent="0.3">
      <c r="A2" s="105" t="s">
        <v>193</v>
      </c>
      <c r="B2" s="106" t="s">
        <v>180</v>
      </c>
      <c r="O2" s="108" t="s">
        <v>181</v>
      </c>
    </row>
    <row r="3" spans="1:21" x14ac:dyDescent="0.25">
      <c r="B3" s="125" t="s">
        <v>182</v>
      </c>
      <c r="C3" s="126" t="s">
        <v>183</v>
      </c>
      <c r="D3" s="126"/>
      <c r="E3" s="126"/>
      <c r="F3" s="126"/>
      <c r="G3" s="126"/>
      <c r="H3" s="120"/>
      <c r="O3" s="125" t="s">
        <v>182</v>
      </c>
      <c r="P3" s="127" t="s">
        <v>183</v>
      </c>
      <c r="Q3" s="127"/>
      <c r="R3" s="127"/>
      <c r="S3" s="127"/>
      <c r="T3" s="110"/>
      <c r="U3" s="111"/>
    </row>
    <row r="4" spans="1:21" x14ac:dyDescent="0.25">
      <c r="B4" s="125"/>
      <c r="C4" s="110" t="s">
        <v>184</v>
      </c>
      <c r="D4" s="110" t="s">
        <v>185</v>
      </c>
      <c r="E4" s="110" t="s">
        <v>31</v>
      </c>
      <c r="F4" s="110" t="s">
        <v>186</v>
      </c>
      <c r="G4" s="110" t="s">
        <v>187</v>
      </c>
      <c r="H4" s="110" t="str">
        <f>'E-Bus KH'!AR21</f>
        <v>Energy Efficiency</v>
      </c>
      <c r="O4" s="125"/>
      <c r="P4" s="109" t="s">
        <v>184</v>
      </c>
      <c r="Q4" s="109" t="s">
        <v>113</v>
      </c>
      <c r="R4" s="109" t="s">
        <v>187</v>
      </c>
      <c r="S4" s="109" t="s">
        <v>186</v>
      </c>
      <c r="T4" s="109" t="str">
        <f>'ICE-Bus KH'!AO21</f>
        <v>Energy Efficiency</v>
      </c>
    </row>
    <row r="5" spans="1:21" x14ac:dyDescent="0.25">
      <c r="B5" s="112">
        <f>'E-Bus KH'!AL22</f>
        <v>-50</v>
      </c>
      <c r="C5" s="113">
        <f>'E-Bus KH'!AM22</f>
        <v>-40.26510018738751</v>
      </c>
      <c r="D5" s="113">
        <f>'E-Bus KH'!AN22</f>
        <v>-5.6965832434078756</v>
      </c>
      <c r="E5" s="113">
        <f>'E-Bus KH'!AO22</f>
        <v>-4.7762514695404841</v>
      </c>
      <c r="F5" s="113">
        <f>'E-Bus KH'!AP22</f>
        <v>-16.445919236577023</v>
      </c>
      <c r="G5" s="113">
        <f>'E-Bus KH'!AQ22</f>
        <v>-10.749335993169089</v>
      </c>
      <c r="H5" s="113">
        <f>'E-Bus KH'!AR22</f>
        <v>5.6965832434078951</v>
      </c>
      <c r="O5" s="112">
        <f>'ICE-Bus KH'!AJ22</f>
        <v>-50</v>
      </c>
      <c r="P5" s="114">
        <f>'ICE-Bus KH'!AK22</f>
        <v>-22.647164833984863</v>
      </c>
      <c r="Q5" s="114">
        <f>'ICE-Bus KH'!AL22</f>
        <v>-22.402788450138768</v>
      </c>
      <c r="R5" s="114">
        <f>'ICE-Bus KH'!AM22</f>
        <v>-8.8906961801840012</v>
      </c>
      <c r="S5" s="114">
        <f>'ICE-Bus KH'!AN22</f>
        <v>-31.293484630322745</v>
      </c>
      <c r="T5" s="114">
        <f>'ICE-Bus KH'!AO22</f>
        <v>22.402788450138768</v>
      </c>
    </row>
    <row r="6" spans="1:21" x14ac:dyDescent="0.25">
      <c r="B6" s="112">
        <f>'E-Bus KH'!AL23</f>
        <v>-40</v>
      </c>
      <c r="C6" s="113">
        <f>'E-Bus KH'!AM23</f>
        <v>-32.212080149910008</v>
      </c>
      <c r="D6" s="113">
        <f>'E-Bus KH'!AN23</f>
        <v>-4.557266594726304</v>
      </c>
      <c r="E6" s="113">
        <f>'E-Bus KH'!AO23</f>
        <v>-3.8210011756323756</v>
      </c>
      <c r="F6" s="113">
        <f>'E-Bus KH'!AP23</f>
        <v>-13.156735389261559</v>
      </c>
      <c r="G6" s="113">
        <f>'E-Bus KH'!AQ23</f>
        <v>-8.5994687945352943</v>
      </c>
      <c r="H6" s="113">
        <f>'E-Bus KH'!AR23</f>
        <v>4.5572665947263422</v>
      </c>
      <c r="O6" s="112">
        <f>'ICE-Bus KH'!AJ23</f>
        <v>-40</v>
      </c>
      <c r="P6" s="114">
        <f>'ICE-Bus KH'!AK23</f>
        <v>-18.117731867187889</v>
      </c>
      <c r="Q6" s="114">
        <f>'ICE-Bus KH'!AL23</f>
        <v>-17.922230760111031</v>
      </c>
      <c r="R6" s="114">
        <f>'ICE-Bus KH'!AM23</f>
        <v>-7.1125569441471743</v>
      </c>
      <c r="S6" s="114">
        <f>'ICE-Bus KH'!AN23</f>
        <v>-25.034787704258193</v>
      </c>
      <c r="T6" s="114">
        <f>'ICE-Bus KH'!AO23</f>
        <v>17.922230760111006</v>
      </c>
    </row>
    <row r="7" spans="1:21" x14ac:dyDescent="0.25">
      <c r="B7" s="112">
        <f>'E-Bus KH'!AL24</f>
        <v>-30</v>
      </c>
      <c r="C7" s="113">
        <f>'E-Bus KH'!AM24</f>
        <v>-24.159060112432524</v>
      </c>
      <c r="D7" s="113">
        <f>'E-Bus KH'!AN24</f>
        <v>-3.4179499460447329</v>
      </c>
      <c r="E7" s="113">
        <f>'E-Bus KH'!AO24</f>
        <v>-2.8657508817242867</v>
      </c>
      <c r="F7" s="113">
        <f>'E-Bus KH'!AP24</f>
        <v>-9.8675515419461757</v>
      </c>
      <c r="G7" s="113">
        <f>'E-Bus KH'!AQ24</f>
        <v>-6.4496015959014805</v>
      </c>
      <c r="H7" s="113">
        <f>'E-Bus KH'!AR24</f>
        <v>3.4179499460447329</v>
      </c>
      <c r="O7" s="112">
        <f>'ICE-Bus KH'!AJ24</f>
        <v>-30</v>
      </c>
      <c r="P7" s="114">
        <f>'ICE-Bus KH'!AK24</f>
        <v>-13.588298900390928</v>
      </c>
      <c r="Q7" s="114">
        <f>'ICE-Bus KH'!AL24</f>
        <v>-13.441673070083269</v>
      </c>
      <c r="R7" s="114">
        <f>'ICE-Bus KH'!AM24</f>
        <v>-5.3344177081104016</v>
      </c>
      <c r="S7" s="114">
        <f>'ICE-Bus KH'!AN24</f>
        <v>-18.776090778193641</v>
      </c>
      <c r="T7" s="114">
        <f>'ICE-Bus KH'!AO24</f>
        <v>13.441673070083226</v>
      </c>
    </row>
    <row r="8" spans="1:21" x14ac:dyDescent="0.25">
      <c r="B8" s="112">
        <f>'E-Bus KH'!AL25</f>
        <v>-20</v>
      </c>
      <c r="C8" s="113">
        <f>'E-Bus KH'!AM25</f>
        <v>-16.106040074955001</v>
      </c>
      <c r="D8" s="113">
        <f>'E-Bus KH'!AN25</f>
        <v>-2.2786332973631231</v>
      </c>
      <c r="E8" s="113">
        <f>'E-Bus KH'!AO25</f>
        <v>-1.9105005878161976</v>
      </c>
      <c r="F8" s="113">
        <f>'E-Bus KH'!AP25</f>
        <v>-6.5783676946308089</v>
      </c>
      <c r="G8" s="113">
        <f>'E-Bus KH'!AQ25</f>
        <v>-4.299734397267609</v>
      </c>
      <c r="H8" s="113">
        <f>'E-Bus KH'!AR25</f>
        <v>2.2786332973631618</v>
      </c>
      <c r="O8" s="112">
        <f>'ICE-Bus KH'!AJ25</f>
        <v>-20</v>
      </c>
      <c r="P8" s="114">
        <f>'ICE-Bus KH'!AK25</f>
        <v>-9.0588659335939496</v>
      </c>
      <c r="Q8" s="114">
        <f>'ICE-Bus KH'!AL25</f>
        <v>-8.961115380055503</v>
      </c>
      <c r="R8" s="114">
        <f>'ICE-Bus KH'!AM25</f>
        <v>-3.5562784720735734</v>
      </c>
      <c r="S8" s="114">
        <f>'ICE-Bus KH'!AN25</f>
        <v>-12.517393852129091</v>
      </c>
      <c r="T8" s="114">
        <f>'ICE-Bus KH'!AO25</f>
        <v>8.961115380055503</v>
      </c>
    </row>
    <row r="9" spans="1:21" x14ac:dyDescent="0.25">
      <c r="B9" s="112">
        <f>'E-Bus KH'!AL26</f>
        <v>-10</v>
      </c>
      <c r="C9" s="113">
        <f>'E-Bus KH'!AM26</f>
        <v>-8.0530200374774843</v>
      </c>
      <c r="D9" s="113">
        <f>'E-Bus KH'!AN26</f>
        <v>-1.139316648681552</v>
      </c>
      <c r="E9" s="113">
        <f>'E-Bus KH'!AO26</f>
        <v>-0.95525029390808902</v>
      </c>
      <c r="F9" s="113">
        <f>'E-Bus KH'!AP26</f>
        <v>-3.2891838473154045</v>
      </c>
      <c r="G9" s="113">
        <f>'E-Bus KH'!AQ26</f>
        <v>-2.1498671986337947</v>
      </c>
      <c r="H9" s="113">
        <f>'E-Bus KH'!AR26</f>
        <v>1.1393166486815904</v>
      </c>
      <c r="O9" s="112">
        <f>'ICE-Bus KH'!AJ26</f>
        <v>-10</v>
      </c>
      <c r="P9" s="114">
        <f>'ICE-Bus KH'!AK26</f>
        <v>-4.5294329667969748</v>
      </c>
      <c r="Q9" s="114">
        <f>'ICE-Bus KH'!AL26</f>
        <v>-4.4805576900277515</v>
      </c>
      <c r="R9" s="114">
        <f>'ICE-Bus KH'!AM26</f>
        <v>-1.7781392360368138</v>
      </c>
      <c r="S9" s="114">
        <f>'ICE-Bus KH'!AN26</f>
        <v>-6.2586969260645793</v>
      </c>
      <c r="T9" s="114">
        <f>'ICE-Bus KH'!AO26</f>
        <v>4.4805576900277648</v>
      </c>
    </row>
    <row r="10" spans="1:21" x14ac:dyDescent="0.25">
      <c r="B10" s="112">
        <f>'E-Bus KH'!AL27</f>
        <v>0</v>
      </c>
      <c r="C10" s="113">
        <f>'E-Bus KH'!AM27</f>
        <v>0</v>
      </c>
      <c r="D10" s="113">
        <f>'E-Bus KH'!AN27</f>
        <v>0</v>
      </c>
      <c r="E10" s="113">
        <f>'E-Bus KH'!AO27</f>
        <v>0</v>
      </c>
      <c r="F10" s="113">
        <f>'E-Bus KH'!AP27</f>
        <v>0</v>
      </c>
      <c r="G10" s="113">
        <f>'E-Bus KH'!AQ27</f>
        <v>0</v>
      </c>
      <c r="H10" s="113">
        <f>'E-Bus KH'!AR27</f>
        <v>0</v>
      </c>
      <c r="O10" s="112">
        <f>'ICE-Bus KH'!AJ27</f>
        <v>0</v>
      </c>
      <c r="P10" s="114">
        <f>'ICE-Bus KH'!AK27</f>
        <v>0</v>
      </c>
      <c r="Q10" s="114">
        <f>'ICE-Bus KH'!AL27</f>
        <v>0</v>
      </c>
      <c r="R10" s="114">
        <f>'ICE-Bus KH'!AM27</f>
        <v>0</v>
      </c>
      <c r="S10" s="114">
        <f>'ICE-Bus KH'!AN27</f>
        <v>0</v>
      </c>
      <c r="T10" s="114">
        <f>'ICE-Bus KH'!AO27</f>
        <v>0</v>
      </c>
    </row>
    <row r="11" spans="1:21" x14ac:dyDescent="0.25">
      <c r="B11" s="112">
        <f>'E-Bus KH'!AL28</f>
        <v>10</v>
      </c>
      <c r="C11" s="113">
        <f>'E-Bus KH'!AM28</f>
        <v>8.0530200374775429</v>
      </c>
      <c r="D11" s="113">
        <f>'E-Bus KH'!AN28</f>
        <v>1.1393166486815904</v>
      </c>
      <c r="E11" s="113">
        <f>'E-Bus KH'!AO28</f>
        <v>0.95525029390810834</v>
      </c>
      <c r="F11" s="113">
        <f>'E-Bus KH'!AP28</f>
        <v>3.2891838473154236</v>
      </c>
      <c r="G11" s="113">
        <f>'E-Bus KH'!AQ28</f>
        <v>2.1498671986338329</v>
      </c>
      <c r="H11" s="113">
        <f>'E-Bus KH'!AR28</f>
        <v>-1.139316648681552</v>
      </c>
      <c r="O11" s="112">
        <f>'ICE-Bus KH'!AJ28</f>
        <v>10</v>
      </c>
      <c r="P11" s="114">
        <f>'ICE-Bus KH'!AK28</f>
        <v>4.5294329667969615</v>
      </c>
      <c r="Q11" s="114">
        <f>'ICE-Bus KH'!AL28</f>
        <v>4.4805576900277648</v>
      </c>
      <c r="R11" s="114">
        <f>'ICE-Bus KH'!AM28</f>
        <v>1.7781392360368002</v>
      </c>
      <c r="S11" s="114">
        <f>'ICE-Bus KH'!AN28</f>
        <v>6.2586969260645651</v>
      </c>
      <c r="T11" s="114">
        <f>'ICE-Bus KH'!AO28</f>
        <v>-4.4805576900277515</v>
      </c>
    </row>
    <row r="12" spans="1:21" x14ac:dyDescent="0.25">
      <c r="B12" s="112">
        <f>'E-Bus KH'!AL29</f>
        <v>20</v>
      </c>
      <c r="C12" s="113">
        <f>'E-Bus KH'!AM29</f>
        <v>16.106040074955029</v>
      </c>
      <c r="D12" s="113">
        <f>'E-Bus KH'!AN29</f>
        <v>2.2786332973631618</v>
      </c>
      <c r="E12" s="113">
        <f>'E-Bus KH'!AO29</f>
        <v>1.9105005878161976</v>
      </c>
      <c r="F12" s="113">
        <f>'E-Bus KH'!AP29</f>
        <v>6.5783676946308285</v>
      </c>
      <c r="G12" s="113">
        <f>'E-Bus KH'!AQ29</f>
        <v>4.2997343972676472</v>
      </c>
      <c r="H12" s="113">
        <f>'E-Bus KH'!AR29</f>
        <v>-2.2786332973631231</v>
      </c>
      <c r="O12" s="112">
        <f>'ICE-Bus KH'!AJ29</f>
        <v>20</v>
      </c>
      <c r="P12" s="114">
        <f>'ICE-Bus KH'!AK29</f>
        <v>9.0588659335939372</v>
      </c>
      <c r="Q12" s="114">
        <f>'ICE-Bus KH'!AL29</f>
        <v>8.961115380055503</v>
      </c>
      <c r="R12" s="114">
        <f>'ICE-Bus KH'!AM29</f>
        <v>3.5562784720735872</v>
      </c>
      <c r="S12" s="114">
        <f>'ICE-Bus KH'!AN29</f>
        <v>12.517393852129102</v>
      </c>
      <c r="T12" s="114">
        <f>'ICE-Bus KH'!AO29</f>
        <v>-8.961115380055503</v>
      </c>
    </row>
    <row r="13" spans="1:21" x14ac:dyDescent="0.25">
      <c r="B13" s="112">
        <f>'E-Bus KH'!AL30</f>
        <v>30</v>
      </c>
      <c r="C13" s="113">
        <f>'E-Bus KH'!AM30</f>
        <v>24.159060112432531</v>
      </c>
      <c r="D13" s="113">
        <f>'E-Bus KH'!AN30</f>
        <v>3.4179499460447329</v>
      </c>
      <c r="E13" s="113">
        <f>'E-Bus KH'!AO30</f>
        <v>2.8657508817243058</v>
      </c>
      <c r="F13" s="113">
        <f>'E-Bus KH'!AP30</f>
        <v>9.8675515419461934</v>
      </c>
      <c r="G13" s="113">
        <f>'E-Bus KH'!AQ30</f>
        <v>6.4496015959014805</v>
      </c>
      <c r="H13" s="113">
        <f>'E-Bus KH'!AR30</f>
        <v>-3.4179499460447329</v>
      </c>
      <c r="O13" s="112">
        <f>'ICE-Bus KH'!AJ30</f>
        <v>30</v>
      </c>
      <c r="P13" s="114">
        <f>'ICE-Bus KH'!AK30</f>
        <v>13.588298900390914</v>
      </c>
      <c r="Q13" s="114">
        <f>'ICE-Bus KH'!AL30</f>
        <v>13.441673070083226</v>
      </c>
      <c r="R13" s="114">
        <f>'ICE-Bus KH'!AM30</f>
        <v>5.3344177081103741</v>
      </c>
      <c r="S13" s="114">
        <f>'ICE-Bus KH'!AN30</f>
        <v>18.776090778193641</v>
      </c>
      <c r="T13" s="114">
        <f>'ICE-Bus KH'!AO30</f>
        <v>-13.441673070083269</v>
      </c>
    </row>
    <row r="14" spans="1:21" x14ac:dyDescent="0.25">
      <c r="B14" s="112">
        <f>'E-Bus KH'!AL31</f>
        <v>40</v>
      </c>
      <c r="C14" s="113">
        <f>'E-Bus KH'!AM31</f>
        <v>32.212080149910058</v>
      </c>
      <c r="D14" s="113">
        <f>'E-Bus KH'!AN31</f>
        <v>4.5572665947263422</v>
      </c>
      <c r="E14" s="113">
        <f>'E-Bus KH'!AO31</f>
        <v>3.8210011756323952</v>
      </c>
      <c r="F14" s="113">
        <f>'E-Bus KH'!AP31</f>
        <v>13.156735389261618</v>
      </c>
      <c r="G14" s="113">
        <f>'E-Bus KH'!AQ31</f>
        <v>8.5994687945352748</v>
      </c>
      <c r="H14" s="113">
        <f>'E-Bus KH'!AR31</f>
        <v>-4.557266594726304</v>
      </c>
      <c r="O14" s="112">
        <f>'ICE-Bus KH'!AJ31</f>
        <v>40</v>
      </c>
      <c r="P14" s="114">
        <f>'ICE-Bus KH'!AK31</f>
        <v>18.11773186718786</v>
      </c>
      <c r="Q14" s="114">
        <f>'ICE-Bus KH'!AL31</f>
        <v>17.922230760111006</v>
      </c>
      <c r="R14" s="114">
        <f>'ICE-Bus KH'!AM31</f>
        <v>7.1125569441471743</v>
      </c>
      <c r="S14" s="114">
        <f>'ICE-Bus KH'!AN31</f>
        <v>25.034787704258193</v>
      </c>
      <c r="T14" s="114">
        <f>'ICE-Bus KH'!AO31</f>
        <v>-17.922230760111031</v>
      </c>
    </row>
    <row r="15" spans="1:21" x14ac:dyDescent="0.25">
      <c r="B15" s="112">
        <f>'E-Bus KH'!AL32</f>
        <v>50</v>
      </c>
      <c r="C15" s="113">
        <f>'E-Bus KH'!AM32</f>
        <v>40.265100187387546</v>
      </c>
      <c r="D15" s="113">
        <f>'E-Bus KH'!AN32</f>
        <v>5.6965832434079138</v>
      </c>
      <c r="E15" s="113">
        <f>'E-Bus KH'!AO32</f>
        <v>4.7762514695404645</v>
      </c>
      <c r="F15" s="113">
        <f>'E-Bus KH'!AP32</f>
        <v>16.445919236577001</v>
      </c>
      <c r="G15" s="113">
        <f>'E-Bus KH'!AQ32</f>
        <v>10.749335993169108</v>
      </c>
      <c r="H15" s="113">
        <f>'E-Bus KH'!AR32</f>
        <v>-5.6965832434078756</v>
      </c>
      <c r="O15" s="112">
        <f>'ICE-Bus KH'!AJ32</f>
        <v>50</v>
      </c>
      <c r="P15" s="114">
        <f>'ICE-Bus KH'!AK32</f>
        <v>22.647164833984839</v>
      </c>
      <c r="Q15" s="114">
        <f>'ICE-Bus KH'!AL32</f>
        <v>22.402788450138768</v>
      </c>
      <c r="R15" s="114">
        <f>'ICE-Bus KH'!AM32</f>
        <v>8.8906961801839746</v>
      </c>
      <c r="S15" s="114">
        <f>'ICE-Bus KH'!AN32</f>
        <v>31.293484630322759</v>
      </c>
      <c r="T15" s="114">
        <f>'ICE-Bus KH'!AO32</f>
        <v>-22.402788450138768</v>
      </c>
    </row>
    <row r="17" spans="2:20" x14ac:dyDescent="0.25">
      <c r="B17" s="108" t="s">
        <v>188</v>
      </c>
      <c r="O17" s="108" t="s">
        <v>189</v>
      </c>
    </row>
    <row r="18" spans="2:20" x14ac:dyDescent="0.25">
      <c r="B18" s="125" t="s">
        <v>182</v>
      </c>
      <c r="C18" s="126" t="s">
        <v>183</v>
      </c>
      <c r="D18" s="126"/>
      <c r="E18" s="126"/>
      <c r="F18" s="126"/>
      <c r="G18" s="126"/>
      <c r="H18" s="120"/>
      <c r="O18" s="125" t="s">
        <v>182</v>
      </c>
      <c r="P18" s="127" t="s">
        <v>183</v>
      </c>
      <c r="Q18" s="127"/>
      <c r="R18" s="127"/>
      <c r="S18" s="127"/>
      <c r="T18" s="110"/>
    </row>
    <row r="19" spans="2:20" x14ac:dyDescent="0.25">
      <c r="B19" s="125"/>
      <c r="C19" s="110" t="s">
        <v>184</v>
      </c>
      <c r="D19" s="110" t="s">
        <v>185</v>
      </c>
      <c r="E19" s="110" t="s">
        <v>31</v>
      </c>
      <c r="F19" s="110" t="s">
        <v>186</v>
      </c>
      <c r="G19" s="110" t="s">
        <v>187</v>
      </c>
      <c r="H19" s="110" t="str">
        <f>'E-Truck KH'!AR21</f>
        <v>Energy Efficiency</v>
      </c>
      <c r="O19" s="125"/>
      <c r="P19" s="109" t="s">
        <v>184</v>
      </c>
      <c r="Q19" s="109" t="s">
        <v>113</v>
      </c>
      <c r="R19" s="109" t="s">
        <v>187</v>
      </c>
      <c r="S19" s="109" t="s">
        <v>186</v>
      </c>
      <c r="T19" s="109" t="str">
        <f>'ICE-Truck KH'!AO21</f>
        <v>Energy Efficiency</v>
      </c>
    </row>
    <row r="20" spans="2:20" x14ac:dyDescent="0.25">
      <c r="B20" s="112">
        <f>'E-Truck KH'!AL22</f>
        <v>-50</v>
      </c>
      <c r="C20" s="113">
        <f>'E-Truck KH'!AM22</f>
        <v>-36.538670119701159</v>
      </c>
      <c r="D20" s="113">
        <f>'E-Truck KH'!AN22</f>
        <v>-5.5794284980726756</v>
      </c>
      <c r="E20" s="113">
        <f>'E-Truck KH'!AO22</f>
        <v>-5.2001369358462588</v>
      </c>
      <c r="F20" s="113">
        <f>'E-Truck KH'!AP22</f>
        <v>-21.46373193181746</v>
      </c>
      <c r="G20" s="113">
        <f>'E-Truck KH'!AQ22</f>
        <v>-9.3934613487420044</v>
      </c>
      <c r="H20" s="113">
        <f>'E-Truck KH'!AR22</f>
        <v>5.5794284980726614</v>
      </c>
      <c r="O20" s="112">
        <f>'ICE-Truck KH'!AJ22</f>
        <v>-50</v>
      </c>
      <c r="P20" s="114">
        <f>'ICE-Truck KH'!AK22</f>
        <v>-7.2138986040853972</v>
      </c>
      <c r="Q20" s="114">
        <f>'ICE-Truck KH'!AL22</f>
        <v>-27.924446086805133</v>
      </c>
      <c r="R20" s="114">
        <f>'ICE-Truck KH'!AM22</f>
        <v>-16.31665087718482</v>
      </c>
      <c r="S20" s="114">
        <f>'ICE-Truck KH'!AN22</f>
        <v>-44.241096963989939</v>
      </c>
      <c r="T20" s="114">
        <f>'ICE-Truck KH'!AO22</f>
        <v>27.924446086805098</v>
      </c>
    </row>
    <row r="21" spans="2:20" x14ac:dyDescent="0.25">
      <c r="B21" s="112">
        <f>'E-Truck KH'!AL23</f>
        <v>-40</v>
      </c>
      <c r="C21" s="113">
        <f>'E-Truck KH'!AM23</f>
        <v>-29.230936095760928</v>
      </c>
      <c r="D21" s="113">
        <f>'E-Truck KH'!AN23</f>
        <v>-4.4635427984581488</v>
      </c>
      <c r="E21" s="113">
        <f>'E-Truck KH'!AO23</f>
        <v>-4.1601095486770152</v>
      </c>
      <c r="F21" s="113">
        <f>'E-Truck KH'!AP23</f>
        <v>-18.191265735245178</v>
      </c>
      <c r="G21" s="113">
        <f>'E-Truck KH'!AQ23</f>
        <v>-7.5147690789936163</v>
      </c>
      <c r="H21" s="113">
        <f>'E-Truck KH'!AR23</f>
        <v>4.4635427984581053</v>
      </c>
      <c r="O21" s="112">
        <f>'ICE-Truck KH'!AJ23</f>
        <v>-40</v>
      </c>
      <c r="P21" s="114">
        <f>'ICE-Truck KH'!AK23</f>
        <v>-5.7711188832683238</v>
      </c>
      <c r="Q21" s="114">
        <f>'ICE-Truck KH'!AL23</f>
        <v>-22.339556869444124</v>
      </c>
      <c r="R21" s="114">
        <f>'ICE-Truck KH'!AM23</f>
        <v>-13.053320701747881</v>
      </c>
      <c r="S21" s="114">
        <f>'ICE-Truck KH'!AN23</f>
        <v>-35.392877571191974</v>
      </c>
      <c r="T21" s="114">
        <f>'ICE-Truck KH'!AO23</f>
        <v>22.339556869444063</v>
      </c>
    </row>
    <row r="22" spans="2:20" x14ac:dyDescent="0.25">
      <c r="B22" s="112">
        <f>'E-Truck KH'!AL24</f>
        <v>-30</v>
      </c>
      <c r="C22" s="113">
        <f>'E-Truck KH'!AM24</f>
        <v>-21.923202071820675</v>
      </c>
      <c r="D22" s="113">
        <f>'E-Truck KH'!AN24</f>
        <v>-3.3476570988436087</v>
      </c>
      <c r="E22" s="113">
        <f>'E-Truck KH'!AO24</f>
        <v>-3.1200821615077583</v>
      </c>
      <c r="F22" s="113">
        <f>'E-Truck KH'!AP24</f>
        <v>-14.904905127312402</v>
      </c>
      <c r="G22" s="113">
        <f>'E-Truck KH'!AQ24</f>
        <v>-5.6360768092452123</v>
      </c>
      <c r="H22" s="113">
        <f>'E-Truck KH'!AR24</f>
        <v>3.347657098843579</v>
      </c>
      <c r="O22" s="112">
        <f>'ICE-Truck KH'!AJ24</f>
        <v>-30</v>
      </c>
      <c r="P22" s="114">
        <f>'ICE-Truck KH'!AK24</f>
        <v>-4.3283391624512353</v>
      </c>
      <c r="Q22" s="114">
        <f>'ICE-Truck KH'!AL24</f>
        <v>-16.754667652083093</v>
      </c>
      <c r="R22" s="114">
        <f>'ICE-Truck KH'!AM24</f>
        <v>-9.7899905263109162</v>
      </c>
      <c r="S22" s="114">
        <f>'ICE-Truck KH'!AN24</f>
        <v>-26.544658178393977</v>
      </c>
      <c r="T22" s="114">
        <f>'ICE-Truck KH'!AO24</f>
        <v>16.754667652083061</v>
      </c>
    </row>
    <row r="23" spans="2:20" x14ac:dyDescent="0.25">
      <c r="B23" s="112">
        <f>'E-Truck KH'!AL25</f>
        <v>-20</v>
      </c>
      <c r="C23" s="113">
        <f>'E-Truck KH'!AM25</f>
        <v>-14.615468047880443</v>
      </c>
      <c r="D23" s="113">
        <f>'E-Truck KH'!AN25</f>
        <v>-2.2317713992290673</v>
      </c>
      <c r="E23" s="113">
        <f>'E-Truck KH'!AO25</f>
        <v>-2.0800547743385005</v>
      </c>
      <c r="F23" s="113">
        <f>'E-Truck KH'!AP25</f>
        <v>-11.603955387451188</v>
      </c>
      <c r="G23" s="113">
        <f>'E-Truck KH'!AQ25</f>
        <v>-3.7573845394968228</v>
      </c>
      <c r="H23" s="113">
        <f>'E-Truck KH'!AR25</f>
        <v>2.2317713992290527</v>
      </c>
      <c r="O23" s="112">
        <f>'ICE-Truck KH'!AJ25</f>
        <v>-20</v>
      </c>
      <c r="P23" s="114">
        <f>'ICE-Truck KH'!AK25</f>
        <v>-2.885559441634177</v>
      </c>
      <c r="Q23" s="114">
        <f>'ICE-Truck KH'!AL25</f>
        <v>-11.169778434722055</v>
      </c>
      <c r="R23" s="114">
        <f>'ICE-Truck KH'!AM25</f>
        <v>-6.5266603508739491</v>
      </c>
      <c r="S23" s="114">
        <f>'ICE-Truck KH'!AN25</f>
        <v>-17.696438785595987</v>
      </c>
      <c r="T23" s="114">
        <f>'ICE-Truck KH'!AO25</f>
        <v>11.169778434722041</v>
      </c>
    </row>
    <row r="24" spans="2:20" x14ac:dyDescent="0.25">
      <c r="B24" s="112">
        <f>'E-Truck KH'!AL26</f>
        <v>-10</v>
      </c>
      <c r="C24" s="113">
        <f>'E-Truck KH'!AM26</f>
        <v>-7.3077340239402364</v>
      </c>
      <c r="D24" s="113">
        <f>'E-Truck KH'!AN26</f>
        <v>-1.115885699614541</v>
      </c>
      <c r="E24" s="113">
        <f>'E-Truck KH'!AO26</f>
        <v>-1.0400273871692725</v>
      </c>
      <c r="F24" s="113">
        <f>'E-Truck KH'!AP26</f>
        <v>-2.9945779693629304</v>
      </c>
      <c r="G24" s="113">
        <f>'E-Truck KH'!AQ26</f>
        <v>-1.878692269748419</v>
      </c>
      <c r="H24" s="113">
        <f>'E-Truck KH'!AR26</f>
        <v>1.1158856996145263</v>
      </c>
      <c r="O24" s="112">
        <f>'ICE-Truck KH'!AJ26</f>
        <v>-10</v>
      </c>
      <c r="P24" s="114">
        <f>'ICE-Truck KH'!AK26</f>
        <v>-1.442779720817104</v>
      </c>
      <c r="Q24" s="114">
        <f>'ICE-Truck KH'!AL26</f>
        <v>-5.5848892173610354</v>
      </c>
      <c r="R24" s="114">
        <f>'ICE-Truck KH'!AM26</f>
        <v>-3.2633301754369666</v>
      </c>
      <c r="S24" s="114">
        <f>'ICE-Truck KH'!AN26</f>
        <v>-8.8482193927980326</v>
      </c>
      <c r="T24" s="114">
        <f>'ICE-Truck KH'!AO26</f>
        <v>5.5848892173610043</v>
      </c>
    </row>
    <row r="25" spans="2:20" x14ac:dyDescent="0.25">
      <c r="B25" s="112">
        <f>'E-Truck KH'!AL27</f>
        <v>0</v>
      </c>
      <c r="C25" s="113">
        <f>'E-Truck KH'!AM27</f>
        <v>0</v>
      </c>
      <c r="D25" s="113">
        <f>'E-Truck KH'!AN27</f>
        <v>0</v>
      </c>
      <c r="E25" s="113">
        <f>'E-Truck KH'!AO27</f>
        <v>0</v>
      </c>
      <c r="F25" s="113">
        <f>'E-Truck KH'!AP27</f>
        <v>0</v>
      </c>
      <c r="G25" s="113">
        <f>'E-Truck KH'!AQ27</f>
        <v>0</v>
      </c>
      <c r="H25" s="113">
        <f>'E-Truck KH'!AR27</f>
        <v>0</v>
      </c>
      <c r="O25" s="112">
        <f>'ICE-Truck KH'!AJ27</f>
        <v>0</v>
      </c>
      <c r="P25" s="114">
        <f>'ICE-Truck KH'!AK27</f>
        <v>0</v>
      </c>
      <c r="Q25" s="114">
        <f>'ICE-Truck KH'!AL27</f>
        <v>0</v>
      </c>
      <c r="R25" s="114">
        <f>'ICE-Truck KH'!AM27</f>
        <v>0</v>
      </c>
      <c r="S25" s="114">
        <f>'ICE-Truck KH'!AN27</f>
        <v>0</v>
      </c>
      <c r="T25" s="114">
        <f>'ICE-Truck KH'!AO27</f>
        <v>0</v>
      </c>
    </row>
    <row r="26" spans="2:20" x14ac:dyDescent="0.25">
      <c r="B26" s="112">
        <f>'E-Truck KH'!AL28</f>
        <v>10</v>
      </c>
      <c r="C26" s="113">
        <f>'E-Truck KH'!AM28</f>
        <v>7.3077340239402364</v>
      </c>
      <c r="D26" s="113">
        <f>'E-Truck KH'!AN28</f>
        <v>1.1158856996145263</v>
      </c>
      <c r="E26" s="113">
        <f>'E-Truck KH'!AO28</f>
        <v>1.040027387169228</v>
      </c>
      <c r="F26" s="113">
        <f>'E-Truck KH'!AP28</f>
        <v>2.9945779693629158</v>
      </c>
      <c r="G26" s="113">
        <f>'E-Truck KH'!AQ28</f>
        <v>1.8786922697483746</v>
      </c>
      <c r="H26" s="113">
        <f>'E-Truck KH'!AR28</f>
        <v>-1.115885699614541</v>
      </c>
      <c r="O26" s="112">
        <f>'ICE-Truck KH'!AJ28</f>
        <v>10</v>
      </c>
      <c r="P26" s="114">
        <f>'ICE-Truck KH'!AK28</f>
        <v>1.4427797208170425</v>
      </c>
      <c r="Q26" s="114">
        <f>'ICE-Truck KH'!AL28</f>
        <v>5.5848892173610203</v>
      </c>
      <c r="R26" s="114">
        <f>'ICE-Truck KH'!AM28</f>
        <v>3.2633301754369364</v>
      </c>
      <c r="S26" s="114">
        <f>'ICE-Truck KH'!AN28</f>
        <v>8.8482193927979704</v>
      </c>
      <c r="T26" s="114">
        <f>'ICE-Truck KH'!AO28</f>
        <v>-5.5848892173610354</v>
      </c>
    </row>
    <row r="27" spans="2:20" x14ac:dyDescent="0.25">
      <c r="B27" s="112">
        <f>'E-Truck KH'!AL29</f>
        <v>20</v>
      </c>
      <c r="C27" s="113">
        <f>'E-Truck KH'!AM29</f>
        <v>14.615468047880457</v>
      </c>
      <c r="D27" s="113">
        <f>'E-Truck KH'!AN29</f>
        <v>2.2317713992290527</v>
      </c>
      <c r="E27" s="113">
        <f>'E-Truck KH'!AO29</f>
        <v>2.0800547743385005</v>
      </c>
      <c r="F27" s="113">
        <f>'E-Truck KH'!AP29</f>
        <v>6.8694744973947248</v>
      </c>
      <c r="G27" s="113">
        <f>'E-Truck KH'!AQ29</f>
        <v>3.7573845394968082</v>
      </c>
      <c r="H27" s="113">
        <f>'E-Truck KH'!AR29</f>
        <v>-2.2317713992290673</v>
      </c>
      <c r="O27" s="112">
        <f>'ICE-Truck KH'!AJ29</f>
        <v>20</v>
      </c>
      <c r="P27" s="114">
        <f>'ICE-Truck KH'!AK29</f>
        <v>2.8855594416341468</v>
      </c>
      <c r="Q27" s="114">
        <f>'ICE-Truck KH'!AL29</f>
        <v>11.169778434722041</v>
      </c>
      <c r="R27" s="114">
        <f>'ICE-Truck KH'!AM29</f>
        <v>6.5266603508738879</v>
      </c>
      <c r="S27" s="114">
        <f>'ICE-Truck KH'!AN29</f>
        <v>17.696438785595941</v>
      </c>
      <c r="T27" s="114">
        <f>'ICE-Truck KH'!AO29</f>
        <v>-11.169778434722055</v>
      </c>
    </row>
    <row r="28" spans="2:20" x14ac:dyDescent="0.25">
      <c r="B28" s="112">
        <f>'E-Truck KH'!AL30</f>
        <v>30</v>
      </c>
      <c r="C28" s="113">
        <f>'E-Truck KH'!AM30</f>
        <v>21.923202071820707</v>
      </c>
      <c r="D28" s="113">
        <f>'E-Truck KH'!AN30</f>
        <v>3.347657098843579</v>
      </c>
      <c r="E28" s="113">
        <f>'E-Truck KH'!AO30</f>
        <v>3.1200821615077583</v>
      </c>
      <c r="F28" s="113">
        <f>'E-Truck KH'!AP30</f>
        <v>9.8640524667576397</v>
      </c>
      <c r="G28" s="113">
        <f>'E-Truck KH'!AQ30</f>
        <v>5.6360768092452123</v>
      </c>
      <c r="H28" s="113">
        <f>'E-Truck KH'!AR30</f>
        <v>-3.3476570988436087</v>
      </c>
      <c r="O28" s="112">
        <f>'ICE-Truck KH'!AJ30</f>
        <v>30</v>
      </c>
      <c r="P28" s="114">
        <f>'ICE-Truck KH'!AK30</f>
        <v>4.3283391624512193</v>
      </c>
      <c r="Q28" s="114">
        <f>'ICE-Truck KH'!AL30</f>
        <v>16.754667652083043</v>
      </c>
      <c r="R28" s="114">
        <f>'ICE-Truck KH'!AM30</f>
        <v>9.789990526310854</v>
      </c>
      <c r="S28" s="114">
        <f>'ICE-Truck KH'!AN30</f>
        <v>26.544658178393941</v>
      </c>
      <c r="T28" s="114">
        <f>'ICE-Truck KH'!AO30</f>
        <v>-16.754667652083093</v>
      </c>
    </row>
    <row r="29" spans="2:20" x14ac:dyDescent="0.25">
      <c r="B29" s="112">
        <f>'E-Truck KH'!AL31</f>
        <v>40</v>
      </c>
      <c r="C29" s="113">
        <f>'E-Truck KH'!AM31</f>
        <v>29.230936095760914</v>
      </c>
      <c r="D29" s="113">
        <f>'E-Truck KH'!AN31</f>
        <v>4.4635427984581053</v>
      </c>
      <c r="E29" s="113">
        <f>'E-Truck KH'!AO31</f>
        <v>4.1601095486770152</v>
      </c>
      <c r="F29" s="113">
        <f>'E-Truck KH'!AP31</f>
        <v>12.858630436120572</v>
      </c>
      <c r="G29" s="113">
        <f>'E-Truck KH'!AQ31</f>
        <v>7.5147690789936012</v>
      </c>
      <c r="H29" s="113">
        <f>'E-Truck KH'!AR31</f>
        <v>-4.4635427984581488</v>
      </c>
      <c r="O29" s="112">
        <f>'ICE-Truck KH'!AJ31</f>
        <v>40</v>
      </c>
      <c r="P29" s="114">
        <f>'ICE-Truck KH'!AK31</f>
        <v>5.7711188832682625</v>
      </c>
      <c r="Q29" s="114">
        <f>'ICE-Truck KH'!AL31</f>
        <v>22.339556869444063</v>
      </c>
      <c r="R29" s="114">
        <f>'ICE-Truck KH'!AM31</f>
        <v>13.05332070174782</v>
      </c>
      <c r="S29" s="114">
        <f>'ICE-Truck KH'!AN31</f>
        <v>35.392877571191946</v>
      </c>
      <c r="T29" s="114">
        <f>'ICE-Truck KH'!AO31</f>
        <v>-22.339556869444124</v>
      </c>
    </row>
    <row r="30" spans="2:20" x14ac:dyDescent="0.25">
      <c r="B30" s="112">
        <f>'E-Truck KH'!AL32</f>
        <v>50</v>
      </c>
      <c r="C30" s="113">
        <f>'E-Truck KH'!AM32</f>
        <v>36.538670119701159</v>
      </c>
      <c r="D30" s="113">
        <f>'E-Truck KH'!AN32</f>
        <v>5.5794284980726614</v>
      </c>
      <c r="E30" s="113">
        <f>'E-Truck KH'!AO32</f>
        <v>5.2001369358462588</v>
      </c>
      <c r="F30" s="113">
        <f>'E-Truck KH'!AP32</f>
        <v>22.36379097956188</v>
      </c>
      <c r="G30" s="113">
        <f>'E-Truck KH'!AQ32</f>
        <v>9.393461348741976</v>
      </c>
      <c r="H30" s="113">
        <f>'E-Truck KH'!AR32</f>
        <v>-5.5794284980726756</v>
      </c>
      <c r="O30" s="112">
        <f>'ICE-Truck KH'!AJ32</f>
        <v>50</v>
      </c>
      <c r="P30" s="114">
        <f>'ICE-Truck KH'!AK32</f>
        <v>7.213898604085367</v>
      </c>
      <c r="Q30" s="114">
        <f>'ICE-Truck KH'!AL32</f>
        <v>27.924446086805116</v>
      </c>
      <c r="R30" s="114">
        <f>'ICE-Truck KH'!AM32</f>
        <v>16.316650877184802</v>
      </c>
      <c r="S30" s="114">
        <f>'ICE-Truck KH'!AN32</f>
        <v>44.241096963989904</v>
      </c>
      <c r="T30" s="114">
        <f>'ICE-Truck KH'!AO32</f>
        <v>-27.924446086805133</v>
      </c>
    </row>
    <row r="32" spans="2:20" x14ac:dyDescent="0.25">
      <c r="B32" s="108" t="s">
        <v>190</v>
      </c>
      <c r="O32" s="108" t="s">
        <v>191</v>
      </c>
    </row>
    <row r="33" spans="2:20" x14ac:dyDescent="0.25">
      <c r="B33" s="125" t="s">
        <v>182</v>
      </c>
      <c r="C33" s="126" t="s">
        <v>183</v>
      </c>
      <c r="D33" s="126"/>
      <c r="E33" s="126"/>
      <c r="F33" s="126"/>
      <c r="G33" s="126"/>
      <c r="H33" s="120"/>
      <c r="O33" s="125" t="s">
        <v>182</v>
      </c>
      <c r="P33" s="127" t="s">
        <v>183</v>
      </c>
      <c r="Q33" s="127"/>
      <c r="R33" s="127"/>
      <c r="S33" s="127"/>
      <c r="T33" s="110"/>
    </row>
    <row r="34" spans="2:20" x14ac:dyDescent="0.25">
      <c r="B34" s="125"/>
      <c r="C34" s="110" t="s">
        <v>184</v>
      </c>
      <c r="D34" s="110" t="s">
        <v>185</v>
      </c>
      <c r="E34" s="110" t="s">
        <v>31</v>
      </c>
      <c r="F34" s="110" t="s">
        <v>186</v>
      </c>
      <c r="G34" s="110" t="s">
        <v>187</v>
      </c>
      <c r="H34" s="110" t="str">
        <f>'E-Cargo KH'!AR21</f>
        <v>Energy Efficiency</v>
      </c>
      <c r="O34" s="125"/>
      <c r="P34" s="109" t="s">
        <v>184</v>
      </c>
      <c r="Q34" s="109" t="s">
        <v>113</v>
      </c>
      <c r="R34" s="109" t="s">
        <v>187</v>
      </c>
      <c r="S34" s="109" t="s">
        <v>186</v>
      </c>
      <c r="T34" s="109" t="str">
        <f>'ICE-Cargo KH'!AO21</f>
        <v>Energy Efficiency</v>
      </c>
    </row>
    <row r="35" spans="2:20" x14ac:dyDescent="0.25">
      <c r="B35" s="115">
        <f>'E-Cargo KH'!AL22</f>
        <v>-50</v>
      </c>
      <c r="C35" s="113">
        <f>'E-Cargo KH'!AM22</f>
        <v>-44.172456748165175</v>
      </c>
      <c r="D35" s="113">
        <f>'E-Cargo KH'!AN22</f>
        <v>-4.4362596744613274</v>
      </c>
      <c r="E35" s="113">
        <f>'E-Cargo KH'!AO22</f>
        <v>-10.684987730331121</v>
      </c>
      <c r="F35" s="113">
        <f>'E-Cargo KH'!AP22</f>
        <v>-16.255394838748831</v>
      </c>
      <c r="G35" s="113">
        <f>'E-Cargo KH'!AQ22</f>
        <v>-4.147307614644788</v>
      </c>
      <c r="H35" s="113">
        <f>'E-Cargo KH'!AR22</f>
        <v>4.4362596744613692</v>
      </c>
      <c r="O35" s="112">
        <f>'ICE-Cargo KH'!AJ22</f>
        <v>-50</v>
      </c>
      <c r="P35" s="114">
        <f>'ICE-Cargo KH'!AK22</f>
        <v>-20.324692733670343</v>
      </c>
      <c r="Q35" s="114">
        <f>'ICE-Cargo KH'!AL22</f>
        <v>-24.150622044589024</v>
      </c>
      <c r="R35" s="114">
        <f>'ICE-Cargo KH'!AM22</f>
        <v>-8.4207387183996243</v>
      </c>
      <c r="S35" s="114">
        <f>'ICE-Cargo KH'!AN22</f>
        <v>-32.57136076298864</v>
      </c>
      <c r="T35" s="114">
        <f>'ICE-Cargo KH'!AO22</f>
        <v>24.150622044588989</v>
      </c>
    </row>
    <row r="36" spans="2:20" x14ac:dyDescent="0.25">
      <c r="B36" s="115">
        <f>'E-Cargo KH'!AL23</f>
        <v>-40</v>
      </c>
      <c r="C36" s="113">
        <f>'E-Cargo KH'!AM23</f>
        <v>-35.33796539853212</v>
      </c>
      <c r="D36" s="113">
        <f>'E-Cargo KH'!AN23</f>
        <v>-3.5490077395690953</v>
      </c>
      <c r="E36" s="113">
        <f>'E-Cargo KH'!AO23</f>
        <v>-8.54799018426489</v>
      </c>
      <c r="F36" s="113">
        <f>'E-Cargo KH'!AP23</f>
        <v>-14.538681380927592</v>
      </c>
      <c r="G36" s="113">
        <f>'E-Cargo KH'!AQ23</f>
        <v>-3.3178460917158015</v>
      </c>
      <c r="H36" s="113">
        <f>'E-Cargo KH'!AR23</f>
        <v>3.5490077395690953</v>
      </c>
      <c r="O36" s="112">
        <f>'ICE-Cargo KH'!AJ23</f>
        <v>-40</v>
      </c>
      <c r="P36" s="114">
        <f>'ICE-Cargo KH'!AK23</f>
        <v>-16.259754186936277</v>
      </c>
      <c r="Q36" s="114">
        <f>'ICE-Cargo KH'!AL23</f>
        <v>-19.320497635671213</v>
      </c>
      <c r="R36" s="114">
        <f>'ICE-Cargo KH'!AM23</f>
        <v>-6.7365909747197055</v>
      </c>
      <c r="S36" s="114">
        <f>'ICE-Cargo KH'!AN23</f>
        <v>-26.05708861039091</v>
      </c>
      <c r="T36" s="114">
        <f>'ICE-Cargo KH'!AO23</f>
        <v>19.320497635671163</v>
      </c>
    </row>
    <row r="37" spans="2:20" x14ac:dyDescent="0.25">
      <c r="B37" s="115">
        <f>'E-Cargo KH'!AL24</f>
        <v>-30</v>
      </c>
      <c r="C37" s="113">
        <f>'E-Cargo KH'!AM24</f>
        <v>-26.503474048899118</v>
      </c>
      <c r="D37" s="113">
        <f>'E-Cargo KH'!AN24</f>
        <v>-2.6617558046768215</v>
      </c>
      <c r="E37" s="113">
        <f>'E-Cargo KH'!AO24</f>
        <v>-6.41099263819864</v>
      </c>
      <c r="F37" s="113">
        <f>'E-Cargo KH'!AP24</f>
        <v>-12.821967923106396</v>
      </c>
      <c r="G37" s="113">
        <f>'E-Cargo KH'!AQ24</f>
        <v>-2.4883845687868766</v>
      </c>
      <c r="H37" s="113">
        <f>'E-Cargo KH'!AR24</f>
        <v>2.6617558046768424</v>
      </c>
      <c r="O37" s="112">
        <f>'ICE-Cargo KH'!AJ24</f>
        <v>-30</v>
      </c>
      <c r="P37" s="114">
        <f>'ICE-Cargo KH'!AK24</f>
        <v>-12.194815640202206</v>
      </c>
      <c r="Q37" s="114">
        <f>'ICE-Cargo KH'!AL24</f>
        <v>-14.4903732267534</v>
      </c>
      <c r="R37" s="114">
        <f>'ICE-Cargo KH'!AM24</f>
        <v>-5.0524432310398044</v>
      </c>
      <c r="S37" s="114">
        <f>'ICE-Cargo KH'!AN24</f>
        <v>-19.542816457793204</v>
      </c>
      <c r="T37" s="114">
        <f>'ICE-Cargo KH'!AO24</f>
        <v>14.490373226753416</v>
      </c>
    </row>
    <row r="38" spans="2:20" x14ac:dyDescent="0.25">
      <c r="B38" s="115">
        <f>'E-Cargo KH'!AL25</f>
        <v>-20</v>
      </c>
      <c r="C38" s="113">
        <f>'E-Cargo KH'!AM25</f>
        <v>-17.668982699266053</v>
      </c>
      <c r="D38" s="113">
        <f>'E-Cargo KH'!AN25</f>
        <v>-1.7745038697845268</v>
      </c>
      <c r="E38" s="113">
        <f>'E-Cargo KH'!AO25</f>
        <v>-4.273995092132461</v>
      </c>
      <c r="F38" s="113">
        <f>'E-Cargo KH'!AP25</f>
        <v>-11.105254465285155</v>
      </c>
      <c r="G38" s="113">
        <f>'E-Cargo KH'!AQ25</f>
        <v>-1.6589230458579109</v>
      </c>
      <c r="H38" s="113">
        <f>'E-Cargo KH'!AR25</f>
        <v>1.7745038697845477</v>
      </c>
      <c r="O38" s="112">
        <f>'ICE-Cargo KH'!AJ25</f>
        <v>-20</v>
      </c>
      <c r="P38" s="114">
        <f>'ICE-Cargo KH'!AK25</f>
        <v>-8.1298770934681386</v>
      </c>
      <c r="Q38" s="114">
        <f>'ICE-Cargo KH'!AL25</f>
        <v>-9.6602488178356403</v>
      </c>
      <c r="R38" s="114">
        <f>'ICE-Cargo KH'!AM25</f>
        <v>-3.368295487359886</v>
      </c>
      <c r="S38" s="114">
        <f>'ICE-Cargo KH'!AN25</f>
        <v>-13.028544305195458</v>
      </c>
      <c r="T38" s="114">
        <f>'ICE-Cargo KH'!AO25</f>
        <v>9.6602488178355905</v>
      </c>
    </row>
    <row r="39" spans="2:20" x14ac:dyDescent="0.25">
      <c r="B39" s="115">
        <f>'E-Cargo KH'!AL26</f>
        <v>-10</v>
      </c>
      <c r="C39" s="113">
        <f>'E-Cargo KH'!AM26</f>
        <v>-8.8344913496330264</v>
      </c>
      <c r="D39" s="113">
        <f>'E-Cargo KH'!AN26</f>
        <v>-0.88725193489225318</v>
      </c>
      <c r="E39" s="113">
        <f>'E-Cargo KH'!AO26</f>
        <v>-2.1369975460661994</v>
      </c>
      <c r="F39" s="113">
        <f>'E-Cargo KH'!AP26</f>
        <v>-9.3885410074639157</v>
      </c>
      <c r="G39" s="113">
        <f>'E-Cargo KH'!AQ26</f>
        <v>-0.82946152292892461</v>
      </c>
      <c r="H39" s="113">
        <f>'E-Cargo KH'!AR26</f>
        <v>0.88725193489227383</v>
      </c>
      <c r="O39" s="112">
        <f>'ICE-Cargo KH'!AJ26</f>
        <v>-10</v>
      </c>
      <c r="P39" s="114">
        <f>'ICE-Cargo KH'!AK26</f>
        <v>-4.0649385467340693</v>
      </c>
      <c r="Q39" s="114">
        <f>'ICE-Cargo KH'!AL26</f>
        <v>-4.8301244089177953</v>
      </c>
      <c r="R39" s="114">
        <f>'ICE-Cargo KH'!AM26</f>
        <v>-1.684147743679951</v>
      </c>
      <c r="S39" s="114">
        <f>'ICE-Cargo KH'!AN26</f>
        <v>-6.5142721525977292</v>
      </c>
      <c r="T39" s="114">
        <f>'ICE-Cargo KH'!AO26</f>
        <v>4.8301244089177953</v>
      </c>
    </row>
    <row r="40" spans="2:20" x14ac:dyDescent="0.25">
      <c r="B40" s="115">
        <f>'E-Cargo KH'!AL27</f>
        <v>0</v>
      </c>
      <c r="C40" s="113">
        <f>'E-Cargo KH'!AM27</f>
        <v>0</v>
      </c>
      <c r="D40" s="113">
        <f>'E-Cargo KH'!AN27</f>
        <v>0</v>
      </c>
      <c r="E40" s="113">
        <f>'E-Cargo KH'!AO27</f>
        <v>0</v>
      </c>
      <c r="F40" s="113">
        <f>'E-Cargo KH'!AP27</f>
        <v>0</v>
      </c>
      <c r="G40" s="113">
        <f>'E-Cargo KH'!AQ27</f>
        <v>0</v>
      </c>
      <c r="H40" s="113">
        <f>'E-Cargo KH'!AR27</f>
        <v>0</v>
      </c>
      <c r="O40" s="112">
        <f>'ICE-Cargo KH'!AJ27</f>
        <v>0</v>
      </c>
      <c r="P40" s="114">
        <f>'ICE-Cargo KH'!AK27</f>
        <v>0</v>
      </c>
      <c r="Q40" s="114">
        <f>'ICE-Cargo KH'!AL27</f>
        <v>0</v>
      </c>
      <c r="R40" s="114">
        <f>'ICE-Cargo KH'!AM27</f>
        <v>0</v>
      </c>
      <c r="S40" s="114">
        <f>'ICE-Cargo KH'!AN27</f>
        <v>0</v>
      </c>
      <c r="T40" s="114">
        <f>'ICE-Cargo KH'!AO27</f>
        <v>0</v>
      </c>
    </row>
    <row r="41" spans="2:20" x14ac:dyDescent="0.25">
      <c r="B41" s="115">
        <f>'E-Cargo KH'!AL28</f>
        <v>10</v>
      </c>
      <c r="C41" s="113">
        <f>'E-Cargo KH'!AM28</f>
        <v>8.8344913496330459</v>
      </c>
      <c r="D41" s="113">
        <f>'E-Cargo KH'!AN28</f>
        <v>0.88725193489227383</v>
      </c>
      <c r="E41" s="113">
        <f>'E-Cargo KH'!AO28</f>
        <v>2.1369975460662198</v>
      </c>
      <c r="F41" s="113">
        <f>'E-Cargo KH'!AP28</f>
        <v>2.1003048353033784</v>
      </c>
      <c r="G41" s="113">
        <f>'E-Cargo KH'!AQ28</f>
        <v>0.82946152292900699</v>
      </c>
      <c r="H41" s="113">
        <f>'E-Cargo KH'!AR28</f>
        <v>-0.88725193489225318</v>
      </c>
      <c r="O41" s="112">
        <f>'ICE-Cargo KH'!AJ28</f>
        <v>10</v>
      </c>
      <c r="P41" s="114">
        <f>'ICE-Cargo KH'!AK28</f>
        <v>4.0649385467340693</v>
      </c>
      <c r="Q41" s="114">
        <f>'ICE-Cargo KH'!AL28</f>
        <v>4.8301244089177953</v>
      </c>
      <c r="R41" s="114">
        <f>'ICE-Cargo KH'!AM28</f>
        <v>1.6841477436799017</v>
      </c>
      <c r="S41" s="114">
        <f>'ICE-Cargo KH'!AN28</f>
        <v>6.5142721525976972</v>
      </c>
      <c r="T41" s="114">
        <f>'ICE-Cargo KH'!AO28</f>
        <v>-4.8301244089177953</v>
      </c>
    </row>
    <row r="42" spans="2:20" x14ac:dyDescent="0.25">
      <c r="B42" s="115">
        <f>'E-Cargo KH'!AL29</f>
        <v>20</v>
      </c>
      <c r="C42" s="113">
        <f>'E-Cargo KH'!AM29</f>
        <v>17.668982699266092</v>
      </c>
      <c r="D42" s="113">
        <f>'E-Cargo KH'!AN29</f>
        <v>1.7745038697845477</v>
      </c>
      <c r="E42" s="113">
        <f>'E-Cargo KH'!AO29</f>
        <v>4.2739950921324397</v>
      </c>
      <c r="F42" s="113">
        <f>'E-Cargo KH'!AP29</f>
        <v>4.2197892394808889</v>
      </c>
      <c r="G42" s="113">
        <f>'E-Cargo KH'!AQ29</f>
        <v>1.6589230458579316</v>
      </c>
      <c r="H42" s="113">
        <f>'E-Cargo KH'!AR29</f>
        <v>-1.7745038697845268</v>
      </c>
      <c r="O42" s="112">
        <f>'ICE-Cargo KH'!AJ29</f>
        <v>20</v>
      </c>
      <c r="P42" s="114">
        <f>'ICE-Cargo KH'!AK29</f>
        <v>8.1298770934681386</v>
      </c>
      <c r="Q42" s="114">
        <f>'ICE-Cargo KH'!AL29</f>
        <v>9.6602488178355905</v>
      </c>
      <c r="R42" s="114">
        <f>'ICE-Cargo KH'!AM29</f>
        <v>3.3682954873598363</v>
      </c>
      <c r="S42" s="114">
        <f>'ICE-Cargo KH'!AN29</f>
        <v>13.02854430519541</v>
      </c>
      <c r="T42" s="114">
        <f>'ICE-Cargo KH'!AO29</f>
        <v>-9.6602488178356403</v>
      </c>
    </row>
    <row r="43" spans="2:20" x14ac:dyDescent="0.25">
      <c r="B43" s="115">
        <f>'E-Cargo KH'!AL30</f>
        <v>30</v>
      </c>
      <c r="C43" s="113">
        <f>'E-Cargo KH'!AM30</f>
        <v>26.503474048899118</v>
      </c>
      <c r="D43" s="113">
        <f>'E-Cargo KH'!AN30</f>
        <v>2.6617558046768424</v>
      </c>
      <c r="E43" s="113">
        <f>'E-Cargo KH'!AO30</f>
        <v>6.41099263819864</v>
      </c>
      <c r="F43" s="113">
        <f>'E-Cargo KH'!AP30</f>
        <v>5.9365026973020667</v>
      </c>
      <c r="G43" s="113">
        <f>'E-Cargo KH'!AQ30</f>
        <v>2.4883845687868766</v>
      </c>
      <c r="H43" s="113">
        <f>'E-Cargo KH'!AR30</f>
        <v>-2.6617558046768215</v>
      </c>
      <c r="O43" s="112">
        <f>'ICE-Cargo KH'!AJ30</f>
        <v>30</v>
      </c>
      <c r="P43" s="114">
        <f>'ICE-Cargo KH'!AK30</f>
        <v>12.194815640202206</v>
      </c>
      <c r="Q43" s="114">
        <f>'ICE-Cargo KH'!AL30</f>
        <v>14.4903732267534</v>
      </c>
      <c r="R43" s="114">
        <f>'ICE-Cargo KH'!AM30</f>
        <v>5.0524432310397538</v>
      </c>
      <c r="S43" s="114">
        <f>'ICE-Cargo KH'!AN30</f>
        <v>19.542816457793172</v>
      </c>
      <c r="T43" s="114">
        <f>'ICE-Cargo KH'!AO30</f>
        <v>-14.4903732267534</v>
      </c>
    </row>
    <row r="44" spans="2:20" x14ac:dyDescent="0.25">
      <c r="B44" s="115">
        <f>'E-Cargo KH'!AL31</f>
        <v>40</v>
      </c>
      <c r="C44" s="113">
        <f>'E-Cargo KH'!AM31</f>
        <v>35.337965398532106</v>
      </c>
      <c r="D44" s="113">
        <f>'E-Cargo KH'!AN31</f>
        <v>3.5490077395690953</v>
      </c>
      <c r="E44" s="113">
        <f>'E-Cargo KH'!AO31</f>
        <v>8.547990184264858</v>
      </c>
      <c r="F44" s="113">
        <f>'E-Cargo KH'!AP31</f>
        <v>8.076125648797353</v>
      </c>
      <c r="G44" s="113">
        <f>'E-Cargo KH'!AQ31</f>
        <v>3.3178460917158632</v>
      </c>
      <c r="H44" s="113">
        <f>'E-Cargo KH'!AR31</f>
        <v>-3.5490077395690953</v>
      </c>
      <c r="O44" s="112">
        <f>'ICE-Cargo KH'!AJ31</f>
        <v>40</v>
      </c>
      <c r="P44" s="114">
        <f>'ICE-Cargo KH'!AK31</f>
        <v>16.259754186936277</v>
      </c>
      <c r="Q44" s="114">
        <f>'ICE-Cargo KH'!AL31</f>
        <v>19.320497635671163</v>
      </c>
      <c r="R44" s="114">
        <f>'ICE-Cargo KH'!AM31</f>
        <v>6.7365909747196886</v>
      </c>
      <c r="S44" s="114">
        <f>'ICE-Cargo KH'!AN31</f>
        <v>26.057088610390867</v>
      </c>
      <c r="T44" s="114">
        <f>'ICE-Cargo KH'!AO31</f>
        <v>-19.320497635671213</v>
      </c>
    </row>
    <row r="45" spans="2:20" x14ac:dyDescent="0.25">
      <c r="B45" s="115">
        <f>'E-Cargo KH'!AL32</f>
        <v>50</v>
      </c>
      <c r="C45" s="113">
        <f>'E-Cargo KH'!AM32</f>
        <v>44.172456748165175</v>
      </c>
      <c r="D45" s="113">
        <f>'E-Cargo KH'!AN32</f>
        <v>4.4362596744613692</v>
      </c>
      <c r="E45" s="113">
        <f>'E-Cargo KH'!AO32</f>
        <v>10.684987730331121</v>
      </c>
      <c r="F45" s="113">
        <f>'E-Cargo KH'!AP32</f>
        <v>9.7928391066186133</v>
      </c>
      <c r="G45" s="113">
        <f>'E-Cargo KH'!AQ32</f>
        <v>4.1473076146448085</v>
      </c>
      <c r="H45" s="113">
        <f>'E-Cargo KH'!AR32</f>
        <v>-4.4362596744613274</v>
      </c>
      <c r="O45" s="112">
        <f>'ICE-Cargo KH'!AJ32</f>
        <v>50</v>
      </c>
      <c r="P45" s="114">
        <f>'ICE-Cargo KH'!AK32</f>
        <v>20.324692733670329</v>
      </c>
      <c r="Q45" s="114">
        <f>'ICE-Cargo KH'!AL32</f>
        <v>24.150622044588989</v>
      </c>
      <c r="R45" s="114">
        <f>'ICE-Cargo KH'!AM32</f>
        <v>8.4207387183996243</v>
      </c>
      <c r="S45" s="114">
        <f>'ICE-Cargo KH'!AN32</f>
        <v>32.571360762988597</v>
      </c>
      <c r="T45" s="114">
        <f>'ICE-Cargo KH'!AO32</f>
        <v>-24.150622044589024</v>
      </c>
    </row>
  </sheetData>
  <mergeCells count="12">
    <mergeCell ref="B33:B34"/>
    <mergeCell ref="C33:G33"/>
    <mergeCell ref="O33:O34"/>
    <mergeCell ref="P33:S33"/>
    <mergeCell ref="B3:B4"/>
    <mergeCell ref="C3:G3"/>
    <mergeCell ref="O3:O4"/>
    <mergeCell ref="P3:S3"/>
    <mergeCell ref="B18:B19"/>
    <mergeCell ref="C18:G18"/>
    <mergeCell ref="O18:O19"/>
    <mergeCell ref="P18:S18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selection activeCell="A17" sqref="A17:A19"/>
    </sheetView>
  </sheetViews>
  <sheetFormatPr defaultColWidth="14.42578125" defaultRowHeight="15" customHeight="1" x14ac:dyDescent="0.25"/>
  <cols>
    <col min="1" max="1" width="47.42578125" customWidth="1"/>
    <col min="2" max="2" width="8.7109375" customWidth="1"/>
    <col min="3" max="3" width="11" customWidth="1"/>
    <col min="4" max="26" width="8.7109375" customWidth="1"/>
  </cols>
  <sheetData>
    <row r="1" spans="1:3" x14ac:dyDescent="0.25">
      <c r="A1" s="54" t="s">
        <v>126</v>
      </c>
      <c r="B1" s="54" t="s">
        <v>127</v>
      </c>
      <c r="C1" s="54" t="s">
        <v>128</v>
      </c>
    </row>
    <row r="2" spans="1:3" x14ac:dyDescent="0.25">
      <c r="A2" s="54" t="s">
        <v>167</v>
      </c>
      <c r="B2" s="54" t="s">
        <v>129</v>
      </c>
    </row>
    <row r="3" spans="1:3" x14ac:dyDescent="0.25">
      <c r="A3" s="54" t="s">
        <v>42</v>
      </c>
      <c r="B3" s="54" t="s">
        <v>129</v>
      </c>
    </row>
    <row r="4" spans="1:3" x14ac:dyDescent="0.25">
      <c r="A4" s="54" t="s">
        <v>48</v>
      </c>
      <c r="B4" s="54" t="s">
        <v>129</v>
      </c>
    </row>
    <row r="5" spans="1:3" x14ac:dyDescent="0.25">
      <c r="A5" s="54" t="s">
        <v>130</v>
      </c>
      <c r="B5" s="54" t="s">
        <v>129</v>
      </c>
    </row>
    <row r="6" spans="1:3" x14ac:dyDescent="0.25">
      <c r="A6" s="54" t="s">
        <v>131</v>
      </c>
      <c r="B6" s="54" t="s">
        <v>129</v>
      </c>
    </row>
    <row r="7" spans="1:3" x14ac:dyDescent="0.25">
      <c r="A7" s="54" t="s">
        <v>132</v>
      </c>
      <c r="B7" s="54" t="s">
        <v>133</v>
      </c>
      <c r="C7" s="54" t="s">
        <v>134</v>
      </c>
    </row>
    <row r="8" spans="1:3" x14ac:dyDescent="0.25">
      <c r="A8" s="54" t="s">
        <v>135</v>
      </c>
      <c r="B8" s="54" t="s">
        <v>129</v>
      </c>
    </row>
    <row r="9" spans="1:3" x14ac:dyDescent="0.25">
      <c r="A9" s="54" t="s">
        <v>136</v>
      </c>
    </row>
    <row r="10" spans="1:3" x14ac:dyDescent="0.25">
      <c r="A10" s="54" t="s">
        <v>137</v>
      </c>
      <c r="B10" s="54" t="s">
        <v>138</v>
      </c>
    </row>
    <row r="11" spans="1:3" x14ac:dyDescent="0.25">
      <c r="A11" s="54" t="s">
        <v>139</v>
      </c>
      <c r="B11" s="54" t="s">
        <v>129</v>
      </c>
    </row>
    <row r="12" spans="1:3" x14ac:dyDescent="0.25">
      <c r="A12" s="54" t="s">
        <v>140</v>
      </c>
    </row>
    <row r="13" spans="1:3" x14ac:dyDescent="0.25">
      <c r="A13" s="54" t="s">
        <v>141</v>
      </c>
    </row>
    <row r="17" spans="1:1" ht="15" customHeight="1" x14ac:dyDescent="0.25">
      <c r="A17" s="77" t="s">
        <v>143</v>
      </c>
    </row>
    <row r="18" spans="1:1" ht="15" customHeight="1" x14ac:dyDescent="0.25">
      <c r="A18" s="77" t="s">
        <v>144</v>
      </c>
    </row>
    <row r="19" spans="1:1" ht="15" customHeight="1" x14ac:dyDescent="0.25">
      <c r="A19" s="77" t="s">
        <v>145</v>
      </c>
    </row>
    <row r="21" spans="1:1" ht="15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E-Bus KH</vt:lpstr>
      <vt:lpstr>ICE-Bus KH</vt:lpstr>
      <vt:lpstr>E-Truck KH</vt:lpstr>
      <vt:lpstr>ICE-Truck KH</vt:lpstr>
      <vt:lpstr>E-Cargo KH</vt:lpstr>
      <vt:lpstr>ICE-Cargo KH</vt:lpstr>
      <vt:lpstr>Sensitivity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Indra Al Irsyad</dc:creator>
  <cp:lastModifiedBy>Valentinus Tri Frebrina Harisetyawan</cp:lastModifiedBy>
  <dcterms:created xsi:type="dcterms:W3CDTF">2015-06-05T18:17:20Z</dcterms:created>
  <dcterms:modified xsi:type="dcterms:W3CDTF">2024-09-30T04:59:17Z</dcterms:modified>
</cp:coreProperties>
</file>